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pezlab/git/GC_skew/Multihit_CD_HO/DATAFILES/"/>
    </mc:Choice>
  </mc:AlternateContent>
  <xr:revisionPtr revIDLastSave="0" documentId="13_ncr:1_{559A9024-2423-0A41-A08E-83F407E01CFB}" xr6:coauthVersionLast="45" xr6:coauthVersionMax="45" xr10:uidLastSave="{00000000-0000-0000-0000-000000000000}"/>
  <bookViews>
    <workbookView xWindow="0" yWindow="460" windowWidth="28800" windowHeight="16640" activeTab="3" xr2:uid="{00000000-000D-0000-FFFF-FFFF00000000}"/>
  </bookViews>
  <sheets>
    <sheet name="TimeZone-summary" sheetId="1" r:id="rId1"/>
    <sheet name="Convergent" sheetId="2" r:id="rId2"/>
    <sheet name="CD" sheetId="4" r:id="rId3"/>
    <sheet name="HO" sheetId="3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4" l="1"/>
  <c r="K8" i="2" l="1"/>
  <c r="K6" i="2"/>
  <c r="K5" i="2"/>
  <c r="Y1" i="4" l="1"/>
  <c r="Y1" i="3"/>
  <c r="B1" i="3"/>
  <c r="C1" i="3"/>
  <c r="A1" i="3"/>
  <c r="C1" i="4"/>
  <c r="A1" i="4"/>
  <c r="K9" i="2"/>
  <c r="N139" i="3" l="1"/>
  <c r="N168" i="3"/>
  <c r="N165" i="3"/>
  <c r="N102" i="3"/>
  <c r="N140" i="3"/>
  <c r="N124" i="3"/>
  <c r="N143" i="3"/>
  <c r="N64" i="3"/>
  <c r="N166" i="3"/>
  <c r="N83" i="3"/>
  <c r="N159" i="3"/>
  <c r="N153" i="3"/>
  <c r="N98" i="3"/>
  <c r="N151" i="3"/>
  <c r="N125" i="3"/>
  <c r="N158" i="3"/>
  <c r="N131" i="3"/>
  <c r="N117" i="3"/>
  <c r="N70" i="3"/>
  <c r="N40" i="3"/>
  <c r="N129" i="3"/>
  <c r="N154" i="3"/>
  <c r="N97" i="3"/>
  <c r="N69" i="3"/>
  <c r="N62" i="3"/>
  <c r="N78" i="3"/>
  <c r="N76" i="3"/>
  <c r="N133" i="3"/>
  <c r="N115" i="3"/>
  <c r="N28" i="3"/>
  <c r="N54" i="3"/>
  <c r="N162" i="3"/>
  <c r="N31" i="3"/>
  <c r="N100" i="3"/>
  <c r="N56" i="3"/>
  <c r="N75" i="3"/>
  <c r="N88" i="3"/>
  <c r="N135" i="3"/>
  <c r="N118" i="3"/>
  <c r="N84" i="3"/>
  <c r="N60" i="3"/>
  <c r="N35" i="3"/>
  <c r="N9" i="3"/>
  <c r="N94" i="3"/>
  <c r="N150" i="3"/>
  <c r="N145" i="3"/>
  <c r="N147" i="3"/>
  <c r="N4" i="3"/>
  <c r="N43" i="3"/>
  <c r="N61" i="3"/>
  <c r="N80" i="3"/>
  <c r="N77" i="3"/>
  <c r="N167" i="3"/>
  <c r="N157" i="3"/>
  <c r="N58" i="3"/>
  <c r="N89" i="3"/>
  <c r="N96" i="3"/>
  <c r="N42" i="3"/>
  <c r="N52" i="3"/>
  <c r="N113" i="3"/>
  <c r="N112" i="3"/>
  <c r="N105" i="3"/>
  <c r="N50" i="3"/>
  <c r="N20" i="3"/>
  <c r="N95" i="3"/>
  <c r="N72" i="3"/>
  <c r="N29" i="3"/>
  <c r="N27" i="3"/>
  <c r="N82" i="3"/>
  <c r="N25" i="3"/>
  <c r="N93" i="3"/>
  <c r="N39" i="3"/>
  <c r="N144" i="3"/>
  <c r="N130" i="3"/>
  <c r="N49" i="3"/>
  <c r="N152" i="3"/>
  <c r="N63" i="3"/>
  <c r="N36" i="3"/>
  <c r="N68" i="3"/>
  <c r="N73" i="3"/>
  <c r="N44" i="3"/>
  <c r="N37" i="3"/>
  <c r="N5" i="3"/>
  <c r="N110" i="3"/>
  <c r="N12" i="3"/>
  <c r="N119" i="3"/>
  <c r="N8" i="3"/>
  <c r="N138" i="3"/>
  <c r="N79" i="3"/>
  <c r="N7" i="3"/>
  <c r="N106" i="3"/>
  <c r="N116" i="3"/>
  <c r="N137" i="3"/>
  <c r="N33" i="3"/>
  <c r="N104" i="3"/>
  <c r="N10" i="3"/>
  <c r="N71" i="3"/>
  <c r="N15" i="3"/>
  <c r="N18" i="3"/>
  <c r="N67" i="3"/>
  <c r="N99" i="3"/>
  <c r="N92" i="3"/>
  <c r="N86" i="3"/>
  <c r="N128" i="3"/>
  <c r="N127" i="3"/>
  <c r="N164" i="3"/>
  <c r="N120" i="3"/>
  <c r="N22" i="3"/>
  <c r="N59" i="3"/>
  <c r="N109" i="3"/>
  <c r="N85" i="3"/>
  <c r="N126" i="3"/>
  <c r="N17" i="3"/>
  <c r="N41" i="3"/>
  <c r="N87" i="3"/>
  <c r="N21" i="3"/>
  <c r="N74" i="3"/>
  <c r="N16" i="3"/>
  <c r="N108" i="3"/>
  <c r="N160" i="3"/>
  <c r="N148" i="3"/>
  <c r="N24" i="3"/>
  <c r="N34" i="3"/>
  <c r="N155" i="3"/>
  <c r="N6" i="3"/>
  <c r="N66" i="3"/>
  <c r="N107" i="3"/>
  <c r="N30" i="3"/>
  <c r="N26" i="3"/>
  <c r="N81" i="3"/>
  <c r="N161" i="3"/>
  <c r="N90" i="3"/>
  <c r="N48" i="3"/>
  <c r="N23" i="3"/>
  <c r="N163" i="3"/>
  <c r="N65" i="3"/>
  <c r="N149" i="3"/>
  <c r="N32" i="3"/>
  <c r="N146" i="3"/>
  <c r="N11" i="3"/>
  <c r="N3" i="3"/>
  <c r="N19" i="3"/>
  <c r="N51" i="3"/>
  <c r="N169" i="3"/>
  <c r="N123" i="3"/>
  <c r="N141" i="3"/>
  <c r="N156" i="3"/>
  <c r="N91" i="3"/>
  <c r="N111" i="3"/>
  <c r="N57" i="3"/>
  <c r="N103" i="3"/>
  <c r="N134" i="3"/>
  <c r="N55" i="3"/>
  <c r="N13" i="3"/>
  <c r="N14" i="3"/>
  <c r="N47" i="3"/>
  <c r="N45" i="3"/>
  <c r="N46" i="3"/>
  <c r="N136" i="3"/>
  <c r="N121" i="3"/>
  <c r="N122" i="3"/>
  <c r="N114" i="3"/>
  <c r="N170" i="3"/>
  <c r="N53" i="3"/>
  <c r="N132" i="3"/>
  <c r="N38" i="3"/>
  <c r="N142" i="3"/>
  <c r="N101" i="3"/>
  <c r="N479" i="4"/>
  <c r="N12" i="4"/>
  <c r="N7" i="4"/>
  <c r="N232" i="4"/>
  <c r="N132" i="4"/>
  <c r="N360" i="4"/>
  <c r="N201" i="4"/>
  <c r="N637" i="4"/>
  <c r="N649" i="4"/>
  <c r="N636" i="4"/>
  <c r="N169" i="4"/>
  <c r="N607" i="4"/>
  <c r="N518" i="4"/>
  <c r="N532" i="4"/>
  <c r="N703" i="4"/>
  <c r="N155" i="4"/>
  <c r="N46" i="4"/>
  <c r="N188" i="4"/>
  <c r="N673" i="4"/>
  <c r="N71" i="4"/>
  <c r="N677" i="4"/>
  <c r="N553" i="4"/>
  <c r="N68" i="4"/>
  <c r="N620" i="4"/>
  <c r="N368" i="4"/>
  <c r="N680" i="4"/>
  <c r="N461" i="4"/>
  <c r="N551" i="4"/>
  <c r="N474" i="4"/>
  <c r="N602" i="4"/>
  <c r="N704" i="4"/>
  <c r="N124" i="4"/>
  <c r="N705" i="4"/>
  <c r="N82" i="4"/>
  <c r="N609" i="4"/>
  <c r="N582" i="4"/>
  <c r="N421" i="4"/>
  <c r="N409" i="4"/>
  <c r="N268" i="4"/>
  <c r="N366" i="4"/>
  <c r="N468" i="4"/>
  <c r="N375" i="4"/>
  <c r="N391" i="4"/>
  <c r="N236" i="4"/>
  <c r="N314" i="4"/>
  <c r="N220" i="4"/>
  <c r="N337" i="4"/>
  <c r="N334" i="4"/>
  <c r="N535" i="4"/>
  <c r="N301" i="4"/>
  <c r="N198" i="4"/>
  <c r="N544" i="4"/>
  <c r="N211" i="4"/>
  <c r="N153" i="4"/>
  <c r="N408" i="4"/>
  <c r="N652" i="4"/>
  <c r="N264" i="4"/>
  <c r="N487" i="4"/>
  <c r="N480" i="4"/>
  <c r="N583" i="4"/>
  <c r="N152" i="4"/>
  <c r="N81" i="4"/>
  <c r="N638" i="4"/>
  <c r="N109" i="4"/>
  <c r="N381" i="4"/>
  <c r="N536" i="4"/>
  <c r="N277" i="4"/>
  <c r="N336" i="4"/>
  <c r="N131" i="4"/>
  <c r="N475" i="4"/>
  <c r="N388" i="4"/>
  <c r="N564" i="4"/>
  <c r="N36" i="4"/>
  <c r="N305" i="4"/>
  <c r="N464" i="4"/>
  <c r="N402" i="4"/>
  <c r="N358" i="4"/>
  <c r="N398" i="4"/>
  <c r="N567" i="4"/>
  <c r="N217" i="4"/>
  <c r="N234" i="4"/>
  <c r="N403" i="4"/>
  <c r="N80" i="4"/>
  <c r="N213" i="4"/>
  <c r="N352" i="4"/>
  <c r="N440" i="4"/>
  <c r="N59" i="4"/>
  <c r="N410" i="4"/>
  <c r="N580" i="4"/>
  <c r="N633" i="4"/>
  <c r="N135" i="4"/>
  <c r="N415" i="4"/>
  <c r="N486" i="4"/>
  <c r="N563" i="4"/>
  <c r="N569" i="4"/>
  <c r="N522" i="4"/>
  <c r="N496" i="4"/>
  <c r="N187" i="4"/>
  <c r="N287" i="4"/>
  <c r="N247" i="4"/>
  <c r="N546" i="4"/>
  <c r="N230" i="4"/>
  <c r="N266" i="4"/>
  <c r="N79" i="4"/>
  <c r="N209" i="4"/>
  <c r="N54" i="4"/>
  <c r="N161" i="4"/>
  <c r="N203" i="4"/>
  <c r="N558" i="4"/>
  <c r="N489" i="4"/>
  <c r="N84" i="4"/>
  <c r="N102" i="4"/>
  <c r="N690" i="4"/>
  <c r="N76" i="4"/>
  <c r="N5" i="4"/>
  <c r="N656" i="4"/>
  <c r="N634" i="4"/>
  <c r="N526" i="4"/>
  <c r="N572" i="4"/>
  <c r="N619" i="4"/>
  <c r="N678" i="4"/>
  <c r="N288" i="4"/>
  <c r="N484" i="4"/>
  <c r="N384" i="4"/>
  <c r="N353" i="4"/>
  <c r="N58" i="4"/>
  <c r="N362" i="4"/>
  <c r="N248" i="4"/>
  <c r="N55" i="4"/>
  <c r="N687" i="4"/>
  <c r="N681" i="4"/>
  <c r="N702" i="4"/>
  <c r="N457" i="4"/>
  <c r="N597" i="4"/>
  <c r="N204" i="4"/>
  <c r="N191" i="4"/>
  <c r="N69" i="4"/>
  <c r="N386" i="4"/>
  <c r="N218" i="4"/>
  <c r="N14" i="4"/>
  <c r="N251" i="4"/>
  <c r="N491" i="4"/>
  <c r="N519" i="4"/>
  <c r="N500" i="4"/>
  <c r="N431" i="4"/>
  <c r="N576" i="4"/>
  <c r="N612" i="4"/>
  <c r="N646" i="4"/>
  <c r="N589" i="4"/>
  <c r="N179" i="4"/>
  <c r="N64" i="4"/>
  <c r="N417" i="4"/>
  <c r="N318" i="4"/>
  <c r="N136" i="4"/>
  <c r="N159" i="4"/>
  <c r="N285" i="4"/>
  <c r="N488" i="4"/>
  <c r="N560" i="4"/>
  <c r="N490" i="4"/>
  <c r="N499" i="4"/>
  <c r="N382" i="4"/>
  <c r="N528" i="4"/>
  <c r="N31" i="4"/>
  <c r="N443" i="4"/>
  <c r="N455" i="4"/>
  <c r="N127" i="4"/>
  <c r="N481" i="4"/>
  <c r="N529" i="4"/>
  <c r="N240" i="4"/>
  <c r="N309" i="4"/>
  <c r="N369" i="4"/>
  <c r="N556" i="4"/>
  <c r="N377" i="4"/>
  <c r="N29" i="4"/>
  <c r="N115" i="4"/>
  <c r="N126" i="4"/>
  <c r="N3" i="4"/>
  <c r="N294" i="4"/>
  <c r="N430" i="4"/>
  <c r="N676" i="4"/>
  <c r="N158" i="4"/>
  <c r="N140" i="4"/>
  <c r="N590" i="4"/>
  <c r="N693" i="4"/>
  <c r="N228" i="4"/>
  <c r="N77" i="4"/>
  <c r="N192" i="4"/>
  <c r="N255" i="4"/>
  <c r="N117" i="4"/>
  <c r="N389" i="4"/>
  <c r="N73" i="4"/>
  <c r="N27" i="4"/>
  <c r="N629" i="4"/>
  <c r="N661" i="4"/>
  <c r="N176" i="4"/>
  <c r="N390" i="4"/>
  <c r="N16" i="4"/>
  <c r="N471" i="4"/>
  <c r="N511" i="4"/>
  <c r="N670" i="4"/>
  <c r="N328" i="4"/>
  <c r="N494" i="4"/>
  <c r="N281" i="4"/>
  <c r="N485" i="4"/>
  <c r="N660" i="4"/>
  <c r="N664" i="4"/>
  <c r="N90" i="4"/>
  <c r="N101" i="4"/>
  <c r="N534" i="4"/>
  <c r="N682" i="4"/>
  <c r="N346" i="4"/>
  <c r="N66" i="4"/>
  <c r="N367" i="4"/>
  <c r="N626" i="4"/>
  <c r="N577" i="4"/>
  <c r="N231" i="4"/>
  <c r="N32" i="4"/>
  <c r="N267" i="4"/>
  <c r="N18" i="4"/>
  <c r="N675" i="4"/>
  <c r="N138" i="4"/>
  <c r="N679" i="4"/>
  <c r="N21" i="4"/>
  <c r="N326" i="4"/>
  <c r="N244" i="4"/>
  <c r="N212" i="4"/>
  <c r="N363" i="4"/>
  <c r="N33" i="4"/>
  <c r="N296" i="4"/>
  <c r="N414" i="4"/>
  <c r="N540" i="4"/>
  <c r="N668" i="4"/>
  <c r="N557" i="4"/>
  <c r="N112" i="4"/>
  <c r="N608" i="4"/>
  <c r="N137" i="4"/>
  <c r="N189" i="4"/>
  <c r="N178" i="4"/>
  <c r="N401" i="4"/>
  <c r="N505" i="4"/>
  <c r="N506" i="4"/>
  <c r="N579" i="4"/>
  <c r="N345" i="4"/>
  <c r="N303" i="4"/>
  <c r="N10" i="4"/>
  <c r="N130" i="4"/>
  <c r="N603" i="4"/>
  <c r="N483" i="4"/>
  <c r="N273" i="4"/>
  <c r="N448" i="4"/>
  <c r="N566" i="4"/>
  <c r="N404" i="4"/>
  <c r="N286" i="4"/>
  <c r="N585" i="4"/>
  <c r="N373" i="4"/>
  <c r="N40" i="4"/>
  <c r="N181" i="4"/>
  <c r="N517" i="4"/>
  <c r="N30" i="4"/>
  <c r="N60" i="4"/>
  <c r="N587" i="4"/>
  <c r="N94" i="4"/>
  <c r="N685" i="4"/>
  <c r="N640" i="4"/>
  <c r="N428" i="4"/>
  <c r="N312" i="4"/>
  <c r="N275" i="4"/>
  <c r="N292" i="4"/>
  <c r="N197" i="4"/>
  <c r="N157" i="4"/>
  <c r="N376" i="4"/>
  <c r="N445" i="4"/>
  <c r="N133" i="4"/>
  <c r="N504" i="4"/>
  <c r="N329" i="4"/>
  <c r="N625" i="4"/>
  <c r="N196" i="4"/>
  <c r="N22" i="4"/>
  <c r="N260" i="4"/>
  <c r="N163" i="4"/>
  <c r="N331" i="4"/>
  <c r="N439" i="4"/>
  <c r="N88" i="4"/>
  <c r="N311" i="4"/>
  <c r="N313" i="4"/>
  <c r="N594" i="4"/>
  <c r="N701" i="4"/>
  <c r="N223" i="4"/>
  <c r="N173" i="4"/>
  <c r="N62" i="4"/>
  <c r="N711" i="4"/>
  <c r="N710" i="4"/>
  <c r="N297" i="4"/>
  <c r="N139" i="4"/>
  <c r="N355" i="4"/>
  <c r="N180" i="4"/>
  <c r="N258" i="4"/>
  <c r="N333" i="4"/>
  <c r="N245" i="4"/>
  <c r="N380" i="4"/>
  <c r="N183" i="4"/>
  <c r="N651" i="4"/>
  <c r="N330" i="4"/>
  <c r="N662" i="4"/>
  <c r="N568" i="4"/>
  <c r="N562" i="4"/>
  <c r="N565" i="4"/>
  <c r="N270" i="4"/>
  <c r="N216" i="4"/>
  <c r="N669" i="4"/>
  <c r="N537" i="4"/>
  <c r="N38" i="4"/>
  <c r="N492" i="4"/>
  <c r="N466" i="4"/>
  <c r="N407" i="4"/>
  <c r="N696" i="4"/>
  <c r="N262" i="4"/>
  <c r="N657" i="4"/>
  <c r="N371" i="4"/>
  <c r="N144" i="4"/>
  <c r="N317" i="4"/>
  <c r="N45" i="4"/>
  <c r="N276" i="4"/>
  <c r="N510" i="4"/>
  <c r="N645" i="4"/>
  <c r="N92" i="4"/>
  <c r="N145" i="4"/>
  <c r="N453" i="4"/>
  <c r="N458" i="4"/>
  <c r="N26" i="4"/>
  <c r="N272" i="4"/>
  <c r="N631" i="4"/>
  <c r="N129" i="4"/>
  <c r="N433" i="4"/>
  <c r="N530" i="4"/>
  <c r="N108" i="4"/>
  <c r="N42" i="4"/>
  <c r="N293" i="4"/>
  <c r="N469" i="4"/>
  <c r="N635" i="4"/>
  <c r="N665" i="4"/>
  <c r="N697" i="4"/>
  <c r="N570" i="4"/>
  <c r="N639" i="4"/>
  <c r="N123" i="4"/>
  <c r="N411" i="4"/>
  <c r="N647" i="4"/>
  <c r="N692" i="4"/>
  <c r="N364" i="4"/>
  <c r="N450" i="4"/>
  <c r="N447" i="4"/>
  <c r="N249" i="4"/>
  <c r="N56" i="4"/>
  <c r="N493" i="4"/>
  <c r="N700" i="4"/>
  <c r="N208" i="4"/>
  <c r="N643" i="4"/>
  <c r="N624" i="4"/>
  <c r="N361" i="4"/>
  <c r="N689" i="4"/>
  <c r="N20" i="4"/>
  <c r="N227" i="4"/>
  <c r="N184" i="4"/>
  <c r="N283" i="4"/>
  <c r="N524" i="4"/>
  <c r="N459" i="4"/>
  <c r="N441" i="4"/>
  <c r="N460" i="4"/>
  <c r="N350" i="4"/>
  <c r="N523" i="4"/>
  <c r="N400" i="4"/>
  <c r="N691" i="4"/>
  <c r="N121" i="4"/>
  <c r="N164" i="4"/>
  <c r="N424" i="4"/>
  <c r="N339" i="4"/>
  <c r="N379" i="4"/>
  <c r="N134" i="4"/>
  <c r="N654" i="4"/>
  <c r="N712" i="4"/>
  <c r="N8" i="4"/>
  <c r="N653" i="4"/>
  <c r="N543" i="4"/>
  <c r="N28" i="4"/>
  <c r="N98" i="4"/>
  <c r="N110" i="4"/>
  <c r="N497" i="4"/>
  <c r="N316" i="4"/>
  <c r="N515" i="4"/>
  <c r="N699" i="4"/>
  <c r="N302" i="4"/>
  <c r="N141" i="4"/>
  <c r="N95" i="4"/>
  <c r="N434" i="4"/>
  <c r="N399" i="4"/>
  <c r="N304" i="4"/>
  <c r="N520" i="4"/>
  <c r="N43" i="4"/>
  <c r="N628" i="4"/>
  <c r="N235" i="4"/>
  <c r="N436" i="4"/>
  <c r="N253" i="4"/>
  <c r="N143" i="4"/>
  <c r="N452" i="4"/>
  <c r="N320" i="4"/>
  <c r="N621" i="4"/>
  <c r="N516" i="4"/>
  <c r="N617" i="4"/>
  <c r="N683" i="4"/>
  <c r="N559" i="4"/>
  <c r="N210" i="4"/>
  <c r="N605" i="4"/>
  <c r="N149" i="4"/>
  <c r="N370" i="4"/>
  <c r="N242" i="4"/>
  <c r="N263" i="4"/>
  <c r="N671" i="4"/>
  <c r="N456" i="4"/>
  <c r="N659" i="4"/>
  <c r="N162" i="4"/>
  <c r="N372" i="4"/>
  <c r="N630" i="4"/>
  <c r="N413" i="4"/>
  <c r="N103" i="4"/>
  <c r="N538" i="4"/>
  <c r="N422" i="4"/>
  <c r="N116" i="4"/>
  <c r="N378" i="4"/>
  <c r="N393" i="4"/>
  <c r="N591" i="4"/>
  <c r="N207" i="4"/>
  <c r="N17" i="4"/>
  <c r="N584" i="4"/>
  <c r="N351" i="4"/>
  <c r="N74" i="4"/>
  <c r="N185" i="4"/>
  <c r="N41" i="4"/>
  <c r="N165" i="4"/>
  <c r="N279" i="4"/>
  <c r="N709" i="4"/>
  <c r="N348" i="4"/>
  <c r="N473" i="4"/>
  <c r="N47" i="4"/>
  <c r="N663" i="4"/>
  <c r="N507" i="4"/>
  <c r="N470" i="4"/>
  <c r="N509" i="4"/>
  <c r="N508" i="4"/>
  <c r="N359" i="4"/>
  <c r="N344" i="4"/>
  <c r="N545" i="4"/>
  <c r="N541" i="4"/>
  <c r="N592" i="4"/>
  <c r="N387" i="4"/>
  <c r="N674" i="4"/>
  <c r="N622" i="4"/>
  <c r="N49" i="4"/>
  <c r="N48" i="4"/>
  <c r="N374" i="4"/>
  <c r="N707" i="4"/>
  <c r="N222" i="4"/>
  <c r="N416" i="4"/>
  <c r="N96" i="4"/>
  <c r="N39" i="4"/>
  <c r="N435" i="4"/>
  <c r="N25" i="4"/>
  <c r="N648" i="4"/>
  <c r="N432" i="4"/>
  <c r="N87" i="4"/>
  <c r="N128" i="4"/>
  <c r="N151" i="4"/>
  <c r="N119" i="4"/>
  <c r="N547" i="4"/>
  <c r="N429" i="4"/>
  <c r="N412" i="4"/>
  <c r="N632" i="4"/>
  <c r="N601" i="4"/>
  <c r="N200" i="4"/>
  <c r="N650" i="4"/>
  <c r="N527" i="4"/>
  <c r="N467" i="4"/>
  <c r="N478" i="4"/>
  <c r="N449" i="4"/>
  <c r="N476" i="4"/>
  <c r="N83" i="4"/>
  <c r="N107" i="4"/>
  <c r="N52" i="4"/>
  <c r="N600" i="4"/>
  <c r="N308" i="4"/>
  <c r="N11" i="4"/>
  <c r="N104" i="4"/>
  <c r="N37" i="4"/>
  <c r="N53" i="4"/>
  <c r="N51" i="4"/>
  <c r="N265" i="4"/>
  <c r="N666" i="4"/>
  <c r="N324" i="4"/>
  <c r="N269" i="4"/>
  <c r="N70" i="4"/>
  <c r="N237" i="4"/>
  <c r="N586" i="4"/>
  <c r="N156" i="4"/>
  <c r="N642" i="4"/>
  <c r="N341" i="4"/>
  <c r="N72" i="4"/>
  <c r="N672" i="4"/>
  <c r="N426" i="4"/>
  <c r="N61" i="4"/>
  <c r="N225" i="4"/>
  <c r="N190" i="4"/>
  <c r="N167" i="4"/>
  <c r="N226" i="4"/>
  <c r="N405" i="4"/>
  <c r="N57" i="4"/>
  <c r="N598" i="4"/>
  <c r="N694" i="4"/>
  <c r="N78" i="4"/>
  <c r="N9" i="4"/>
  <c r="N154" i="4"/>
  <c r="N708" i="4"/>
  <c r="N99" i="4"/>
  <c r="N454" i="4"/>
  <c r="N514" i="4"/>
  <c r="N24" i="4"/>
  <c r="N306" i="4"/>
  <c r="N323" i="4"/>
  <c r="N4" i="4"/>
  <c r="N105" i="4"/>
  <c r="N423" i="4"/>
  <c r="N627" i="4"/>
  <c r="N177" i="4"/>
  <c r="N561" i="4"/>
  <c r="N539" i="4"/>
  <c r="N310" i="4"/>
  <c r="N214" i="4"/>
  <c r="N239" i="4"/>
  <c r="N593" i="4"/>
  <c r="N599" i="4"/>
  <c r="N50" i="4"/>
  <c r="N394" i="4"/>
  <c r="N347" i="4"/>
  <c r="N502" i="4"/>
  <c r="N462" i="4"/>
  <c r="N525" i="4"/>
  <c r="N513" i="4"/>
  <c r="N574" i="4"/>
  <c r="N613" i="4"/>
  <c r="N501" i="4"/>
  <c r="N365" i="4"/>
  <c r="N315" i="4"/>
  <c r="N147" i="4"/>
  <c r="N148" i="4"/>
  <c r="N215" i="4"/>
  <c r="N698" i="4"/>
  <c r="N194" i="4"/>
  <c r="N503" i="4"/>
  <c r="N446" i="4"/>
  <c r="N550" i="4"/>
  <c r="N67" i="4"/>
  <c r="N256" i="4"/>
  <c r="N168" i="4"/>
  <c r="N406" i="4"/>
  <c r="N299" i="4"/>
  <c r="N684" i="4"/>
  <c r="N195" i="4"/>
  <c r="N241" i="4"/>
  <c r="N250" i="4"/>
  <c r="N548" i="4"/>
  <c r="N658" i="4"/>
  <c r="N295" i="4"/>
  <c r="N614" i="4"/>
  <c r="N606" i="4"/>
  <c r="N644" i="4"/>
  <c r="N437" i="4"/>
  <c r="N521" i="4"/>
  <c r="N278" i="4"/>
  <c r="N354" i="4"/>
  <c r="N542" i="4"/>
  <c r="N463" i="4"/>
  <c r="N342" i="4"/>
  <c r="N420" i="4"/>
  <c r="N97" i="4"/>
  <c r="N113" i="4"/>
  <c r="N284" i="4"/>
  <c r="N618" i="4"/>
  <c r="N199" i="4"/>
  <c r="N6" i="4"/>
  <c r="N34" i="4"/>
  <c r="N578" i="4"/>
  <c r="N75" i="4"/>
  <c r="N93" i="4"/>
  <c r="N243" i="4"/>
  <c r="N706" i="4"/>
  <c r="N160" i="4"/>
  <c r="N19" i="4"/>
  <c r="N615" i="4"/>
  <c r="N175" i="4"/>
  <c r="N571" i="4"/>
  <c r="N254" i="4"/>
  <c r="N174" i="4"/>
  <c r="N85" i="4"/>
  <c r="N327" i="4"/>
  <c r="N495" i="4"/>
  <c r="N611" i="4"/>
  <c r="N319" i="4"/>
  <c r="N224" i="4"/>
  <c r="N15" i="4"/>
  <c r="N193" i="4"/>
  <c r="N252" i="4"/>
  <c r="N89" i="4"/>
  <c r="N280" i="4"/>
  <c r="N552" i="4"/>
  <c r="N549" i="4"/>
  <c r="N274" i="4"/>
  <c r="N688" i="4"/>
  <c r="N575" i="4"/>
  <c r="N498" i="4"/>
  <c r="N397" i="4"/>
  <c r="N86" i="4"/>
  <c r="N595" i="4"/>
  <c r="N512" i="4"/>
  <c r="N171" i="4"/>
  <c r="N482" i="4"/>
  <c r="N472" i="4"/>
  <c r="N321" i="4"/>
  <c r="N425" i="4"/>
  <c r="N233" i="4"/>
  <c r="N686" i="4"/>
  <c r="N573" i="4"/>
  <c r="N298" i="4"/>
  <c r="N477" i="4"/>
  <c r="N146" i="4"/>
  <c r="N442" i="4"/>
  <c r="N182" i="4"/>
  <c r="N465" i="4"/>
  <c r="N202" i="4"/>
  <c r="N555" i="4"/>
  <c r="N271" i="4"/>
  <c r="N246" i="4"/>
  <c r="N166" i="4"/>
  <c r="N307" i="4"/>
  <c r="N349" i="4"/>
  <c r="N332" i="4"/>
  <c r="N641" i="4"/>
  <c r="N170" i="4"/>
  <c r="N451" i="4"/>
  <c r="N65" i="4"/>
  <c r="N695" i="4"/>
  <c r="N444" i="4"/>
  <c r="N419" i="4"/>
  <c r="N91" i="4"/>
  <c r="N533" i="4"/>
  <c r="N392" i="4"/>
  <c r="N335" i="4"/>
  <c r="N655" i="4"/>
  <c r="N604" i="4"/>
  <c r="N221" i="4"/>
  <c r="N106" i="4"/>
  <c r="N531" i="4"/>
  <c r="N206" i="4"/>
  <c r="N125" i="4"/>
  <c r="N395" i="4"/>
  <c r="N300" i="4"/>
  <c r="N186" i="4"/>
  <c r="N118" i="4"/>
  <c r="N325" i="4"/>
  <c r="N596" i="4"/>
  <c r="N219" i="4"/>
  <c r="N142" i="4"/>
  <c r="N385" i="4"/>
  <c r="N291" i="4"/>
  <c r="N259" i="4"/>
  <c r="N261" i="4"/>
  <c r="N290" i="4"/>
  <c r="N289" i="4"/>
  <c r="N616" i="4"/>
  <c r="N581" i="4"/>
  <c r="N35" i="4"/>
  <c r="N667" i="4"/>
  <c r="N282" i="4"/>
  <c r="N44" i="4"/>
  <c r="N383" i="4"/>
  <c r="N356" i="4"/>
  <c r="N554" i="4"/>
  <c r="N205" i="4"/>
  <c r="N588" i="4"/>
  <c r="N418" i="4"/>
  <c r="N238" i="4"/>
  <c r="N340" i="4"/>
  <c r="N396" i="4"/>
  <c r="N111" i="4"/>
  <c r="N172" i="4"/>
  <c r="N438" i="4"/>
  <c r="N150" i="4"/>
  <c r="N229" i="4"/>
  <c r="N623" i="4"/>
  <c r="N13" i="4"/>
  <c r="N23" i="4"/>
  <c r="N610" i="4"/>
  <c r="N63" i="4"/>
  <c r="N257" i="4"/>
  <c r="N343" i="4"/>
  <c r="N100" i="4"/>
  <c r="N357" i="4"/>
  <c r="N427" i="4"/>
  <c r="N114" i="4"/>
  <c r="N122" i="4"/>
  <c r="N338" i="4"/>
  <c r="N120" i="4"/>
  <c r="N322" i="4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848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849" i="1"/>
  <c r="N537" i="1"/>
  <c r="N850" i="1"/>
  <c r="N538" i="1"/>
  <c r="N539" i="1"/>
  <c r="N540" i="1"/>
  <c r="N541" i="1"/>
  <c r="N542" i="1"/>
  <c r="N543" i="1"/>
  <c r="N544" i="1"/>
  <c r="N545" i="1"/>
  <c r="N546" i="1"/>
  <c r="N547" i="1"/>
  <c r="N851" i="1"/>
  <c r="N548" i="1"/>
  <c r="N549" i="1"/>
  <c r="N550" i="1"/>
  <c r="N551" i="1"/>
  <c r="N552" i="1"/>
  <c r="N553" i="1"/>
  <c r="N852" i="1"/>
  <c r="N554" i="1"/>
  <c r="N555" i="1"/>
  <c r="N556" i="1"/>
  <c r="N853" i="1"/>
  <c r="N557" i="1"/>
  <c r="N558" i="1"/>
  <c r="N854" i="1"/>
  <c r="N559" i="1"/>
  <c r="N560" i="1"/>
  <c r="N561" i="1"/>
  <c r="N855" i="1"/>
  <c r="N856" i="1"/>
  <c r="N857" i="1"/>
  <c r="N562" i="1"/>
  <c r="N563" i="1"/>
  <c r="N858" i="1"/>
  <c r="N859" i="1"/>
  <c r="N860" i="1"/>
  <c r="N564" i="1"/>
  <c r="N565" i="1"/>
  <c r="N566" i="1"/>
  <c r="N567" i="1"/>
  <c r="N568" i="1"/>
  <c r="N569" i="1"/>
  <c r="N861" i="1"/>
  <c r="N862" i="1"/>
  <c r="N570" i="1"/>
  <c r="N571" i="1"/>
  <c r="N863" i="1"/>
  <c r="N572" i="1"/>
  <c r="N864" i="1"/>
  <c r="N573" i="1"/>
  <c r="N574" i="1"/>
  <c r="N575" i="1"/>
  <c r="N576" i="1"/>
  <c r="N577" i="1"/>
  <c r="N865" i="1"/>
  <c r="N866" i="1"/>
  <c r="N867" i="1"/>
  <c r="N578" i="1"/>
  <c r="N579" i="1"/>
  <c r="N580" i="1"/>
  <c r="N581" i="1"/>
  <c r="N582" i="1"/>
  <c r="N583" i="1"/>
  <c r="N584" i="1"/>
  <c r="N585" i="1"/>
  <c r="N586" i="1"/>
  <c r="N587" i="1"/>
  <c r="N868" i="1"/>
  <c r="N588" i="1"/>
  <c r="N869" i="1"/>
  <c r="N870" i="1"/>
  <c r="N871" i="1"/>
  <c r="N872" i="1"/>
  <c r="N873" i="1"/>
  <c r="N874" i="1"/>
  <c r="N589" i="1"/>
  <c r="N590" i="1"/>
  <c r="N591" i="1"/>
  <c r="N592" i="1"/>
  <c r="N593" i="1"/>
  <c r="N875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876" i="1"/>
  <c r="N625" i="1"/>
  <c r="N626" i="1"/>
  <c r="N877" i="1"/>
  <c r="N878" i="1"/>
  <c r="N879" i="1"/>
  <c r="N880" i="1"/>
  <c r="N627" i="1"/>
  <c r="N628" i="1"/>
  <c r="N881" i="1"/>
  <c r="N629" i="1"/>
  <c r="N882" i="1"/>
  <c r="N883" i="1"/>
  <c r="N884" i="1"/>
  <c r="N885" i="1"/>
  <c r="N886" i="1"/>
  <c r="N630" i="1"/>
  <c r="N631" i="1"/>
  <c r="N887" i="1"/>
  <c r="N632" i="1"/>
  <c r="N888" i="1"/>
  <c r="N633" i="1"/>
  <c r="N889" i="1"/>
  <c r="N634" i="1"/>
  <c r="N890" i="1"/>
  <c r="N635" i="1"/>
  <c r="N636" i="1"/>
  <c r="N637" i="1"/>
  <c r="N638" i="1"/>
  <c r="N639" i="1"/>
  <c r="N891" i="1"/>
  <c r="N640" i="1"/>
  <c r="N641" i="1"/>
  <c r="N642" i="1"/>
  <c r="N643" i="1"/>
  <c r="N892" i="1"/>
  <c r="N893" i="1"/>
  <c r="N894" i="1"/>
  <c r="N644" i="1"/>
  <c r="N895" i="1"/>
  <c r="N896" i="1"/>
  <c r="N645" i="1"/>
  <c r="N897" i="1"/>
  <c r="N898" i="1"/>
  <c r="N899" i="1"/>
  <c r="N646" i="1"/>
  <c r="N647" i="1"/>
  <c r="N648" i="1"/>
  <c r="N649" i="1"/>
  <c r="N900" i="1"/>
  <c r="N901" i="1"/>
  <c r="N650" i="1"/>
  <c r="N651" i="1"/>
  <c r="N652" i="1"/>
  <c r="N902" i="1"/>
  <c r="N653" i="1"/>
  <c r="N903" i="1"/>
  <c r="N904" i="1"/>
  <c r="N905" i="1"/>
  <c r="N654" i="1"/>
  <c r="N655" i="1"/>
  <c r="N906" i="1"/>
  <c r="N907" i="1"/>
  <c r="N656" i="1"/>
  <c r="N908" i="1"/>
  <c r="N909" i="1"/>
  <c r="N657" i="1"/>
  <c r="N658" i="1"/>
  <c r="N659" i="1"/>
  <c r="N660" i="1"/>
  <c r="N910" i="1"/>
  <c r="N911" i="1"/>
  <c r="N661" i="1"/>
  <c r="N662" i="1"/>
  <c r="N663" i="1"/>
  <c r="N664" i="1"/>
  <c r="N665" i="1"/>
  <c r="N666" i="1"/>
  <c r="N667" i="1"/>
  <c r="N668" i="1"/>
  <c r="N669" i="1"/>
  <c r="N670" i="1"/>
  <c r="N912" i="1"/>
  <c r="N913" i="1"/>
  <c r="N671" i="1"/>
  <c r="N672" i="1"/>
  <c r="N673" i="1"/>
  <c r="N914" i="1"/>
  <c r="N674" i="1"/>
  <c r="N915" i="1"/>
  <c r="N916" i="1"/>
  <c r="N917" i="1"/>
  <c r="N918" i="1"/>
  <c r="N675" i="1"/>
  <c r="N676" i="1"/>
  <c r="N677" i="1"/>
  <c r="N919" i="1"/>
  <c r="N920" i="1"/>
  <c r="N678" i="1"/>
  <c r="N679" i="1"/>
  <c r="N921" i="1"/>
  <c r="N680" i="1"/>
  <c r="N681" i="1"/>
  <c r="N682" i="1"/>
  <c r="N922" i="1"/>
  <c r="N683" i="1"/>
  <c r="N684" i="1"/>
  <c r="N685" i="1"/>
  <c r="N686" i="1"/>
  <c r="N923" i="1"/>
  <c r="N687" i="1"/>
  <c r="N688" i="1"/>
  <c r="N689" i="1"/>
  <c r="N924" i="1"/>
  <c r="N925" i="1"/>
  <c r="N690" i="1"/>
  <c r="N926" i="1"/>
  <c r="N691" i="1"/>
  <c r="N927" i="1"/>
  <c r="N928" i="1"/>
  <c r="N692" i="1"/>
  <c r="N693" i="1"/>
  <c r="N929" i="1"/>
  <c r="N694" i="1"/>
  <c r="N695" i="1"/>
  <c r="N696" i="1"/>
  <c r="N697" i="1"/>
  <c r="N698" i="1"/>
  <c r="N699" i="1"/>
  <c r="N930" i="1"/>
  <c r="N931" i="1"/>
  <c r="N932" i="1"/>
  <c r="N700" i="1"/>
  <c r="N701" i="1"/>
  <c r="N702" i="1"/>
  <c r="N703" i="1"/>
  <c r="N704" i="1"/>
  <c r="N705" i="1"/>
  <c r="N706" i="1"/>
  <c r="N707" i="1"/>
  <c r="N708" i="1"/>
  <c r="N709" i="1"/>
  <c r="N710" i="1"/>
  <c r="N933" i="1"/>
  <c r="N711" i="1"/>
  <c r="N934" i="1"/>
  <c r="N935" i="1"/>
  <c r="N712" i="1"/>
  <c r="N713" i="1"/>
  <c r="N714" i="1"/>
  <c r="N715" i="1"/>
  <c r="N936" i="1"/>
  <c r="N716" i="1"/>
  <c r="N717" i="1"/>
  <c r="N718" i="1"/>
  <c r="N937" i="1"/>
  <c r="N719" i="1"/>
  <c r="N720" i="1"/>
  <c r="N938" i="1"/>
  <c r="N721" i="1"/>
  <c r="N722" i="1"/>
  <c r="N723" i="1"/>
  <c r="N724" i="1"/>
  <c r="N725" i="1"/>
  <c r="N726" i="1"/>
  <c r="N727" i="1"/>
  <c r="N728" i="1"/>
  <c r="N729" i="1"/>
  <c r="N730" i="1"/>
  <c r="N731" i="1"/>
  <c r="N939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940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941" i="1"/>
  <c r="N842" i="1"/>
  <c r="N843" i="1"/>
  <c r="N844" i="1"/>
  <c r="N942" i="1"/>
  <c r="N943" i="1"/>
  <c r="N845" i="1"/>
  <c r="N846" i="1"/>
  <c r="N944" i="1"/>
  <c r="N945" i="1"/>
  <c r="N847" i="1"/>
  <c r="N946" i="1"/>
  <c r="N3" i="1"/>
  <c r="N947" i="1"/>
  <c r="N4" i="1"/>
  <c r="N5" i="1"/>
  <c r="N6" i="1"/>
  <c r="N7" i="1"/>
  <c r="N8" i="1"/>
  <c r="N9" i="1"/>
  <c r="N10" i="1"/>
  <c r="N948" i="1"/>
  <c r="N949" i="1"/>
  <c r="N950" i="1"/>
  <c r="N11" i="1"/>
  <c r="N12" i="1"/>
  <c r="N13" i="1"/>
  <c r="N14" i="1"/>
  <c r="N951" i="1"/>
  <c r="N15" i="1"/>
  <c r="N16" i="1"/>
  <c r="N952" i="1"/>
  <c r="N17" i="1"/>
  <c r="N18" i="1"/>
  <c r="N19" i="1"/>
  <c r="N20" i="1"/>
  <c r="N953" i="1"/>
  <c r="N954" i="1"/>
  <c r="N21" i="1"/>
  <c r="N955" i="1"/>
  <c r="N956" i="1"/>
  <c r="N22" i="1"/>
  <c r="N23" i="1"/>
  <c r="N957" i="1"/>
  <c r="N24" i="1"/>
  <c r="N25" i="1"/>
  <c r="N26" i="1"/>
  <c r="N958" i="1"/>
  <c r="N959" i="1"/>
  <c r="N960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961" i="1"/>
  <c r="N48" i="1"/>
  <c r="N49" i="1"/>
  <c r="N50" i="1"/>
  <c r="N51" i="1"/>
  <c r="N962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963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64" i="1"/>
  <c r="N97" i="1"/>
  <c r="N98" i="1"/>
  <c r="N99" i="1"/>
  <c r="N965" i="1"/>
  <c r="N966" i="1"/>
  <c r="N967" i="1"/>
  <c r="N100" i="1"/>
  <c r="N968" i="1"/>
  <c r="N101" i="1"/>
  <c r="N969" i="1"/>
  <c r="N102" i="1"/>
  <c r="N103" i="1"/>
  <c r="N970" i="1"/>
  <c r="N104" i="1"/>
  <c r="N105" i="1"/>
  <c r="N971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972" i="1"/>
  <c r="N124" i="1"/>
  <c r="N125" i="1"/>
  <c r="N973" i="1"/>
  <c r="N126" i="1"/>
  <c r="N127" i="1"/>
  <c r="N128" i="1"/>
  <c r="N974" i="1"/>
  <c r="N975" i="1"/>
  <c r="N976" i="1"/>
  <c r="N977" i="1"/>
  <c r="N129" i="1"/>
  <c r="N978" i="1"/>
  <c r="N130" i="1"/>
  <c r="N979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980" i="1"/>
  <c r="N153" i="1"/>
  <c r="N154" i="1"/>
  <c r="N155" i="1"/>
  <c r="N156" i="1"/>
  <c r="N981" i="1"/>
  <c r="N157" i="1"/>
  <c r="N158" i="1"/>
  <c r="N159" i="1"/>
  <c r="N160" i="1"/>
  <c r="N161" i="1"/>
  <c r="N162" i="1"/>
  <c r="N163" i="1"/>
  <c r="N164" i="1"/>
  <c r="N982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983" i="1"/>
  <c r="N179" i="1"/>
  <c r="N180" i="1"/>
  <c r="N181" i="1"/>
  <c r="N182" i="1"/>
  <c r="N183" i="1"/>
  <c r="N184" i="1"/>
  <c r="N984" i="1"/>
  <c r="N985" i="1"/>
  <c r="N185" i="1"/>
  <c r="N186" i="1"/>
  <c r="N9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987" i="1"/>
  <c r="N988" i="1"/>
  <c r="N203" i="1"/>
  <c r="N989" i="1"/>
  <c r="N204" i="1"/>
  <c r="N205" i="1"/>
  <c r="N206" i="1"/>
  <c r="N207" i="1"/>
  <c r="N208" i="1"/>
  <c r="N209" i="1"/>
  <c r="N210" i="1"/>
  <c r="N211" i="1"/>
  <c r="N212" i="1"/>
  <c r="N990" i="1"/>
  <c r="N991" i="1"/>
  <c r="N992" i="1"/>
  <c r="N213" i="1"/>
  <c r="N214" i="1"/>
  <c r="N215" i="1"/>
  <c r="N216" i="1"/>
  <c r="N217" i="1"/>
  <c r="N218" i="1"/>
  <c r="N219" i="1"/>
  <c r="N993" i="1"/>
  <c r="N220" i="1"/>
  <c r="N994" i="1"/>
  <c r="N221" i="1"/>
  <c r="N995" i="1"/>
  <c r="N222" i="1"/>
  <c r="N223" i="1"/>
  <c r="N224" i="1"/>
  <c r="N225" i="1"/>
  <c r="N226" i="1"/>
  <c r="N227" i="1"/>
  <c r="N228" i="1"/>
  <c r="N229" i="1"/>
  <c r="N230" i="1"/>
  <c r="N996" i="1"/>
  <c r="N231" i="1"/>
  <c r="N232" i="1"/>
  <c r="N233" i="1"/>
  <c r="N234" i="1"/>
  <c r="N235" i="1"/>
  <c r="N236" i="1"/>
  <c r="N237" i="1"/>
  <c r="N238" i="1"/>
  <c r="N239" i="1"/>
  <c r="N997" i="1"/>
  <c r="N240" i="1"/>
  <c r="N241" i="1"/>
  <c r="N998" i="1"/>
  <c r="N242" i="1"/>
  <c r="N243" i="1"/>
  <c r="N999" i="1"/>
  <c r="N244" i="1"/>
  <c r="N1000" i="1"/>
  <c r="N245" i="1"/>
  <c r="N246" i="1"/>
  <c r="N247" i="1"/>
  <c r="N248" i="1"/>
  <c r="N1001" i="1"/>
  <c r="N1002" i="1"/>
  <c r="N1003" i="1"/>
  <c r="N249" i="1"/>
  <c r="N1004" i="1"/>
  <c r="N1005" i="1"/>
  <c r="N1006" i="1"/>
  <c r="N250" i="1"/>
  <c r="N251" i="1"/>
  <c r="N1007" i="1"/>
  <c r="N252" i="1"/>
  <c r="N253" i="1"/>
  <c r="N254" i="1"/>
  <c r="N255" i="1"/>
  <c r="N256" i="1"/>
  <c r="N257" i="1"/>
  <c r="N258" i="1"/>
  <c r="N259" i="1"/>
  <c r="N1008" i="1"/>
  <c r="N1009" i="1"/>
  <c r="N260" i="1"/>
  <c r="N261" i="1"/>
  <c r="N262" i="1"/>
  <c r="N263" i="1"/>
  <c r="N1010" i="1"/>
  <c r="N264" i="1"/>
  <c r="N1011" i="1"/>
  <c r="N265" i="1"/>
  <c r="N1012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1013" i="1"/>
  <c r="N1014" i="1"/>
  <c r="N1015" i="1"/>
  <c r="N285" i="1"/>
  <c r="N286" i="1"/>
  <c r="N1016" i="1"/>
  <c r="N1017" i="1"/>
  <c r="N287" i="1"/>
  <c r="N1018" i="1"/>
  <c r="N288" i="1"/>
  <c r="N289" i="1"/>
  <c r="N290" i="1"/>
  <c r="N291" i="1"/>
  <c r="N292" i="1"/>
  <c r="N1019" i="1"/>
  <c r="N293" i="1"/>
  <c r="N294" i="1"/>
  <c r="N295" i="1"/>
  <c r="N296" i="1"/>
  <c r="N297" i="1"/>
  <c r="N298" i="1"/>
  <c r="N299" i="1"/>
  <c r="N300" i="1"/>
  <c r="N1020" i="1"/>
  <c r="N1021" i="1"/>
  <c r="N1022" i="1"/>
  <c r="N301" i="1"/>
  <c r="N302" i="1"/>
  <c r="N303" i="1"/>
  <c r="N304" i="1"/>
  <c r="N305" i="1"/>
  <c r="N306" i="1"/>
  <c r="N1023" i="1"/>
  <c r="N307" i="1"/>
  <c r="N308" i="1"/>
  <c r="N309" i="1"/>
  <c r="N1024" i="1"/>
  <c r="N1025" i="1"/>
  <c r="N1026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1027" i="1"/>
  <c r="N1028" i="1"/>
  <c r="N327" i="1"/>
  <c r="N328" i="1"/>
  <c r="N329" i="1"/>
  <c r="N330" i="1"/>
  <c r="N331" i="1"/>
  <c r="N332" i="1"/>
  <c r="N333" i="1"/>
  <c r="N334" i="1"/>
  <c r="N1029" i="1"/>
  <c r="N335" i="1"/>
  <c r="N336" i="1"/>
  <c r="N337" i="1"/>
  <c r="N338" i="1"/>
  <c r="N339" i="1"/>
  <c r="N1030" i="1"/>
  <c r="N1031" i="1"/>
  <c r="N1032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1033" i="1"/>
  <c r="N365" i="1"/>
  <c r="N366" i="1"/>
  <c r="N1034" i="1"/>
  <c r="N1035" i="1"/>
  <c r="N1036" i="1"/>
  <c r="N1037" i="1"/>
  <c r="N367" i="1"/>
  <c r="N1038" i="1"/>
  <c r="N368" i="1"/>
  <c r="N369" i="1"/>
  <c r="N370" i="1"/>
  <c r="N371" i="1"/>
  <c r="N372" i="1"/>
  <c r="N373" i="1"/>
  <c r="N1039" i="1"/>
  <c r="N374" i="1"/>
  <c r="N375" i="1"/>
  <c r="N1040" i="1"/>
  <c r="N376" i="1"/>
  <c r="N377" i="1"/>
  <c r="N378" i="1"/>
  <c r="N379" i="1"/>
  <c r="N1041" i="1"/>
  <c r="N1042" i="1"/>
  <c r="N1043" i="1"/>
  <c r="N380" i="1"/>
  <c r="N381" i="1"/>
  <c r="N1044" i="1"/>
  <c r="N1045" i="1"/>
  <c r="N1046" i="1"/>
  <c r="N1047" i="1"/>
  <c r="N382" i="1"/>
  <c r="N383" i="1"/>
  <c r="N384" i="1"/>
  <c r="N385" i="1"/>
  <c r="N386" i="1"/>
  <c r="N387" i="1"/>
  <c r="N1048" i="1"/>
  <c r="N1049" i="1"/>
  <c r="N1050" i="1"/>
  <c r="N388" i="1"/>
  <c r="N389" i="1"/>
  <c r="N390" i="1"/>
  <c r="N391" i="1"/>
  <c r="N392" i="1"/>
  <c r="N1051" i="1"/>
  <c r="N1052" i="1"/>
  <c r="N393" i="1"/>
  <c r="N394" i="1"/>
  <c r="N395" i="1"/>
  <c r="N1053" i="1"/>
  <c r="N1054" i="1"/>
  <c r="N396" i="1"/>
  <c r="N1055" i="1"/>
  <c r="N397" i="1"/>
  <c r="N398" i="1"/>
  <c r="N399" i="1"/>
  <c r="N400" i="1"/>
  <c r="N401" i="1"/>
  <c r="N402" i="1"/>
  <c r="N403" i="1"/>
  <c r="N404" i="1"/>
  <c r="N405" i="1"/>
  <c r="N1056" i="1"/>
  <c r="N1057" i="1"/>
  <c r="N406" i="1"/>
  <c r="N407" i="1"/>
  <c r="N1058" i="1"/>
  <c r="N1059" i="1"/>
  <c r="N1060" i="1"/>
  <c r="N408" i="1"/>
  <c r="N409" i="1"/>
  <c r="N410" i="1"/>
  <c r="N411" i="1"/>
  <c r="N412" i="1"/>
  <c r="N413" i="1"/>
  <c r="N414" i="1"/>
  <c r="N1061" i="1"/>
  <c r="N415" i="1"/>
  <c r="N416" i="1"/>
  <c r="N417" i="1"/>
  <c r="N418" i="1"/>
  <c r="N1062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</calcChain>
</file>

<file path=xl/sharedStrings.xml><?xml version="1.0" encoding="utf-8"?>
<sst xmlns="http://schemas.openxmlformats.org/spreadsheetml/2006/main" count="30069" uniqueCount="5771">
  <si>
    <t>PROTEIN-CODING GENE ANNOTATION INFO</t>
  </si>
  <si>
    <t>ZONAL PHYLOGENY AND HAPLOTYPE DIVERSITY</t>
  </si>
  <si>
    <t>STRUCTURAL HOTSPOT MUTATIONS</t>
  </si>
  <si>
    <t>SYN/NONSYN MUTATIONS IN INTERNAL VS. TERMINAL BRANCHES</t>
  </si>
  <si>
    <t>OVERALL SEQUENCE DIVERSITY</t>
  </si>
  <si>
    <t>Gene#</t>
  </si>
  <si>
    <t>Gene Name</t>
  </si>
  <si>
    <t>Strand</t>
  </si>
  <si>
    <t>Product</t>
  </si>
  <si>
    <t>Protein Length (AA)</t>
  </si>
  <si>
    <t>Representatives</t>
  </si>
  <si>
    <t># of Seqs</t>
  </si>
  <si>
    <t>ZP-Tree</t>
  </si>
  <si>
    <t>#Strains-PRI</t>
  </si>
  <si>
    <t>#Strains-EXT</t>
  </si>
  <si>
    <t>#Haplo-PRI</t>
  </si>
  <si>
    <t>#Haplo-EXT</t>
  </si>
  <si>
    <t>Haplo-Ratio</t>
  </si>
  <si>
    <t>Simp-PRI (SE)</t>
  </si>
  <si>
    <t>Simp-EXT (SE)</t>
  </si>
  <si>
    <t>Z-PRI_vs_EXT</t>
  </si>
  <si>
    <t>EXT&gt;PRI diversity at P&lt;0.05</t>
  </si>
  <si>
    <t>#HS-pos</t>
  </si>
  <si>
    <t>#HS-mut</t>
  </si>
  <si>
    <t>#NonHS-mut</t>
  </si>
  <si>
    <t>HSfreq</t>
  </si>
  <si>
    <t>#Para-PRI</t>
  </si>
  <si>
    <t>#Coinc-PRI</t>
  </si>
  <si>
    <t>#HS-PRI</t>
  </si>
  <si>
    <t>#NonHS-PRI</t>
  </si>
  <si>
    <t>HSfreq-PRI</t>
  </si>
  <si>
    <t>#Para-EXT</t>
  </si>
  <si>
    <t>#Coinc-EXT</t>
  </si>
  <si>
    <t>#HS-EXT</t>
  </si>
  <si>
    <t>#NonHS-EXT</t>
  </si>
  <si>
    <t>HSfreq-EXT</t>
  </si>
  <si>
    <t>#Tips</t>
  </si>
  <si>
    <t>#Twigs</t>
  </si>
  <si>
    <t>Tips-Syn</t>
  </si>
  <si>
    <t>Tips-Nonsyn</t>
  </si>
  <si>
    <t>Twigs-Syn</t>
  </si>
  <si>
    <t>Twigs-Nonsyn</t>
  </si>
  <si>
    <t>dN/dS-Tips (SE)</t>
  </si>
  <si>
    <t>dN/dS-Twigs (SE)</t>
  </si>
  <si>
    <t>Z-Tips_vs_Twigs</t>
  </si>
  <si>
    <t>Tips&gt;Twigs dN/dS at P&lt;0.05</t>
  </si>
  <si>
    <t>#Syn</t>
  </si>
  <si>
    <t>#Nonsyn</t>
  </si>
  <si>
    <t>Pi (SE)</t>
  </si>
  <si>
    <t>dS (SE)</t>
  </si>
  <si>
    <t>dN (SE)</t>
  </si>
  <si>
    <t>dN/dS</t>
  </si>
  <si>
    <t>Bootstrap P</t>
  </si>
  <si>
    <t>dN/dS-based selection</t>
  </si>
  <si>
    <t>Tajima D</t>
  </si>
  <si>
    <t>Fu &amp; Li D*</t>
  </si>
  <si>
    <t>dnaA</t>
  </si>
  <si>
    <t>+</t>
  </si>
  <si>
    <t>chromosomal replication initiator informationalATPase</t>
  </si>
  <si>
    <t>ref , GCA_000146565.1_ASM14656v1_genomic , GCA_000186745.1_ASM18674v1_genomic , GCA_000227465.1_ASM22746v1_genomic , GCA_000227485.1_ASM22748v1_genomic</t>
  </si>
  <si>
    <t>0.25000 (0.00000)</t>
  </si>
  <si>
    <t>1.00000 (0.00000)</t>
  </si>
  <si>
    <t>-</t>
  </si>
  <si>
    <t>0.00823 (0.01777)</t>
  </si>
  <si>
    <t>0.00000 (0.00000)</t>
  </si>
  <si>
    <t>non-sig</t>
  </si>
  <si>
    <t>0.02265 (0.00384)</t>
  </si>
  <si>
    <t>0.11142 (0.01935)</t>
  </si>
  <si>
    <t>0.00067 (0.00027)</t>
  </si>
  <si>
    <t>Purifying</t>
  </si>
  <si>
    <t>rlbA</t>
  </si>
  <si>
    <t>RNA binding protein involved in ribosomematuration</t>
  </si>
  <si>
    <t>recF</t>
  </si>
  <si>
    <t>RecA filament-DNA complex stabilisation, ssDNAand dsDNA binding, ATP binding</t>
  </si>
  <si>
    <t>0.06288 (0.02667)</t>
  </si>
  <si>
    <t>0.02643 (0.00000)</t>
  </si>
  <si>
    <t>0.02432 (0.00508)</t>
  </si>
  <si>
    <t>0.10436 (0.02288)</t>
  </si>
  <si>
    <t>0.00352 (0.00058)</t>
  </si>
  <si>
    <t>remB</t>
  </si>
  <si>
    <t>regulator of extracellular matrix formation</t>
  </si>
  <si>
    <t>gyrB</t>
  </si>
  <si>
    <t>DNA gyrase (subunit B)</t>
  </si>
  <si>
    <t>ref , GCA_000186745.1_ASM18674v1_genomic , GCA_000227465.1_ASM22746v1_genomic , GCA_000227485.1_ASM22748v1_genomic</t>
  </si>
  <si>
    <t>0.33333 (0.00000)</t>
  </si>
  <si>
    <t>0.01056 (0.02346)</t>
  </si>
  <si>
    <t>0.07470 (0.00000)</t>
  </si>
  <si>
    <t>0.02917 (0.00770)</t>
  </si>
  <si>
    <t>0.13616 (0.03742)</t>
  </si>
  <si>
    <t>0.00193 (0.00063)</t>
  </si>
  <si>
    <t>guaB</t>
  </si>
  <si>
    <t>inosine-monophosphate dehydrogenase</t>
  </si>
  <si>
    <t>0.01624 (0.03953)</t>
  </si>
  <si>
    <t>0.02675 (0.00797)</t>
  </si>
  <si>
    <t>0.12132 (0.03684)</t>
  </si>
  <si>
    <t>0.00179 (0.00073)</t>
  </si>
  <si>
    <t>dacA</t>
  </si>
  <si>
    <t>D-alanyl-D-alanine carboxypeptidase(penicillin-binding protein 5)</t>
  </si>
  <si>
    <t>0.20000 (0.00000)</t>
  </si>
  <si>
    <t>0.09846 (0.02986)</t>
  </si>
  <si>
    <t>0.04597 (0.06166)</t>
  </si>
  <si>
    <t>0.02852 (0.00536)</t>
  </si>
  <si>
    <t>0.11509 (0.02281)</t>
  </si>
  <si>
    <t>0.00683 (0.00114)</t>
  </si>
  <si>
    <t>pdxS</t>
  </si>
  <si>
    <t>glutamine amidotransferase for pyridoxalphosphate synthesis; pyridoxal 5'-phosphate synthasecomplex, synthase subunit</t>
  </si>
  <si>
    <t>0.01098 (0.01446)</t>
  </si>
  <si>
    <t>0.02630 (0.00481)</t>
  </si>
  <si>
    <t>0.11922 (0.02220)</t>
  </si>
  <si>
    <t>0.00119 (0.00033)</t>
  </si>
  <si>
    <t>ebfC</t>
  </si>
  <si>
    <t>nucleoid associated protein</t>
  </si>
  <si>
    <t>ref , GCA_000146565.1_ASM14656v1_genomic , GCA_000186745.1_ASM18674v1_genomic , GCA_000227485.1_ASM22748v1_genomic</t>
  </si>
  <si>
    <t>recR</t>
  </si>
  <si>
    <t>recA filament-DNA complex stabilisation factor</t>
  </si>
  <si>
    <t>0.01852 (0.00246)</t>
  </si>
  <si>
    <t>0.08534 (0.01183)</t>
  </si>
  <si>
    <t>yaaL</t>
  </si>
  <si>
    <t>conserved protein of unknown function</t>
  </si>
  <si>
    <t>0.37500 (0.12500)</t>
  </si>
  <si>
    <t>0.03280 (0.04368)</t>
  </si>
  <si>
    <t>0.07658 (0.00000)</t>
  </si>
  <si>
    <t>0.03003 (0.00527)</t>
  </si>
  <si>
    <t>0.14268 (0.02441)</t>
  </si>
  <si>
    <t>0.00656 (0.00114)</t>
  </si>
  <si>
    <t>csfB</t>
  </si>
  <si>
    <t>forespore-specific anti-sigma factor</t>
  </si>
  <si>
    <t>darA</t>
  </si>
  <si>
    <t>signal transduction receptor, cyclic di-AMPbinding</t>
  </si>
  <si>
    <t>0.02510 (0.02539)</t>
  </si>
  <si>
    <t>0.02752 (0.00462)</t>
  </si>
  <si>
    <t>0.12463 (0.02101)</t>
  </si>
  <si>
    <t>0.00239 (0.00057)</t>
  </si>
  <si>
    <t>holB</t>
  </si>
  <si>
    <t>DNA polymerase III clamp loader delta' subunit</t>
  </si>
  <si>
    <t>0.50000 (0.00000)</t>
  </si>
  <si>
    <t>0.02458 (0.02400)</t>
  </si>
  <si>
    <t>0.03662 (0.03462)</t>
  </si>
  <si>
    <t>0.01854 (0.00276)</t>
  </si>
  <si>
    <t>0.08467 (0.01282)</t>
  </si>
  <si>
    <t>0.00257 (0.00048)</t>
  </si>
  <si>
    <t>ricT</t>
  </si>
  <si>
    <t>subunit of a sporulation, competence and biofilm</t>
  </si>
  <si>
    <t>0.02963 (0.02426)</t>
  </si>
  <si>
    <t>0.01360 (0.01594)</t>
  </si>
  <si>
    <t>0.02461 (0.00462)</t>
  </si>
  <si>
    <t>0.11306 (0.02211)</t>
  </si>
  <si>
    <t>0.00219 (0.00040)</t>
  </si>
  <si>
    <t>dnaH</t>
  </si>
  <si>
    <t>subunit of the DNA replication complex</t>
  </si>
  <si>
    <t>0.28000 (0.08764)</t>
  </si>
  <si>
    <t>0.00560 (0.00093)</t>
  </si>
  <si>
    <t>0.02867 (0.00486)</t>
  </si>
  <si>
    <t>abrB</t>
  </si>
  <si>
    <t>transcriptional regulator for transition stategenes (AbrB-SurF)</t>
  </si>
  <si>
    <t>yabE</t>
  </si>
  <si>
    <t>putative cell wall shaping enzyme</t>
  </si>
  <si>
    <t>0.12472 (0.03715)</t>
  </si>
  <si>
    <t>0.03731 (0.02656)</t>
  </si>
  <si>
    <t>0.02133 (0.00377)</t>
  </si>
  <si>
    <t>0.08471 (0.01633)</t>
  </si>
  <si>
    <t>0.00494 (0.00066)</t>
  </si>
  <si>
    <t>rnmV</t>
  </si>
  <si>
    <t>ribonuclease M5</t>
  </si>
  <si>
    <t>0.09237 (0.05377)</t>
  </si>
  <si>
    <t>0.13883 (0.00000)</t>
  </si>
  <si>
    <t>0.03076 (0.00537)</t>
  </si>
  <si>
    <t>0.11516 (0.02222)</t>
  </si>
  <si>
    <t>0.01002 (0.00170)</t>
  </si>
  <si>
    <t>veg</t>
  </si>
  <si>
    <t>conserved hypothetical protein</t>
  </si>
  <si>
    <t>sspF</t>
  </si>
  <si>
    <t>small acid-soluble spore protein</t>
  </si>
  <si>
    <t>0.02404 (0.00356)</t>
  </si>
  <si>
    <t>0.12255 (0.01949)</t>
  </si>
  <si>
    <t>ispE</t>
  </si>
  <si>
    <t>4-(cytidine5'-diphospho)-2-C-methyl-D-erythritol kinase</t>
  </si>
  <si>
    <t>0.06056 (0.06573)</t>
  </si>
  <si>
    <t>0.03379 (0.00532)</t>
  </si>
  <si>
    <t>0.14296 (0.02172)</t>
  </si>
  <si>
    <t>0.00544 (0.00130)</t>
  </si>
  <si>
    <t>purR</t>
  </si>
  <si>
    <t>transcriptional regulator of the purinebiosynthesis operon (PurR-pRpp)</t>
  </si>
  <si>
    <t>0.02152 (0.00403)</t>
  </si>
  <si>
    <t>0.09869 (0.01897)</t>
  </si>
  <si>
    <t>ridA</t>
  </si>
  <si>
    <t>aminoacrylate/iminopropionate</t>
  </si>
  <si>
    <t>0.02573 (0.02964)</t>
  </si>
  <si>
    <t>0.03422 (0.00763)</t>
  </si>
  <si>
    <t>0.15805 (0.03953)</t>
  </si>
  <si>
    <t>0.00347 (0.00082)</t>
  </si>
  <si>
    <t>spoVG</t>
  </si>
  <si>
    <t>regulator required for spore cortex synthesis(stage V sporulation)</t>
  </si>
  <si>
    <t>0.30480 (0.43105)</t>
  </si>
  <si>
    <t>0.00802 (0.00155)</t>
  </si>
  <si>
    <t>0.02749 (0.00472)</t>
  </si>
  <si>
    <t>0.00225 (0.00092)</t>
  </si>
  <si>
    <t>glmU</t>
  </si>
  <si>
    <t>bifunctional glucosamine-1-phosphatepyrophosphorylase</t>
  </si>
  <si>
    <t>0.04933 (0.01541)</t>
  </si>
  <si>
    <t>0.03039 (0.01901)</t>
  </si>
  <si>
    <t>0.02564 (0.00420)</t>
  </si>
  <si>
    <t>0.10789 (0.01914)</t>
  </si>
  <si>
    <t>0.00382 (0.00049)</t>
  </si>
  <si>
    <t>prs</t>
  </si>
  <si>
    <t>phosphoribosylpyrophosphate synthetase</t>
  </si>
  <si>
    <t>0.02138 (0.00329)</t>
  </si>
  <si>
    <t>0.09711 (0.01544)</t>
  </si>
  <si>
    <t>pth</t>
  </si>
  <si>
    <t>peptidyl-tRNA hydrolase</t>
  </si>
  <si>
    <t>0.05064 (0.08122)</t>
  </si>
  <si>
    <t>0.08459 (0.00000)</t>
  </si>
  <si>
    <t>0.03227 (0.00571)</t>
  </si>
  <si>
    <t>0.12706 (0.02221)</t>
  </si>
  <si>
    <t>0.00833 (0.00200)</t>
  </si>
  <si>
    <t>fin</t>
  </si>
  <si>
    <t>protein required for the switch from F to Gduring sporulation (anti sigma F)</t>
  </si>
  <si>
    <t>0.55556 (0.18144)</t>
  </si>
  <si>
    <t>0.25924 (0.14967)</t>
  </si>
  <si>
    <t>0.16842 (0.00000)</t>
  </si>
  <si>
    <t>0.02339 (0.00447)</t>
  </si>
  <si>
    <t>0.06704 (0.01431)</t>
  </si>
  <si>
    <t>0.01305 (0.00129)</t>
  </si>
  <si>
    <t>spoVT</t>
  </si>
  <si>
    <t>transcriptional regulator of sporulation /germination</t>
  </si>
  <si>
    <t>spcP</t>
  </si>
  <si>
    <t>spore protein involved in the shaping of thespore coat</t>
  </si>
  <si>
    <t>spcQ</t>
  </si>
  <si>
    <t>membrane protein of the forespore</t>
  </si>
  <si>
    <t>0.39246 (0.14631)</t>
  </si>
  <si>
    <t>0.18492 (0.20467)</t>
  </si>
  <si>
    <t>0.03048 (0.00536)</t>
  </si>
  <si>
    <t>0.07345 (0.01445)</t>
  </si>
  <si>
    <t>0.01868 (0.00306)</t>
  </si>
  <si>
    <t>divIC</t>
  </si>
  <si>
    <t>cell-division initiation protein</t>
  </si>
  <si>
    <t>0.03864 (0.05916)</t>
  </si>
  <si>
    <t>0.03749 (0.04043)</t>
  </si>
  <si>
    <t>0.02133 (0.00344)</t>
  </si>
  <si>
    <t>0.09376 (0.01514)</t>
  </si>
  <si>
    <t>0.00341 (0.00084)</t>
  </si>
  <si>
    <t>yabR</t>
  </si>
  <si>
    <t>putative RNA degradation protein;polyribonucleotide nucleotidyltransferase orphosphorylase</t>
  </si>
  <si>
    <t>yabS</t>
  </si>
  <si>
    <t>0.01390 (0.02565)</t>
  </si>
  <si>
    <t>0.02634 (0.03120)</t>
  </si>
  <si>
    <t>0.03005 (0.00450)</t>
  </si>
  <si>
    <t>0.13563 (0.02064)</t>
  </si>
  <si>
    <t>0.00284 (0.00067)</t>
  </si>
  <si>
    <t>tilS</t>
  </si>
  <si>
    <t>tRNA(ile2) lysidine synthetase</t>
  </si>
  <si>
    <t>0.25356 (0.07981)</t>
  </si>
  <si>
    <t>0.08123 (0.07084)</t>
  </si>
  <si>
    <t>0.02895 (0.00494)</t>
  </si>
  <si>
    <t>0.09642 (0.01873)</t>
  </si>
  <si>
    <t>0.01226 (0.00166)</t>
  </si>
  <si>
    <t>hprT</t>
  </si>
  <si>
    <t>hypoxanthine-guanine phosphoribosyltransferase</t>
  </si>
  <si>
    <t>0.09655 (0.14879)</t>
  </si>
  <si>
    <t>0.05685 (0.00000)</t>
  </si>
  <si>
    <t>0.01111 (0.00223)</t>
  </si>
  <si>
    <t>0.04102 (0.00895)</t>
  </si>
  <si>
    <t>0.00280 (0.00049)</t>
  </si>
  <si>
    <t>ftsH</t>
  </si>
  <si>
    <t>ATP-dependent cytoplasmic membrane protease</t>
  </si>
  <si>
    <t>0.00974 (0.01206)</t>
  </si>
  <si>
    <t>0.02376 (0.00453)</t>
  </si>
  <si>
    <t>0.11230 (0.02187)</t>
  </si>
  <si>
    <t>0.00081 (0.00019)</t>
  </si>
  <si>
    <t>coaX</t>
  </si>
  <si>
    <t>pantothenate kinase type III</t>
  </si>
  <si>
    <t>0.01665 (0.03132)</t>
  </si>
  <si>
    <t>0.01162 (0.01522)</t>
  </si>
  <si>
    <t>0.02829 (0.00459)</t>
  </si>
  <si>
    <t>0.12893 (0.02175)</t>
  </si>
  <si>
    <t>0.00169 (0.00041)</t>
  </si>
  <si>
    <t>hslO</t>
  </si>
  <si>
    <t>disulfide bond chaperone (heat shock proteinHSP33)</t>
  </si>
  <si>
    <t>0.03174 (0.03676)</t>
  </si>
  <si>
    <t>0.01485 (0.01582)</t>
  </si>
  <si>
    <t>0.03242 (0.00476)</t>
  </si>
  <si>
    <t>0.14058 (0.02102)</t>
  </si>
  <si>
    <t>0.00332 (0.00079)</t>
  </si>
  <si>
    <t>cysK</t>
  </si>
  <si>
    <t>cysteine synthase</t>
  </si>
  <si>
    <t>0.02323 (0.00904)</t>
  </si>
  <si>
    <t>sig</t>
  </si>
  <si>
    <t>0.03214 (0.00381)</t>
  </si>
  <si>
    <t>0.14229 (0.01877)</t>
  </si>
  <si>
    <t>0.00171 (0.00027)</t>
  </si>
  <si>
    <t>yazB</t>
  </si>
  <si>
    <t>putative transcriptional regulator</t>
  </si>
  <si>
    <t>0.06011 (0.08110)</t>
  </si>
  <si>
    <t>0.01449 (0.00342)</t>
  </si>
  <si>
    <t>0.05354 (0.01130)</t>
  </si>
  <si>
    <t>0.00317 (0.00130)</t>
  </si>
  <si>
    <t>dusB</t>
  </si>
  <si>
    <t>tRNA-dihydrouridine synthase B</t>
  </si>
  <si>
    <t>0.03108 (0.04575)</t>
  </si>
  <si>
    <t>0.02376 (0.00808)</t>
  </si>
  <si>
    <t>0.10847 (0.03810)</t>
  </si>
  <si>
    <t>0.00324 (0.00100)</t>
  </si>
  <si>
    <t>lysS</t>
  </si>
  <si>
    <t>lysyl-tRNA synthetase</t>
  </si>
  <si>
    <t>0.01462 (0.01460)</t>
  </si>
  <si>
    <t>0.00525 (0.00716)</t>
  </si>
  <si>
    <t>0.02999 (0.00570)</t>
  </si>
  <si>
    <t>0.14990 (0.02970)</t>
  </si>
  <si>
    <t>0.00120 (0.00022)</t>
  </si>
  <si>
    <t>ctsR</t>
  </si>
  <si>
    <t>transcriptional regulator of class III stressgenes</t>
  </si>
  <si>
    <t>0.07415 (0.04561)</t>
  </si>
  <si>
    <t>0.01299 (0.00173)</t>
  </si>
  <si>
    <t>0.05663 (0.00891)</t>
  </si>
  <si>
    <t>0.00219 (0.00052)</t>
  </si>
  <si>
    <t>mcsA</t>
  </si>
  <si>
    <t>activator of protein kinase McsB</t>
  </si>
  <si>
    <t>0.16474 (0.20747)</t>
  </si>
  <si>
    <t>0.01112 (0.01439)</t>
  </si>
  <si>
    <t>0.02953 (0.00607)</t>
  </si>
  <si>
    <t>0.14696 (0.03288)</t>
  </si>
  <si>
    <t>0.00501 (0.00116)</t>
  </si>
  <si>
    <t>mcsB</t>
  </si>
  <si>
    <t>protein arginine kinase</t>
  </si>
  <si>
    <t>0.01522 (0.01138)</t>
  </si>
  <si>
    <t>0.03378 (0.03758)</t>
  </si>
  <si>
    <t>0.03177 (0.00487)</t>
  </si>
  <si>
    <t>0.14835 (0.02313)</t>
  </si>
  <si>
    <t>0.00378 (0.00085)</t>
  </si>
  <si>
    <t>disA</t>
  </si>
  <si>
    <t>diadenylate cyclase; DNA integrity scanningprotein; cell cycle checkpoint DNA scanning protein</t>
  </si>
  <si>
    <t>0.01120 (0.02172)</t>
  </si>
  <si>
    <t>0.00830 (0.00992)</t>
  </si>
  <si>
    <t>0.02833 (0.00483)</t>
  </si>
  <si>
    <t>0.13440 (0.02381)</t>
  </si>
  <si>
    <t>0.00120 (0.00029)</t>
  </si>
  <si>
    <t>yacL</t>
  </si>
  <si>
    <t>putative membrane protein possibly involved inRNA binding</t>
  </si>
  <si>
    <t>0.01510 (0.03144)</t>
  </si>
  <si>
    <t>0.01020 (0.01093)</t>
  </si>
  <si>
    <t>0.02158 (0.00381)</t>
  </si>
  <si>
    <t>0.09985 (0.01795)</t>
  </si>
  <si>
    <t>0.00118 (0.00029)</t>
  </si>
  <si>
    <t>gltX</t>
  </si>
  <si>
    <t>glutamyl-tRNA synthetase</t>
  </si>
  <si>
    <t>0.04025 (0.01752)</t>
  </si>
  <si>
    <t>0.02637 (0.01422)</t>
  </si>
  <si>
    <t>0.03147 (0.00392)</t>
  </si>
  <si>
    <t>0.14383 (0.01921)</t>
  </si>
  <si>
    <t>0.00408 (0.00066)</t>
  </si>
  <si>
    <t>cysE</t>
  </si>
  <si>
    <t>serine O-acetyltransferase</t>
  </si>
  <si>
    <t>0.03736 (0.04793)</t>
  </si>
  <si>
    <t>0.01659 (0.00305)</t>
  </si>
  <si>
    <t>0.07337 (0.01387)</t>
  </si>
  <si>
    <t>0.00080 (0.00031)</t>
  </si>
  <si>
    <t>cysS</t>
  </si>
  <si>
    <t>dual cysteinyl-tRNA synthetase; cysteinepersulfide synthase</t>
  </si>
  <si>
    <t>0.01720 (0.01827)</t>
  </si>
  <si>
    <t>0.02837 (0.00809)</t>
  </si>
  <si>
    <t>0.14174 (0.04516)</t>
  </si>
  <si>
    <t>0.00229 (0.00019)</t>
  </si>
  <si>
    <t>mrnC</t>
  </si>
  <si>
    <t>ribonuclease for 23S RNA maturation, mini-RNaseIII</t>
  </si>
  <si>
    <t>0.11315 (0.11173)</t>
  </si>
  <si>
    <t>0.02875 (0.00868)</t>
  </si>
  <si>
    <t>0.10303 (0.03412)</t>
  </si>
  <si>
    <t>0.00969 (0.00245)</t>
  </si>
  <si>
    <t>rlmB</t>
  </si>
  <si>
    <t>23S rRNA (Gm2251)-methyltransferase</t>
  </si>
  <si>
    <t>0.02740 (0.05390)</t>
  </si>
  <si>
    <t>0.01291 (0.01679)</t>
  </si>
  <si>
    <t>0.03066 (0.00520)</t>
  </si>
  <si>
    <t>0.13777 (0.02524)</t>
  </si>
  <si>
    <t>0.00246 (0.00051)</t>
  </si>
  <si>
    <t>raeA</t>
  </si>
  <si>
    <t>ribosome-dependent mRNA endonuclease</t>
  </si>
  <si>
    <t>0.05488 (0.05305)</t>
  </si>
  <si>
    <t>0.01373 (0.00186)</t>
  </si>
  <si>
    <t>0.06014 (0.00779)</t>
  </si>
  <si>
    <t>0.00151 (0.00036)</t>
  </si>
  <si>
    <t>sigH</t>
  </si>
  <si>
    <t>RNA polymerase sigma-30 factor (sigma(H))</t>
  </si>
  <si>
    <t>0.01878 (0.03772)</t>
  </si>
  <si>
    <t>0.01743 (0.00274)</t>
  </si>
  <si>
    <t>0.08555 (0.01445)</t>
  </si>
  <si>
    <t>0.00078 (0.00023)</t>
  </si>
  <si>
    <t>rpmGB</t>
  </si>
  <si>
    <t>ribosomal protein L33</t>
  </si>
  <si>
    <t>secE</t>
  </si>
  <si>
    <t>preprotein translocase subunit</t>
  </si>
  <si>
    <t>nusG</t>
  </si>
  <si>
    <t>RNA polymerase elongation pause factor</t>
  </si>
  <si>
    <t>0.02750 (0.00470)</t>
  </si>
  <si>
    <t>0.13971 (0.02516)</t>
  </si>
  <si>
    <t>rplK</t>
  </si>
  <si>
    <t>ribosomal protein L11 (BL11)</t>
  </si>
  <si>
    <t>0.00630 (0.00091)</t>
  </si>
  <si>
    <t>0.02667 (0.00390)</t>
  </si>
  <si>
    <t>rplA</t>
  </si>
  <si>
    <t>ribosomal protein L1 (BL1)</t>
  </si>
  <si>
    <t>0.04978 (0.09954)</t>
  </si>
  <si>
    <t>0.02562 (0.00506)</t>
  </si>
  <si>
    <t>0.10370 (0.01917)</t>
  </si>
  <si>
    <t>0.00379 (0.00155)</t>
  </si>
  <si>
    <t>rplJ</t>
  </si>
  <si>
    <t>ribosomal protein L10 (BL5)</t>
  </si>
  <si>
    <t>rplL</t>
  </si>
  <si>
    <t>ribosomal protein L12 (BL9)</t>
  </si>
  <si>
    <t>0.00813 (0.00121)</t>
  </si>
  <si>
    <t>0.03494 (0.00530)</t>
  </si>
  <si>
    <t>rlmG</t>
  </si>
  <si>
    <t>23S rRNA m2G1835 methyltransferase</t>
  </si>
  <si>
    <t>0.19321 (0.08123)</t>
  </si>
  <si>
    <t>0.03102 (0.00656)</t>
  </si>
  <si>
    <t>0.02935 (0.00391)</t>
  </si>
  <si>
    <t>0.11446 (0.01887)</t>
  </si>
  <si>
    <t>0.00854 (0.00091)</t>
  </si>
  <si>
    <t>rpoB</t>
  </si>
  <si>
    <t>RNA polymerase (beta subunit)</t>
  </si>
  <si>
    <t>0.00788 (0.01508)</t>
  </si>
  <si>
    <t>0.00503 (0.00549)</t>
  </si>
  <si>
    <t>0.01825 (0.00273)</t>
  </si>
  <si>
    <t>0.08095 (0.01238)</t>
  </si>
  <si>
    <t>0.00051 (0.00014)</t>
  </si>
  <si>
    <t>rpoC</t>
  </si>
  <si>
    <t>RNA polymerase (beta' subunit)</t>
  </si>
  <si>
    <t>0.00496 (0.00914)</t>
  </si>
  <si>
    <t>0.00886 (0.01087)</t>
  </si>
  <si>
    <t>0.01795 (0.00292)</t>
  </si>
  <si>
    <t>0.07878 (0.01305)</t>
  </si>
  <si>
    <t>0.00058 (0.00014)</t>
  </si>
  <si>
    <t>rulS</t>
  </si>
  <si>
    <t>K-turn RNA binding protein; alternativeribosomal protein L7A</t>
  </si>
  <si>
    <t>0.00881 (0.00114)</t>
  </si>
  <si>
    <t>0.03648 (0.00482)</t>
  </si>
  <si>
    <t>rpsL</t>
  </si>
  <si>
    <t>ribosomal protein S12 (BS12)</t>
  </si>
  <si>
    <t>0.16649 (0.24030)</t>
  </si>
  <si>
    <t>0.00845 (0.00148)</t>
  </si>
  <si>
    <t>0.02964 (0.00624)</t>
  </si>
  <si>
    <t>0.00162 (0.00047)</t>
  </si>
  <si>
    <t>rpsG</t>
  </si>
  <si>
    <t>ribosomal protein S7 (BS7)</t>
  </si>
  <si>
    <t>0.01246 (0.00222)</t>
  </si>
  <si>
    <t>0.05667 (0.01034)</t>
  </si>
  <si>
    <t>fusA</t>
  </si>
  <si>
    <t>elongation factor G</t>
  </si>
  <si>
    <t>0.00994 (0.01982)</t>
  </si>
  <si>
    <t>0.04931 (0.05073)</t>
  </si>
  <si>
    <t>0.01594 (0.00306)</t>
  </si>
  <si>
    <t>0.06497 (0.01236)</t>
  </si>
  <si>
    <t>0.00214 (0.00052)</t>
  </si>
  <si>
    <t>tufA</t>
  </si>
  <si>
    <t>elongation factor Tu</t>
  </si>
  <si>
    <t>0.03874 (0.07027)</t>
  </si>
  <si>
    <t>0.12224 (0.00000)</t>
  </si>
  <si>
    <t>0.01010 (0.00206)</t>
  </si>
  <si>
    <t>0.03360 (0.00692)</t>
  </si>
  <si>
    <t>0.00310 (0.00060)</t>
  </si>
  <si>
    <t>rpsJ</t>
  </si>
  <si>
    <t>ribosomal protein S10 (BS13); transcriptionantitermination factor</t>
  </si>
  <si>
    <t>rplC</t>
  </si>
  <si>
    <t>ribosomal protein L3 (BL3)</t>
  </si>
  <si>
    <t>0.15205 (0.18670)</t>
  </si>
  <si>
    <t>0.00585 (0.00089)</t>
  </si>
  <si>
    <t>0.01843 (0.00270)</t>
  </si>
  <si>
    <t>0.00209 (0.00078)</t>
  </si>
  <si>
    <t>rplD</t>
  </si>
  <si>
    <t>ribosomal protein L4</t>
  </si>
  <si>
    <t>0.03951 (0.04390)</t>
  </si>
  <si>
    <t>0.01127 (0.00223)</t>
  </si>
  <si>
    <t>0.04376 (0.00854)</t>
  </si>
  <si>
    <t>0.00128 (0.00031)</t>
  </si>
  <si>
    <t>rplW</t>
  </si>
  <si>
    <t>ribosomal protein L23</t>
  </si>
  <si>
    <t>0.00936 (0.00214)</t>
  </si>
  <si>
    <t>0.03280 (0.00957)</t>
  </si>
  <si>
    <t>0.00301 (0.00071)</t>
  </si>
  <si>
    <t>rplB</t>
  </si>
  <si>
    <t>ribosomal protein L2 (BL2)</t>
  </si>
  <si>
    <t>0.00903 (0.00183)</t>
  </si>
  <si>
    <t>0.03805 (0.00780)</t>
  </si>
  <si>
    <t>rpsS</t>
  </si>
  <si>
    <t>ribosomal protein S19 (BS19)</t>
  </si>
  <si>
    <t>rplV</t>
  </si>
  <si>
    <t>ribosomal protein L22 (BL17)</t>
  </si>
  <si>
    <t>rpsC</t>
  </si>
  <si>
    <t>ribosomal protein S3 (BS3)</t>
  </si>
  <si>
    <t>0.15979 (0.23064)</t>
  </si>
  <si>
    <t>0.03875 (0.05481)</t>
  </si>
  <si>
    <t>0.01009 (0.00195)</t>
  </si>
  <si>
    <t>0.03655 (0.00699)</t>
  </si>
  <si>
    <t>0.00202 (0.00040)</t>
  </si>
  <si>
    <t>rplP</t>
  </si>
  <si>
    <t>ribosomal protein L16</t>
  </si>
  <si>
    <t>rpmC</t>
  </si>
  <si>
    <t>ribosomal protein L29</t>
  </si>
  <si>
    <t>rpsQ</t>
  </si>
  <si>
    <t>ribosomal protein S17 (BS16)</t>
  </si>
  <si>
    <t>rplNA</t>
  </si>
  <si>
    <t>ribosomal protein L14</t>
  </si>
  <si>
    <t>rplX</t>
  </si>
  <si>
    <t>ribosomal protein L24 (BL23)</t>
  </si>
  <si>
    <t>rplE</t>
  </si>
  <si>
    <t>ribosomal protein L5 (BL6)</t>
  </si>
  <si>
    <t>rpsNA</t>
  </si>
  <si>
    <t>ribosomal protein S14</t>
  </si>
  <si>
    <t>rpsH</t>
  </si>
  <si>
    <t>ribosomal protein S8 (BS8)</t>
  </si>
  <si>
    <t>0.10094 (0.11655)</t>
  </si>
  <si>
    <t>0.00556 (0.00078)</t>
  </si>
  <si>
    <t>0.01978 (0.00263)</t>
  </si>
  <si>
    <t>0.00132 (0.00049)</t>
  </si>
  <si>
    <t>rplF</t>
  </si>
  <si>
    <t>ribosomal protein L6 (BL8)</t>
  </si>
  <si>
    <t>0.02932 (0.03840)</t>
  </si>
  <si>
    <t>0.10694 (0.00000)</t>
  </si>
  <si>
    <t>0.02110 (0.00342)</t>
  </si>
  <si>
    <t>0.07562 (0.01265)</t>
  </si>
  <si>
    <t>0.00456 (0.00108)</t>
  </si>
  <si>
    <t>rplR</t>
  </si>
  <si>
    <t>ribosomal protein L18</t>
  </si>
  <si>
    <t>rpsE</t>
  </si>
  <si>
    <t>ribosomal protein S5</t>
  </si>
  <si>
    <t>rpmD</t>
  </si>
  <si>
    <t>ribosomal protein L30 (BL27)</t>
  </si>
  <si>
    <t>0.01356 (0.00199)</t>
  </si>
  <si>
    <t>0.06260 (0.00950)</t>
  </si>
  <si>
    <t>rplO</t>
  </si>
  <si>
    <t>ribosomal protein L15</t>
  </si>
  <si>
    <t>0.00381 (0.00069)</t>
  </si>
  <si>
    <t>0.01575 (0.00291)</t>
  </si>
  <si>
    <t>secY</t>
  </si>
  <si>
    <t>0.02826 (0.05412)</t>
  </si>
  <si>
    <t>0.09488 (0.09973)</t>
  </si>
  <si>
    <t>0.01137 (0.00207)</t>
  </si>
  <si>
    <t>0.03986 (0.00703)</t>
  </si>
  <si>
    <t>0.00285 (0.00069)</t>
  </si>
  <si>
    <t>adk</t>
  </si>
  <si>
    <t>adenylate kinase</t>
  </si>
  <si>
    <t>0.04232 (0.06831)</t>
  </si>
  <si>
    <t>0.04888 (0.05016)</t>
  </si>
  <si>
    <t>0.01137 (0.00171)</t>
  </si>
  <si>
    <t>0.04432 (0.00679)</t>
  </si>
  <si>
    <t>0.00200 (0.00035)</t>
  </si>
  <si>
    <t>mapA</t>
  </si>
  <si>
    <t>methionine aminopeptidase</t>
  </si>
  <si>
    <t>infA</t>
  </si>
  <si>
    <t>initiation factor IF-I</t>
  </si>
  <si>
    <t>rpmJ</t>
  </si>
  <si>
    <t>ribosomal protein L36 (ribosomal protein B)</t>
  </si>
  <si>
    <t>rpsM</t>
  </si>
  <si>
    <t>ribosomal protein S13</t>
  </si>
  <si>
    <t>rpsK</t>
  </si>
  <si>
    <t>ribosomal protein S11 (BS11)</t>
  </si>
  <si>
    <t>rpoA</t>
  </si>
  <si>
    <t>RNA polymerase (alpha subunit)</t>
  </si>
  <si>
    <t>0.00655 (0.00131)</t>
  </si>
  <si>
    <t>0.02860 (0.00583)</t>
  </si>
  <si>
    <t>rplQ</t>
  </si>
  <si>
    <t>ribosomal protein L17 (BL15)</t>
  </si>
  <si>
    <t>0.00602 (0.00078)</t>
  </si>
  <si>
    <t>0.02567 (0.00337)</t>
  </si>
  <si>
    <t>ecfA</t>
  </si>
  <si>
    <t>energizing coupling factor of ABC influxtransporter (ATP-binding protein)</t>
  </si>
  <si>
    <t>0.07793 (0.06963)</t>
  </si>
  <si>
    <t>0.01601 (0.00000)</t>
  </si>
  <si>
    <t>0.01922 (0.00384)</t>
  </si>
  <si>
    <t>0.08219 (0.01720)</t>
  </si>
  <si>
    <t>0.00276 (0.00057)</t>
  </si>
  <si>
    <t>truA</t>
  </si>
  <si>
    <t>tRNA pseudouridine (38-40) synthase</t>
  </si>
  <si>
    <t>0.08999 (0.06385)</t>
  </si>
  <si>
    <t>0.13445 (0.07386)</t>
  </si>
  <si>
    <t>0.02874 (0.00459)</t>
  </si>
  <si>
    <t>0.09714 (0.01499)</t>
  </si>
  <si>
    <t>0.01030 (0.00193)</t>
  </si>
  <si>
    <t>rplM</t>
  </si>
  <si>
    <t>ribosomal protein L13</t>
  </si>
  <si>
    <t>rpsI</t>
  </si>
  <si>
    <t>ribosomal protein S9</t>
  </si>
  <si>
    <t>0.14715 (0.16573)</t>
  </si>
  <si>
    <t>0.01487 (0.00347)</t>
  </si>
  <si>
    <t>0.04738 (0.01164)</t>
  </si>
  <si>
    <t>0.00419 (0.00108)</t>
  </si>
  <si>
    <t>ybaK</t>
  </si>
  <si>
    <t>0.11592 (0.02175)</t>
  </si>
  <si>
    <t>0.05405 (0.05061)</t>
  </si>
  <si>
    <t>0.03311 (0.00291)</t>
  </si>
  <si>
    <t>0.13150 (0.01371)</t>
  </si>
  <si>
    <t>0.01126 (0.00119)</t>
  </si>
  <si>
    <t>gerD</t>
  </si>
  <si>
    <t>lipoprotein factor mediating clustering ofgermination proteins</t>
  </si>
  <si>
    <t>0.04721 (0.05672)</t>
  </si>
  <si>
    <t>0.07804 (0.00000)</t>
  </si>
  <si>
    <t>0.02823 (0.00666)</t>
  </si>
  <si>
    <t>0.12328 (0.02895)</t>
  </si>
  <si>
    <t>0.00862 (0.00169)</t>
  </si>
  <si>
    <t>kbaA</t>
  </si>
  <si>
    <t>inner membrane protein involved in activation ofthe KinB signaling pathway to sporulation</t>
  </si>
  <si>
    <t>0.02006 (0.03242)</t>
  </si>
  <si>
    <t>0.03535 (0.00000)</t>
  </si>
  <si>
    <t>0.03002 (0.00530)</t>
  </si>
  <si>
    <t>0.13429 (0.02449)</t>
  </si>
  <si>
    <t>0.00399 (0.00068)</t>
  </si>
  <si>
    <t>feuA</t>
  </si>
  <si>
    <t>ferri-bacillibactin-binding lipoprotein</t>
  </si>
  <si>
    <t>0.04603 (0.05326)</t>
  </si>
  <si>
    <t>0.02611 (0.00555)</t>
  </si>
  <si>
    <t>0.11282 (0.02466)</t>
  </si>
  <si>
    <t>0.00473 (0.00131)</t>
  </si>
  <si>
    <t>sigW</t>
  </si>
  <si>
    <t>RNA polymerase ECF(extracytoplasmicfunction)-type sigma factor W</t>
  </si>
  <si>
    <t>0.04662 (0.03645)</t>
  </si>
  <si>
    <t>0.02353 (0.00355)</t>
  </si>
  <si>
    <t>0.10887 (0.01896)</t>
  </si>
  <si>
    <t>0.00184 (0.00030)</t>
  </si>
  <si>
    <t>rsiW</t>
  </si>
  <si>
    <t>anti-sigma(W) factor</t>
  </si>
  <si>
    <t>0.04656 (0.04100)</t>
  </si>
  <si>
    <t>0.10885 (0.08370)</t>
  </si>
  <si>
    <t>0.02580 (0.00427)</t>
  </si>
  <si>
    <t>0.09770 (0.01517)</t>
  </si>
  <si>
    <t>0.00898 (0.00197)</t>
  </si>
  <si>
    <t>cdaA</t>
  </si>
  <si>
    <t>diadenylate cyclase</t>
  </si>
  <si>
    <t>0.02686 (0.00428)</t>
  </si>
  <si>
    <t>0.12571 (0.02079)</t>
  </si>
  <si>
    <t>0.00032 (0.00019)</t>
  </si>
  <si>
    <t>glmM</t>
  </si>
  <si>
    <t>phosphoglucosamine mutase</t>
  </si>
  <si>
    <t>0.00375 (0.00942)</t>
  </si>
  <si>
    <t>0.02778 (0.00912)</t>
  </si>
  <si>
    <t>0.13124 (0.04492)</t>
  </si>
  <si>
    <t>0.00114 (0.00027)</t>
  </si>
  <si>
    <t>glmS</t>
  </si>
  <si>
    <t>L-glutamine-D-fructose-6-phosphateamidotransferase</t>
  </si>
  <si>
    <t>0.01913 (0.00953)</t>
  </si>
  <si>
    <t>0.02401 (0.02612)</t>
  </si>
  <si>
    <t>0.03156 (0.00450)</t>
  </si>
  <si>
    <t>0.13519 (0.02025)</t>
  </si>
  <si>
    <t>0.00294 (0.00052)</t>
  </si>
  <si>
    <t>ybcI</t>
  </si>
  <si>
    <t>conserved hypothetical protein; prophage 1region</t>
  </si>
  <si>
    <t>ybzH</t>
  </si>
  <si>
    <t>putative transcriptional regulator (ArsRfamily); prophage 1 region</t>
  </si>
  <si>
    <t>0.07970 (0.04913)</t>
  </si>
  <si>
    <t>0.02889 (0.00428)</t>
  </si>
  <si>
    <t>0.12415 (0.02086)</t>
  </si>
  <si>
    <t>0.00502 (0.00158)</t>
  </si>
  <si>
    <t>ybcL</t>
  </si>
  <si>
    <t>putative efflux transporter; prophage 1 region</t>
  </si>
  <si>
    <t>0.08179 (0.02206)</t>
  </si>
  <si>
    <t>0.05889 (0.00000)</t>
  </si>
  <si>
    <t>0.03504 (0.00299)</t>
  </si>
  <si>
    <t>0.12178 (0.00995)</t>
  </si>
  <si>
    <t>0.00955 (0.00132)</t>
  </si>
  <si>
    <t>csgA</t>
  </si>
  <si>
    <t>sporulation-specific SASP protein</t>
  </si>
  <si>
    <t>0.11896 (0.04082)</t>
  </si>
  <si>
    <t>0.05776 (0.00000)</t>
  </si>
  <si>
    <t>0.03184 (0.00443)</t>
  </si>
  <si>
    <t>0.12953 (0.02112)</t>
  </si>
  <si>
    <t>0.01105 (0.00144)</t>
  </si>
  <si>
    <t>ybxH</t>
  </si>
  <si>
    <t>0.09513 (0.08512)</t>
  </si>
  <si>
    <t>0.11535 (0.00000)</t>
  </si>
  <si>
    <t>0.03280 (0.00574)</t>
  </si>
  <si>
    <t>0.12560 (0.02415)</t>
  </si>
  <si>
    <t>0.01335 (0.00251)</t>
  </si>
  <si>
    <t>ybyB</t>
  </si>
  <si>
    <t>0.08562 (0.12487)</t>
  </si>
  <si>
    <t>0.01809 (0.00435)</t>
  </si>
  <si>
    <t>0.07194 (0.01485)</t>
  </si>
  <si>
    <t>0.00494 (0.00202)</t>
  </si>
  <si>
    <t>ybfQ</t>
  </si>
  <si>
    <t>putative enzyme with rhodanese domain</t>
  </si>
  <si>
    <t>0.01501 (0.02783)</t>
  </si>
  <si>
    <t>0.05418 (0.06717)</t>
  </si>
  <si>
    <t>0.02878 (0.00526)</t>
  </si>
  <si>
    <t>0.12816 (0.02346)</t>
  </si>
  <si>
    <t>0.00530 (0.00109)</t>
  </si>
  <si>
    <t>gamR</t>
  </si>
  <si>
    <t>transcriptional regulator-GlcN6P (GntR family)</t>
  </si>
  <si>
    <t>cwlJ</t>
  </si>
  <si>
    <t>spore cortex cell wall hydrolase</t>
  </si>
  <si>
    <t>0.07650 (0.04052)</t>
  </si>
  <si>
    <t>0.03756 (0.00559)</t>
  </si>
  <si>
    <t>0.14967 (0.02522)</t>
  </si>
  <si>
    <t>0.00919 (0.00162)</t>
  </si>
  <si>
    <t>tatAD</t>
  </si>
  <si>
    <t>component of the twin-arginine pre-proteintranslocation pathway</t>
  </si>
  <si>
    <t>0.02476 (0.00349)</t>
  </si>
  <si>
    <t>0.10851 (0.01638)</t>
  </si>
  <si>
    <t>natA</t>
  </si>
  <si>
    <t>Na+ ABC efflux transporter (ATP-bindingprotein)</t>
  </si>
  <si>
    <t>0.17110 (0.15908)</t>
  </si>
  <si>
    <t>0.01965 (0.00439)</t>
  </si>
  <si>
    <t>0.05722 (0.01383)</t>
  </si>
  <si>
    <t>0.00969 (0.00207)</t>
  </si>
  <si>
    <t>natB</t>
  </si>
  <si>
    <t>Na+ ABC efflux transporter (permease)</t>
  </si>
  <si>
    <t>0.10995 (0.12683)</t>
  </si>
  <si>
    <t>0.11854 (0.00000)</t>
  </si>
  <si>
    <t>0.03138 (0.00725)</t>
  </si>
  <si>
    <t>0.10724 (0.02704)</t>
  </si>
  <si>
    <t>0.01171 (0.00240)</t>
  </si>
  <si>
    <t>BSU_02785</t>
  </si>
  <si>
    <t>hypothetical proteingene            300830..302248CDS             300830..302248organisms</t>
  </si>
  <si>
    <t>yceE</t>
  </si>
  <si>
    <t>putative stress adaptation protein (telluriteresistance)</t>
  </si>
  <si>
    <t>0.02171 (0.04079)</t>
  </si>
  <si>
    <t>0.01834 (0.01788)</t>
  </si>
  <si>
    <t>0.02500 (0.00410)</t>
  </si>
  <si>
    <t>0.11365 (0.01889)</t>
  </si>
  <si>
    <t>0.00225 (0.00055)</t>
  </si>
  <si>
    <t>yceF</t>
  </si>
  <si>
    <t>putative stress adaptation transporter(tellurite resistance)</t>
  </si>
  <si>
    <t>0.06168 (0.11380)</t>
  </si>
  <si>
    <t>0.03005 (0.00775)</t>
  </si>
  <si>
    <t>0.12480 (0.03201)</t>
  </si>
  <si>
    <t>0.00619 (0.00210)</t>
  </si>
  <si>
    <t>yceH</t>
  </si>
  <si>
    <t>putative reactive oxygen species resistanceprotein</t>
  </si>
  <si>
    <t>0.01188 (0.02513)</t>
  </si>
  <si>
    <t>0.02954 (0.00783)</t>
  </si>
  <si>
    <t>0.15382 (0.04212)</t>
  </si>
  <si>
    <t>0.00175 (0.00071)</t>
  </si>
  <si>
    <t>yceK</t>
  </si>
  <si>
    <t>putative transcriptional regulator (ArsRfamily)</t>
  </si>
  <si>
    <t>opuAB</t>
  </si>
  <si>
    <t>L-proline betaine and betonicine ABC transporter(permease)</t>
  </si>
  <si>
    <t>0.04059 (0.02214)</t>
  </si>
  <si>
    <t>0.03394 (0.02744)</t>
  </si>
  <si>
    <t>0.02920 (0.00308)</t>
  </si>
  <si>
    <t>0.11488 (0.01359)</t>
  </si>
  <si>
    <t>0.00379 (0.00046)</t>
  </si>
  <si>
    <t>lctE</t>
  </si>
  <si>
    <t>L-lactate dehydrogenase</t>
  </si>
  <si>
    <t>mdr</t>
  </si>
  <si>
    <t>multidrug-efflux transporter</t>
  </si>
  <si>
    <t>aroK</t>
  </si>
  <si>
    <t>shikimate kinase</t>
  </si>
  <si>
    <t>0.06797 (0.06545)</t>
  </si>
  <si>
    <t>0.03387 (0.00619)</t>
  </si>
  <si>
    <t>0.16054 (0.02979)</t>
  </si>
  <si>
    <t>0.00680 (0.00134)</t>
  </si>
  <si>
    <t>putB</t>
  </si>
  <si>
    <t>proline oxidase</t>
  </si>
  <si>
    <t>0.05921 (0.05599)</t>
  </si>
  <si>
    <t>0.13237 (0.01382)</t>
  </si>
  <si>
    <t>0.02926 (0.00321)</t>
  </si>
  <si>
    <t>0.11031 (0.01200)</t>
  </si>
  <si>
    <t>0.00959 (0.00093)</t>
  </si>
  <si>
    <t>putR</t>
  </si>
  <si>
    <t>transcriptional activator of proline degradationoperon</t>
  </si>
  <si>
    <t>0.03074 (0.03970)</t>
  </si>
  <si>
    <t>0.03179 (0.00627)</t>
  </si>
  <si>
    <t>0.15894 (0.03155)</t>
  </si>
  <si>
    <t>0.00310 (0.00074)</t>
  </si>
  <si>
    <t>ycgQ</t>
  </si>
  <si>
    <t>0.05111 (0.02914)</t>
  </si>
  <si>
    <t>0.06157 (0.06745)</t>
  </si>
  <si>
    <t>0.03815 (0.00530)</t>
  </si>
  <si>
    <t>0.16202 (0.02373)</t>
  </si>
  <si>
    <t>0.00821 (0.00130)</t>
  </si>
  <si>
    <t>nasE</t>
  </si>
  <si>
    <t>assimilatory nitrite reductase subunit</t>
  </si>
  <si>
    <t>0.04017 (0.07411)</t>
  </si>
  <si>
    <t>0.07603 (0.05376)</t>
  </si>
  <si>
    <t>0.02704 (0.00443)</t>
  </si>
  <si>
    <t>0.10897 (0.01890)</t>
  </si>
  <si>
    <t>0.00650 (0.00118)</t>
  </si>
  <si>
    <t>nasD</t>
  </si>
  <si>
    <t>0.04498 (0.02444)</t>
  </si>
  <si>
    <t>0.05998 (0.00000)</t>
  </si>
  <si>
    <t>0.03444 (0.00597)</t>
  </si>
  <si>
    <t>0.14370 (0.02670)</t>
  </si>
  <si>
    <t>0.00597 (0.00117)</t>
  </si>
  <si>
    <t>hxlR</t>
  </si>
  <si>
    <t>positive regulator of hxlAB expression(formaldehyde sensing)</t>
  </si>
  <si>
    <t>0.04932 (0.03692)</t>
  </si>
  <si>
    <t>0.18692 (0.00000)</t>
  </si>
  <si>
    <t>0.03657 (0.00479)</t>
  </si>
  <si>
    <t>0.14561 (0.01695)</t>
  </si>
  <si>
    <t>0.01234 (0.00135)</t>
  </si>
  <si>
    <t>comS</t>
  </si>
  <si>
    <t>regulator of genetic competence</t>
  </si>
  <si>
    <t>0.57651 (0.83212)</t>
  </si>
  <si>
    <t>0.01570 (0.00203)</t>
  </si>
  <si>
    <t>0.03865 (0.00942)</t>
  </si>
  <si>
    <t>0.00945 (0.00159)</t>
  </si>
  <si>
    <t>Neutral</t>
  </si>
  <si>
    <t>yczE</t>
  </si>
  <si>
    <t>integral inner membrane protein regulatingantibiotic production</t>
  </si>
  <si>
    <t>0.10713 (0.11333)</t>
  </si>
  <si>
    <t>0.02636 (0.00508)</t>
  </si>
  <si>
    <t>0.08357 (0.01467)</t>
  </si>
  <si>
    <t>0.00842 (0.00244)</t>
  </si>
  <si>
    <t>tcyC</t>
  </si>
  <si>
    <t>cystine ABC transporter (ATP-binding protein)</t>
  </si>
  <si>
    <t>0.06618 (0.03776)</t>
  </si>
  <si>
    <t>0.02750 (0.03227)</t>
  </si>
  <si>
    <t>0.03428 (0.00485)</t>
  </si>
  <si>
    <t>0.14565 (0.02291)</t>
  </si>
  <si>
    <t>0.00632 (0.00094)</t>
  </si>
  <si>
    <t>tcyB</t>
  </si>
  <si>
    <t>cystine ABC transporter (permease)</t>
  </si>
  <si>
    <t>0.11130 (0.07571)</t>
  </si>
  <si>
    <t>0.06526 (0.02995)</t>
  </si>
  <si>
    <t>0.01610 (0.00256)</t>
  </si>
  <si>
    <t>0.05514 (0.00934)</t>
  </si>
  <si>
    <t>0.00382 (0.00060)</t>
  </si>
  <si>
    <t>ubiX</t>
  </si>
  <si>
    <t>phenolic acid decarboxylase-flavinprenyltransferase subunit</t>
  </si>
  <si>
    <t>0.05530 (0.03475)</t>
  </si>
  <si>
    <t>0.30175 (0.00000)</t>
  </si>
  <si>
    <t>0.02941 (0.00495)</t>
  </si>
  <si>
    <t>0.10843 (0.02148)</t>
  </si>
  <si>
    <t>0.00822 (0.00118)</t>
  </si>
  <si>
    <t>yclJ</t>
  </si>
  <si>
    <t>two-component response regulator [YclK](possibly involved in arabinogalactan metabolism)</t>
  </si>
  <si>
    <t>0.04965 (0.06987)</t>
  </si>
  <si>
    <t>0.02863 (0.00656)</t>
  </si>
  <si>
    <t>0.12529 (0.02816)</t>
  </si>
  <si>
    <t>0.00565 (0.00183)</t>
  </si>
  <si>
    <t>rapC</t>
  </si>
  <si>
    <t>response regulator aspartate phosphatase</t>
  </si>
  <si>
    <t>0.03889 (0.00771)</t>
  </si>
  <si>
    <t>0.05144 (0.06427)</t>
  </si>
  <si>
    <t>0.02688 (0.00491)</t>
  </si>
  <si>
    <t>0.11601 (0.02138)</t>
  </si>
  <si>
    <t>0.00537 (0.00112)</t>
  </si>
  <si>
    <t>phrC</t>
  </si>
  <si>
    <t>secreted regulator of the activity ofphosphatase RapC and competence and sporulationstimulating factor (CSF)</t>
  </si>
  <si>
    <t>pbtN</t>
  </si>
  <si>
    <t>petrobactin iron-siderophore ABC transporter(permease)</t>
  </si>
  <si>
    <t>0.03959 (0.02287)</t>
  </si>
  <si>
    <t>0.03899 (0.04892)</t>
  </si>
  <si>
    <t>0.02563 (0.00376)</t>
  </si>
  <si>
    <t>0.09979 (0.01521)</t>
  </si>
  <si>
    <t>0.00407 (0.00070)</t>
  </si>
  <si>
    <t>pbtO</t>
  </si>
  <si>
    <t>0.04615 (0.04142)</t>
  </si>
  <si>
    <t>0.05823 (0.07644)</t>
  </si>
  <si>
    <t>0.02825 (0.00539)</t>
  </si>
  <si>
    <t>0.11065 (0.02151)</t>
  </si>
  <si>
    <t>0.00586 (0.00123)</t>
  </si>
  <si>
    <t>ycnC</t>
  </si>
  <si>
    <t>putative transcriptional regulator (TetR/AcrRfamily)</t>
  </si>
  <si>
    <t>0.11395 (0.03812)</t>
  </si>
  <si>
    <t>0.05029 (0.02841)</t>
  </si>
  <si>
    <t>0.03425 (0.00437)</t>
  </si>
  <si>
    <t>0.13291 (0.02047)</t>
  </si>
  <si>
    <t>0.00936 (0.00097)</t>
  </si>
  <si>
    <t>ycnE</t>
  </si>
  <si>
    <t>putative AI-2 degrading enzyme</t>
  </si>
  <si>
    <t>0.05155 (0.06945)</t>
  </si>
  <si>
    <t>0.02996 (0.00000)</t>
  </si>
  <si>
    <t>0.03191 (0.00642)</t>
  </si>
  <si>
    <t>0.15090 (0.03253)</t>
  </si>
  <si>
    <t>0.00525 (0.00091)</t>
  </si>
  <si>
    <t>pxpA</t>
  </si>
  <si>
    <t>oxoprolinase subunit A</t>
  </si>
  <si>
    <t>0.06463 (0.06442)</t>
  </si>
  <si>
    <t>0.03199 (0.00831)</t>
  </si>
  <si>
    <t>0.11658 (0.03452)</t>
  </si>
  <si>
    <t>0.00945 (0.00176)</t>
  </si>
  <si>
    <t>yczI</t>
  </si>
  <si>
    <t>yczJ</t>
  </si>
  <si>
    <t>0.03267 (0.06198)</t>
  </si>
  <si>
    <t>0.05236 (0.05084)</t>
  </si>
  <si>
    <t>0.02553 (0.00456)</t>
  </si>
  <si>
    <t>0.11352 (0.02030)</t>
  </si>
  <si>
    <t>0.00453 (0.00111)</t>
  </si>
  <si>
    <t>ydaG</t>
  </si>
  <si>
    <t>putative general stress protein</t>
  </si>
  <si>
    <t>0.06472 (0.05848)</t>
  </si>
  <si>
    <t>0.03309 (0.00459)</t>
  </si>
  <si>
    <t>0.14914 (0.01994)</t>
  </si>
  <si>
    <t>0.00622 (0.00153)</t>
  </si>
  <si>
    <t>ydzA</t>
  </si>
  <si>
    <t>0.18921 (0.11651)</t>
  </si>
  <si>
    <t>0.02836 (0.00413)</t>
  </si>
  <si>
    <t>0.09073 (0.01564)</t>
  </si>
  <si>
    <t>0.00937 (0.00157)</t>
  </si>
  <si>
    <t>lrpC</t>
  </si>
  <si>
    <t>transcriptional regulator (Lrp/AsnC family)</t>
  </si>
  <si>
    <t>0.12333 (0.08964)</t>
  </si>
  <si>
    <t>0.03333 (0.00604)</t>
  </si>
  <si>
    <t>0.15544 (0.03030)</t>
  </si>
  <si>
    <t>0.00365 (0.00094)</t>
  </si>
  <si>
    <t>ydaM</t>
  </si>
  <si>
    <t>putative glycosyltransferase associated tobiofilm formation</t>
  </si>
  <si>
    <t>gsiB</t>
  </si>
  <si>
    <t>general stress protein glucose starvationinduced</t>
  </si>
  <si>
    <t>0.06883 (0.02042)</t>
  </si>
  <si>
    <t>0.03159 (0.02282)</t>
  </si>
  <si>
    <t>0.03089 (0.00274)</t>
  </si>
  <si>
    <t>0.15076 (0.01429)</t>
  </si>
  <si>
    <t>0.00703 (0.00121)</t>
  </si>
  <si>
    <t>dctP</t>
  </si>
  <si>
    <t>C4-dicarboxylate transport protein</t>
  </si>
  <si>
    <t>0.02702 (0.01163)</t>
  </si>
  <si>
    <t>0.02186 (0.02339)</t>
  </si>
  <si>
    <t>0.03088 (0.00477)</t>
  </si>
  <si>
    <t>0.13556 (0.02254)</t>
  </si>
  <si>
    <t>0.00271 (0.00032)</t>
  </si>
  <si>
    <t>ydbL</t>
  </si>
  <si>
    <t>putative glyco-prenyl flippase subunit</t>
  </si>
  <si>
    <t>0.03481 (0.05464)</t>
  </si>
  <si>
    <t>0.04303 (0.00000)</t>
  </si>
  <si>
    <t>0.03003 (0.00470)</t>
  </si>
  <si>
    <t>0.11994 (0.01876)</t>
  </si>
  <si>
    <t>0.00464 (0.00081)</t>
  </si>
  <si>
    <t>fbpB</t>
  </si>
  <si>
    <t>regulator of iron homeostasis</t>
  </si>
  <si>
    <t>0.58672 (0.26301)</t>
  </si>
  <si>
    <t>0.03051 (0.00409)</t>
  </si>
  <si>
    <t>0.07731 (0.01072)</t>
  </si>
  <si>
    <t>0.02018 (0.00383)</t>
  </si>
  <si>
    <t>fbpA</t>
  </si>
  <si>
    <t>0.41922 (0.46646)</t>
  </si>
  <si>
    <t>0.01790 (0.00222)</t>
  </si>
  <si>
    <t>0.05008 (0.01113)</t>
  </si>
  <si>
    <t>0.00960 (0.00185)</t>
  </si>
  <si>
    <t>ydbP</t>
  </si>
  <si>
    <t>putative thioredoxin or thiol-disulfideisomerase</t>
  </si>
  <si>
    <t>0.02215 (0.02173)</t>
  </si>
  <si>
    <t>0.02830 (0.00471)</t>
  </si>
  <si>
    <t>0.15572 (0.02633)</t>
  </si>
  <si>
    <t>0.00234 (0.00056)</t>
  </si>
  <si>
    <t>ddlA</t>
  </si>
  <si>
    <t>D-alanyl-D-alanine ligase A</t>
  </si>
  <si>
    <t>0.04973 (0.04180)</t>
  </si>
  <si>
    <t>0.02584 (0.02224)</t>
  </si>
  <si>
    <t>0.02993 (0.00403)</t>
  </si>
  <si>
    <t>0.12626 (0.01753)</t>
  </si>
  <si>
    <t>0.00504 (0.00091)</t>
  </si>
  <si>
    <t>cshA</t>
  </si>
  <si>
    <t>ATP-dependent RNA helicase; cold shock</t>
  </si>
  <si>
    <t>0.01869 (0.02192)</t>
  </si>
  <si>
    <t>0.02668 (0.00000)</t>
  </si>
  <si>
    <t>0.03126 (0.00516)</t>
  </si>
  <si>
    <t>0.13777 (0.02489)</t>
  </si>
  <si>
    <t>0.00295 (0.00061)</t>
  </si>
  <si>
    <t>ndoAI</t>
  </si>
  <si>
    <t>antitoxin EndoAI</t>
  </si>
  <si>
    <t>ndoA</t>
  </si>
  <si>
    <t>endoribonuclease toxin</t>
  </si>
  <si>
    <t>rsbT</t>
  </si>
  <si>
    <t>switch protein/serine-threonine kinase; controlsthe activity of the anxiosome (stressosome)</t>
  </si>
  <si>
    <t>rsbU</t>
  </si>
  <si>
    <t>protein serine phosphatase; controls theactivity of the anxiosome (stressosome)</t>
  </si>
  <si>
    <t>0.01768 (0.01160)</t>
  </si>
  <si>
    <t>0.02197 (0.00410)</t>
  </si>
  <si>
    <t>0.03353 (0.00489)</t>
  </si>
  <si>
    <t>0.16429 (0.02480)</t>
  </si>
  <si>
    <t>0.00330 (0.00057)</t>
  </si>
  <si>
    <t>rsbV</t>
  </si>
  <si>
    <t>anti-anti-sigma factor (antagonist of RsbW)</t>
  </si>
  <si>
    <t>rsbW</t>
  </si>
  <si>
    <t>switch protein/serine kinase and anti-sigmafactor (inhibitory sigma-B binding protein)</t>
  </si>
  <si>
    <t>sigB</t>
  </si>
  <si>
    <t>RNA polymerase sigma-37 factor (sigma(B))</t>
  </si>
  <si>
    <t>0.03592 (0.09116)</t>
  </si>
  <si>
    <t>0.02608 (0.00734)</t>
  </si>
  <si>
    <t>0.11916 (0.03336)</t>
  </si>
  <si>
    <t>0.00328 (0.00134)</t>
  </si>
  <si>
    <t>rsbX</t>
  </si>
  <si>
    <t>serine phosphatase</t>
  </si>
  <si>
    <t>0.04043 (0.05025)</t>
  </si>
  <si>
    <t>0.14545 (0.00000)</t>
  </si>
  <si>
    <t>0.02261 (0.00659)</t>
  </si>
  <si>
    <t>0.09227 (0.02970)</t>
  </si>
  <si>
    <t>0.00471 (0.00095)</t>
  </si>
  <si>
    <t>cmpA</t>
  </si>
  <si>
    <t>factor allowing degradation of SpoIVA by ClpXPgene            528129..528581CDS             528129..528581organisms</t>
  </si>
  <si>
    <t>cspC</t>
  </si>
  <si>
    <t>cold-shock protein</t>
  </si>
  <si>
    <t>0.12643 (0.15559)</t>
  </si>
  <si>
    <t>0.08175 (0.00000)</t>
  </si>
  <si>
    <t>0.02862 (0.00471)</t>
  </si>
  <si>
    <t>0.10731 (0.01861)</t>
  </si>
  <si>
    <t>0.01069 (0.00230)</t>
  </si>
  <si>
    <t>ydeE</t>
  </si>
  <si>
    <t>putative transcriptional regulator (AraC/XylSfamily)</t>
  </si>
  <si>
    <t>0.18948 (0.09946)</t>
  </si>
  <si>
    <t>0.14082 (0.00000)</t>
  </si>
  <si>
    <t>0.03640 (0.00599)</t>
  </si>
  <si>
    <t>0.10437 (0.01795)</t>
  </si>
  <si>
    <t>0.01972 (0.00337)</t>
  </si>
  <si>
    <t>ydeN</t>
  </si>
  <si>
    <t>putative alpha/beta hydrolase</t>
  </si>
  <si>
    <t>0.24821 (0.09763)</t>
  </si>
  <si>
    <t>0.21488 (0.00000)</t>
  </si>
  <si>
    <t>0.03333 (0.00411)</t>
  </si>
  <si>
    <t>0.08280 (0.01319)</t>
  </si>
  <si>
    <t>0.02069 (0.00225)</t>
  </si>
  <si>
    <t>ydzF</t>
  </si>
  <si>
    <t>0.65409 (1.04725)</t>
  </si>
  <si>
    <t>0.26825 (0.00000)</t>
  </si>
  <si>
    <t>0.02366 (0.00383)</t>
  </si>
  <si>
    <t>0.04039 (0.01284)</t>
  </si>
  <si>
    <t>0.01987 (0.00164)</t>
  </si>
  <si>
    <t>ydgI</t>
  </si>
  <si>
    <t>nitroreductase of unidentified specificity(reduces 5-(aziridin-1-yl)-2,4-dinitrobenzamide prodrug)</t>
  </si>
  <si>
    <t>0.00970 (0.02031)</t>
  </si>
  <si>
    <t>0.30234 (0.00000)</t>
  </si>
  <si>
    <t>0.02472 (0.00537)</t>
  </si>
  <si>
    <t>0.10826 (0.02729)</t>
  </si>
  <si>
    <t>0.00243 (0.00042)</t>
  </si>
  <si>
    <t>ydgJ</t>
  </si>
  <si>
    <t>putative transcriptional regulator (MarRfamily)</t>
  </si>
  <si>
    <t>0.25310 (0.17180)</t>
  </si>
  <si>
    <t>0.07478 (0.01745)</t>
  </si>
  <si>
    <t>0.03292 (0.00453)</t>
  </si>
  <si>
    <t>0.10797 (0.01832)</t>
  </si>
  <si>
    <t>0.01434 (0.00132)</t>
  </si>
  <si>
    <t>pbuE</t>
  </si>
  <si>
    <t>hypoxanthine efflux transporter</t>
  </si>
  <si>
    <t>0.04430 (0.01231)</t>
  </si>
  <si>
    <t>0.02274 (0.03007)</t>
  </si>
  <si>
    <t>0.02930 (0.00506)</t>
  </si>
  <si>
    <t>0.11613 (0.02112)</t>
  </si>
  <si>
    <t>0.00369 (0.00069)</t>
  </si>
  <si>
    <t>gmuR</t>
  </si>
  <si>
    <t>transcriptional regulator (GntR family)</t>
  </si>
  <si>
    <t>0.05529 (0.01881)</t>
  </si>
  <si>
    <t>0.05549 (0.00000)</t>
  </si>
  <si>
    <t>0.03024 (0.00517)</t>
  </si>
  <si>
    <t>0.12564 (0.02436)</t>
  </si>
  <si>
    <t>0.00665 (0.00102)</t>
  </si>
  <si>
    <t>rimI</t>
  </si>
  <si>
    <t>ribosomal protein S18 alanineN-acetyltransferase</t>
  </si>
  <si>
    <t>0.06441 (0.03748)</t>
  </si>
  <si>
    <t>0.10304 (0.08100)</t>
  </si>
  <si>
    <t>0.02737 (0.00511)</t>
  </si>
  <si>
    <t>0.10133 (0.01973)</t>
  </si>
  <si>
    <t>0.00860 (0.00152)</t>
  </si>
  <si>
    <t>moaC</t>
  </si>
  <si>
    <t>molybdenum cofactor biosynthesis protein C</t>
  </si>
  <si>
    <t>0.03532 (0.03326)</t>
  </si>
  <si>
    <t>0.02392 (0.00249)</t>
  </si>
  <si>
    <t>0.10640 (0.01095)</t>
  </si>
  <si>
    <t>0.00302 (0.00078)</t>
  </si>
  <si>
    <t>rex</t>
  </si>
  <si>
    <t>transcription repressor of cydABCD and yjlC-ndhexpression</t>
  </si>
  <si>
    <t>0.02698 (0.03206)</t>
  </si>
  <si>
    <t>0.01984 (0.00340)</t>
  </si>
  <si>
    <t>0.08625 (0.01510)</t>
  </si>
  <si>
    <t>0.00122 (0.00029)</t>
  </si>
  <si>
    <t>tatAY</t>
  </si>
  <si>
    <t>0.04703 (0.03732)</t>
  </si>
  <si>
    <t>0.03333 (0.00503)</t>
  </si>
  <si>
    <t>0.14578 (0.02168)</t>
  </si>
  <si>
    <t>0.00458 (0.00109)</t>
  </si>
  <si>
    <t>ydiK</t>
  </si>
  <si>
    <t>groES</t>
  </si>
  <si>
    <t>chaperonin small subunit</t>
  </si>
  <si>
    <t>groEL</t>
  </si>
  <si>
    <t>chaperonin large subunit</t>
  </si>
  <si>
    <t>0.00616 (0.01139)</t>
  </si>
  <si>
    <t>0.05769 (0.04388)</t>
  </si>
  <si>
    <t>0.01617 (0.00116)</t>
  </si>
  <si>
    <t>0.06549 (0.00459)</t>
  </si>
  <si>
    <t>0.00131 (0.00023)</t>
  </si>
  <si>
    <t>walM</t>
  </si>
  <si>
    <t>protein involved in cell wall metabolism</t>
  </si>
  <si>
    <t>0.03146 (0.03610)</t>
  </si>
  <si>
    <t>0.02087 (0.00362)</t>
  </si>
  <si>
    <t>0.09033 (0.01691)</t>
  </si>
  <si>
    <t>0.00212 (0.00041)</t>
  </si>
  <si>
    <t>guaA</t>
  </si>
  <si>
    <t>GMP synthetase</t>
  </si>
  <si>
    <t>0.05849 (0.02769)</t>
  </si>
  <si>
    <t>0.03190 (0.03613)</t>
  </si>
  <si>
    <t>0.02281 (0.00339)</t>
  </si>
  <si>
    <t>0.09642 (0.01512)</t>
  </si>
  <si>
    <t>0.00386 (0.00060)</t>
  </si>
  <si>
    <t>yebD</t>
  </si>
  <si>
    <t>hypothetical protein</t>
  </si>
  <si>
    <t>0.02751 (0.05546)</t>
  </si>
  <si>
    <t>0.03232 (0.00841)</t>
  </si>
  <si>
    <t>0.15913 (0.04159)</t>
  </si>
  <si>
    <t>0.00387 (0.00158)</t>
  </si>
  <si>
    <t>yebE</t>
  </si>
  <si>
    <t>0.04223 (0.01315)</t>
  </si>
  <si>
    <t>0.07869 (0.05925)</t>
  </si>
  <si>
    <t>0.02790 (0.00290)</t>
  </si>
  <si>
    <t>0.10483 (0.01179)</t>
  </si>
  <si>
    <t>0.00577 (0.00085)</t>
  </si>
  <si>
    <t>yebG</t>
  </si>
  <si>
    <t>0.03914 (0.06573)</t>
  </si>
  <si>
    <t>0.01744 (0.00243)</t>
  </si>
  <si>
    <t>0.08442 (0.01315)</t>
  </si>
  <si>
    <t>0.00256 (0.00099)</t>
  </si>
  <si>
    <t>purE</t>
  </si>
  <si>
    <t>N5-carboxyaminoimidazole ribonucleotide mutase</t>
  </si>
  <si>
    <t>0.08006 (0.04513)</t>
  </si>
  <si>
    <t>0.06015 (0.07519)</t>
  </si>
  <si>
    <t>0.02922 (0.00535)</t>
  </si>
  <si>
    <t>0.10745 (0.02076)</t>
  </si>
  <si>
    <t>0.00713 (0.00102)</t>
  </si>
  <si>
    <t>purK</t>
  </si>
  <si>
    <t>N5-carboxyaminoimidazole ribonucleotidesynthase</t>
  </si>
  <si>
    <t>0.15405 (0.08852)</t>
  </si>
  <si>
    <t>0.05735 (0.00000)</t>
  </si>
  <si>
    <t>0.03567 (0.00712)</t>
  </si>
  <si>
    <t>0.11611 (0.02594)</t>
  </si>
  <si>
    <t>0.01566 (0.00285)</t>
  </si>
  <si>
    <t>purB</t>
  </si>
  <si>
    <t>adenylosuccinate lyase</t>
  </si>
  <si>
    <t>0.01947 (0.01717)</t>
  </si>
  <si>
    <t>0.01213 (0.00243)</t>
  </si>
  <si>
    <t>0.03403 (0.00442)</t>
  </si>
  <si>
    <t>0.16206 (0.02277)</t>
  </si>
  <si>
    <t>0.00220 (0.00031)</t>
  </si>
  <si>
    <t>purC</t>
  </si>
  <si>
    <t>phosphoribosylaminoimidazole succinocarboxamidesynthetase</t>
  </si>
  <si>
    <t>0.07073 (0.02910)</t>
  </si>
  <si>
    <t>0.05462 (0.00000)</t>
  </si>
  <si>
    <t>0.03573 (0.00523)</t>
  </si>
  <si>
    <t>0.14581 (0.02696)</t>
  </si>
  <si>
    <t>0.00950 (0.00091)</t>
  </si>
  <si>
    <t>purS</t>
  </si>
  <si>
    <t>factor required forphosphoribosylformylglycinamidine synthetase activity</t>
  </si>
  <si>
    <t>0.03878 (0.06272)</t>
  </si>
  <si>
    <t>0.02460 (0.00340)</t>
  </si>
  <si>
    <t>0.11621 (0.01784)</t>
  </si>
  <si>
    <t>0.00204 (0.00079)</t>
  </si>
  <si>
    <t>purQ</t>
  </si>
  <si>
    <t>phosphoribosylformylglycinamidine synthetasesubunit I</t>
  </si>
  <si>
    <t>0.05403 (0.03182)</t>
  </si>
  <si>
    <t>0.02818 (0.02080)</t>
  </si>
  <si>
    <t>0.02922 (0.00398)</t>
  </si>
  <si>
    <t>0.12460 (0.01791)</t>
  </si>
  <si>
    <t>0.00458 (0.00067)</t>
  </si>
  <si>
    <t>yerA</t>
  </si>
  <si>
    <t>putative adenine deaminase YerA</t>
  </si>
  <si>
    <t>0.03465 (0.03699)</t>
  </si>
  <si>
    <t>0.02893 (0.00716)</t>
  </si>
  <si>
    <t>0.12965 (0.03512)</t>
  </si>
  <si>
    <t>0.00409 (0.00084)</t>
  </si>
  <si>
    <t>yerB</t>
  </si>
  <si>
    <t>putative lipoprotein</t>
  </si>
  <si>
    <t>0.09348 (0.15266)</t>
  </si>
  <si>
    <t>0.49169 (0.00000)</t>
  </si>
  <si>
    <t>0.02652 (0.00605)</t>
  </si>
  <si>
    <t>0.08303 (0.02049)</t>
  </si>
  <si>
    <t>0.01165 (0.00264)</t>
  </si>
  <si>
    <t>yerC</t>
  </si>
  <si>
    <t>transcriptional repressor-histidine operons</t>
  </si>
  <si>
    <t>0.02051 (0.00298)</t>
  </si>
  <si>
    <t>0.09720 (0.01469)</t>
  </si>
  <si>
    <t>gatC</t>
  </si>
  <si>
    <t>glutamyl-tRNA(Gln) amidotransferase (subunit C)</t>
  </si>
  <si>
    <t>0.01736 (0.00409)</t>
  </si>
  <si>
    <t>0.08760 (0.02104)</t>
  </si>
  <si>
    <t>gatA</t>
  </si>
  <si>
    <t>glutamyl-tRNA(Gln) amidotransferase (subunit A)</t>
  </si>
  <si>
    <t>0.01703 (0.01413)</t>
  </si>
  <si>
    <t>0.00759 (0.00933)</t>
  </si>
  <si>
    <t>0.03162 (0.00435)</t>
  </si>
  <si>
    <t>0.13809 (0.02007)</t>
  </si>
  <si>
    <t>0.00164 (0.00034)</t>
  </si>
  <si>
    <t>gatB</t>
  </si>
  <si>
    <t>glutamyl-tRNA(Gln) amidotransferase (subunit B)</t>
  </si>
  <si>
    <t>0.00617 (0.01154)</t>
  </si>
  <si>
    <t>0.02871 (0.00433)</t>
  </si>
  <si>
    <t>0.13922 (0.02203)</t>
  </si>
  <si>
    <t>0.00036 (0.00014)</t>
  </si>
  <si>
    <t>dagK</t>
  </si>
  <si>
    <t>diacylglycerol kinase</t>
  </si>
  <si>
    <t>0.00543 (0.00991)</t>
  </si>
  <si>
    <t>0.07112 (0.06530)</t>
  </si>
  <si>
    <t>0.03212 (0.00286)</t>
  </si>
  <si>
    <t>0.13526 (0.01217)</t>
  </si>
  <si>
    <t>0.00349 (0.00066)</t>
  </si>
  <si>
    <t>cotJA</t>
  </si>
  <si>
    <t>component of the inner spore coat</t>
  </si>
  <si>
    <t>cotJB</t>
  </si>
  <si>
    <t>cotJC</t>
  </si>
  <si>
    <t>enzyme component of the inner spore coat</t>
  </si>
  <si>
    <t>0.02891 (0.03368)</t>
  </si>
  <si>
    <t>0.03386 (0.00586)</t>
  </si>
  <si>
    <t>0.15794 (0.02771)</t>
  </si>
  <si>
    <t>0.00276 (0.00066)</t>
  </si>
  <si>
    <t>rhgP</t>
  </si>
  <si>
    <t>rhamnogalacturonan permease</t>
  </si>
  <si>
    <t>0.05612 (0.13887)</t>
  </si>
  <si>
    <t>0.02489 (0.00704)</t>
  </si>
  <si>
    <t>0.09598 (0.02603)</t>
  </si>
  <si>
    <t>0.00479 (0.00197)</t>
  </si>
  <si>
    <t>yesY</t>
  </si>
  <si>
    <t>rhamnogalacturonan acetylesterase</t>
  </si>
  <si>
    <t>0.08672 (0.02959)</t>
  </si>
  <si>
    <t>0.01293 (0.01097)</t>
  </si>
  <si>
    <t>0.04537 (0.00484)</t>
  </si>
  <si>
    <t>0.19839 (0.02471)</t>
  </si>
  <si>
    <t>0.00921 (0.00095)</t>
  </si>
  <si>
    <t>lplA</t>
  </si>
  <si>
    <t>lipoprotein transporter binding protein foralpha-galacturonides</t>
  </si>
  <si>
    <t>0.09251 (0.03455)</t>
  </si>
  <si>
    <t>0.08403 (0.05483)</t>
  </si>
  <si>
    <t>0.02942 (0.00485)</t>
  </si>
  <si>
    <t>0.11252 (0.01915)</t>
  </si>
  <si>
    <t>0.00955 (0.00161)</t>
  </si>
  <si>
    <t>lplB</t>
  </si>
  <si>
    <t>ABC transporter (permease) foralpha-galacturonides</t>
  </si>
  <si>
    <t>0.02930 (0.02902)</t>
  </si>
  <si>
    <t>0.05777 (0.00000)</t>
  </si>
  <si>
    <t>0.03022 (0.00736)</t>
  </si>
  <si>
    <t>0.13521 (0.03873)</t>
  </si>
  <si>
    <t>0.00431 (0.00038)</t>
  </si>
  <si>
    <t>lplC</t>
  </si>
  <si>
    <t>0.01116 (0.02283)</t>
  </si>
  <si>
    <t>0.03333 (0.00695)</t>
  </si>
  <si>
    <t>0.14924 (0.03233)</t>
  </si>
  <si>
    <t>0.00150 (0.00061)</t>
  </si>
  <si>
    <t>yezD</t>
  </si>
  <si>
    <t>0.06897 (0.03910)</t>
  </si>
  <si>
    <t>0.28274 (0.00000)</t>
  </si>
  <si>
    <t>0.03909 (0.00346)</t>
  </si>
  <si>
    <t>0.14261 (0.01278)</t>
  </si>
  <si>
    <t>0.01338 (0.00247)</t>
  </si>
  <si>
    <t>spmH</t>
  </si>
  <si>
    <t>glucose-1-phosphate cytidylyltransferase(sporulation)</t>
  </si>
  <si>
    <t>0.06136 (0.02561)</t>
  </si>
  <si>
    <t>0.06988 (0.00000)</t>
  </si>
  <si>
    <t>0.02843 (0.00377)</t>
  </si>
  <si>
    <t>0.11309 (0.01756)</t>
  </si>
  <si>
    <t>0.00706 (0.00093)</t>
  </si>
  <si>
    <t>copP</t>
  </si>
  <si>
    <t>transcriptional regulator (MerR family) of metal(copper) efflux transporter expression</t>
  </si>
  <si>
    <t>0.07481 (0.12680)</t>
  </si>
  <si>
    <t>0.05121 (0.00000)</t>
  </si>
  <si>
    <t>0.02024 (0.00279)</t>
  </si>
  <si>
    <t>0.08256 (0.01362)</t>
  </si>
  <si>
    <t>0.00505 (0.00137)</t>
  </si>
  <si>
    <t>fecC</t>
  </si>
  <si>
    <t>iron-dicitrate ABC transporter (bindinglipoprotein)</t>
  </si>
  <si>
    <t>0.08195 (0.09033)</t>
  </si>
  <si>
    <t>0.27730 (0.00000)</t>
  </si>
  <si>
    <t>0.02628 (0.00636)</t>
  </si>
  <si>
    <t>0.09744 (0.02583)</t>
  </si>
  <si>
    <t>0.00886 (0.00185)</t>
  </si>
  <si>
    <t>maeS</t>
  </si>
  <si>
    <t>malate (2-oxoglutarate) transporter</t>
  </si>
  <si>
    <t>0.04826 (0.04002)</t>
  </si>
  <si>
    <t>0.04129 (0.00000)</t>
  </si>
  <si>
    <t>0.03081 (0.00487)</t>
  </si>
  <si>
    <t>0.12009 (0.01889)</t>
  </si>
  <si>
    <t>0.00523 (0.00108)</t>
  </si>
  <si>
    <t>citM</t>
  </si>
  <si>
    <t>transporter of divalent metal ions/citratecomplexes</t>
  </si>
  <si>
    <t>0.02087 (0.02123)</t>
  </si>
  <si>
    <t>0.03449 (0.00512)</t>
  </si>
  <si>
    <t>0.15349 (0.02412)</t>
  </si>
  <si>
    <t>0.00123 (0.00032)</t>
  </si>
  <si>
    <t>yflJ</t>
  </si>
  <si>
    <t>yflI</t>
  </si>
  <si>
    <t>conserved membrane protein</t>
  </si>
  <si>
    <t>mapB</t>
  </si>
  <si>
    <t>methionine aminopeptidase B</t>
  </si>
  <si>
    <t>0.01124 (0.01473)</t>
  </si>
  <si>
    <t>0.03467 (0.00546)</t>
  </si>
  <si>
    <t>0.17090 (0.02888)</t>
  </si>
  <si>
    <t>0.00104 (0.00025)</t>
  </si>
  <si>
    <t>ltaSB</t>
  </si>
  <si>
    <t>enzyme responsible for polyglycerolphosphate LTAsynthesis</t>
  </si>
  <si>
    <t>0.04129 (0.02273)</t>
  </si>
  <si>
    <t>0.06734 (0.07832)</t>
  </si>
  <si>
    <t>0.03005 (0.00498)</t>
  </si>
  <si>
    <t>0.12203 (0.02016)</t>
  </si>
  <si>
    <t>0.00718 (0.00146)</t>
  </si>
  <si>
    <t>yfjT</t>
  </si>
  <si>
    <t>0.02459 (0.00281)</t>
  </si>
  <si>
    <t>0.15190 (0.01851)</t>
  </si>
  <si>
    <t>yfzA</t>
  </si>
  <si>
    <t>0.53351 (0.65494)</t>
  </si>
  <si>
    <t>0.01190 (0.00281)</t>
  </si>
  <si>
    <t>0.01902 (0.00777)</t>
  </si>
  <si>
    <t>0.01018 (0.00171)</t>
  </si>
  <si>
    <t>yfjA</t>
  </si>
  <si>
    <t>0.10170 (0.13945)</t>
  </si>
  <si>
    <t>0.02481 (0.00754)</t>
  </si>
  <si>
    <t>0.08233 (0.02968)</t>
  </si>
  <si>
    <t>0.01112 (0.00255)</t>
  </si>
  <si>
    <t>malR</t>
  </si>
  <si>
    <t>transcriptional activator of the Mal operon</t>
  </si>
  <si>
    <t>0.07005 (0.02507)</t>
  </si>
  <si>
    <t>0.11918 (0.00000)</t>
  </si>
  <si>
    <t>0.03770 (0.00507)</t>
  </si>
  <si>
    <t>0.14504 (0.02050)</t>
  </si>
  <si>
    <t>0.01247 (0.00192)</t>
  </si>
  <si>
    <t>yfhD</t>
  </si>
  <si>
    <t>0.12671 (0.18289)</t>
  </si>
  <si>
    <t>0.04686 (0.00000)</t>
  </si>
  <si>
    <t>0.02623 (0.00511)</t>
  </si>
  <si>
    <t>0.11264 (0.01967)</t>
  </si>
  <si>
    <t>0.00692 (0.00170)</t>
  </si>
  <si>
    <t>yfhE</t>
  </si>
  <si>
    <t>0.03048 (0.00422)</t>
  </si>
  <si>
    <t>0.18959 (0.02853)</t>
  </si>
  <si>
    <t>sspK</t>
  </si>
  <si>
    <t>0.06139 (0.07564)</t>
  </si>
  <si>
    <t>0.02834 (0.00465)</t>
  </si>
  <si>
    <t>0.13783 (0.02630)</t>
  </si>
  <si>
    <t>0.00429 (0.00175)</t>
  </si>
  <si>
    <t>yfhP</t>
  </si>
  <si>
    <t>putative membrane hydrolase</t>
  </si>
  <si>
    <t>0.02519 (0.01617)</t>
  </si>
  <si>
    <t>0.02996 (0.00526)</t>
  </si>
  <si>
    <t>0.13216 (0.02405)</t>
  </si>
  <si>
    <t>0.00242 (0.00043)</t>
  </si>
  <si>
    <t>yfhS</t>
  </si>
  <si>
    <t>conserved protein related to sporulation</t>
  </si>
  <si>
    <t>0.08177 (0.12622)</t>
  </si>
  <si>
    <t>0.05906 (0.00000)</t>
  </si>
  <si>
    <t>0.02402 (0.00459)</t>
  </si>
  <si>
    <t>0.10189 (0.01305)</t>
  </si>
  <si>
    <t>0.00661 (0.00159)</t>
  </si>
  <si>
    <t>ygaB</t>
  </si>
  <si>
    <t>0.15656 (0.16031)</t>
  </si>
  <si>
    <t>0.02583 (0.00825)</t>
  </si>
  <si>
    <t>0.09581 (0.03204)</t>
  </si>
  <si>
    <t>0.01051 (0.00333)</t>
  </si>
  <si>
    <t>ygaC</t>
  </si>
  <si>
    <t>putative RNA binding factor</t>
  </si>
  <si>
    <t>0.01610 (0.00278)</t>
  </si>
  <si>
    <t>0.08191 (0.01488)</t>
  </si>
  <si>
    <t>ygaE</t>
  </si>
  <si>
    <t>putative membrane protein</t>
  </si>
  <si>
    <t>0.02062 (0.03326)</t>
  </si>
  <si>
    <t>0.05661 (0.06198)</t>
  </si>
  <si>
    <t>0.01549 (0.00262)</t>
  </si>
  <si>
    <t>0.06253 (0.01024)</t>
  </si>
  <si>
    <t>0.00269 (0.00064)</t>
  </si>
  <si>
    <t>perR</t>
  </si>
  <si>
    <t>transcriptional regulator (Fur family)</t>
  </si>
  <si>
    <t>0.01977 (0.00289)</t>
  </si>
  <si>
    <t>0.09509 (0.01463)</t>
  </si>
  <si>
    <t>ygzB</t>
  </si>
  <si>
    <t>0.03610 (0.06427)</t>
  </si>
  <si>
    <t>0.03704 (0.00397)</t>
  </si>
  <si>
    <t>0.17398 (0.02231)</t>
  </si>
  <si>
    <t>0.00547 (0.00158)</t>
  </si>
  <si>
    <t>ygzA</t>
  </si>
  <si>
    <t>katA</t>
  </si>
  <si>
    <t>vegetative catalase 1</t>
  </si>
  <si>
    <t>0.01240 (0.00854)</t>
  </si>
  <si>
    <t>0.02371 (0.02975)</t>
  </si>
  <si>
    <t>0.03347 (0.00521)</t>
  </si>
  <si>
    <t>0.15486 (0.02502)</t>
  </si>
  <si>
    <t>0.00288 (0.00059)</t>
  </si>
  <si>
    <t>rpsNB</t>
  </si>
  <si>
    <t>alternative ribosomal protein S14</t>
  </si>
  <si>
    <t>0.16756 (0.07259)</t>
  </si>
  <si>
    <t>0.07485 (0.00000)</t>
  </si>
  <si>
    <t>0.03788 (0.00692)</t>
  </si>
  <si>
    <t>0.13740 (0.02820)</t>
  </si>
  <si>
    <t>0.01393 (0.00138)</t>
  </si>
  <si>
    <t>ygzD</t>
  </si>
  <si>
    <t>putative HTH-type transcriptional regulator</t>
  </si>
  <si>
    <t>0.11149 (0.06278)</t>
  </si>
  <si>
    <t>0.02778 (0.00352)</t>
  </si>
  <si>
    <t>0.11166 (0.01600)</t>
  </si>
  <si>
    <t>0.00652 (0.00109)</t>
  </si>
  <si>
    <t>trmL</t>
  </si>
  <si>
    <t>tRNA (cytidine(34)-2'-O)-methyltransferase</t>
  </si>
  <si>
    <t>0.05306 (0.10590)</t>
  </si>
  <si>
    <t>0.04208 (0.00000)</t>
  </si>
  <si>
    <t>0.02917 (0.00496)</t>
  </si>
  <si>
    <t>0.12387 (0.02319)</t>
  </si>
  <si>
    <t>0.00488 (0.00068)</t>
  </si>
  <si>
    <t>prkA</t>
  </si>
  <si>
    <t>serine protein kinase (involved in sporulation)</t>
  </si>
  <si>
    <t>0.01014 (0.00717)</t>
  </si>
  <si>
    <t>0.02897 (0.00709)</t>
  </si>
  <si>
    <t>0.14414 (0.03875)</t>
  </si>
  <si>
    <t>0.00136 (0.00000)</t>
  </si>
  <si>
    <t>yhbH</t>
  </si>
  <si>
    <t>factor involved in shape determination</t>
  </si>
  <si>
    <t>0.01327 (0.02700)</t>
  </si>
  <si>
    <t>0.02537 (0.00853)</t>
  </si>
  <si>
    <t>0.13449 (0.04597)</t>
  </si>
  <si>
    <t>0.00161 (0.00066)</t>
  </si>
  <si>
    <t>yhcC</t>
  </si>
  <si>
    <t>hypothetical membrane protein</t>
  </si>
  <si>
    <t>0.14771 (0.05661)</t>
  </si>
  <si>
    <t>0.20576 (0.00000)</t>
  </si>
  <si>
    <t>0.04040 (0.00514)</t>
  </si>
  <si>
    <t>0.12554 (0.01498)</t>
  </si>
  <si>
    <t>0.01972 (0.00303)</t>
  </si>
  <si>
    <t>yhcE</t>
  </si>
  <si>
    <t>putative integral inner membrane orphan protein</t>
  </si>
  <si>
    <t>cspB</t>
  </si>
  <si>
    <t>major cold-shock protein, RNA helicaseco-factor, RNA co-chaperone</t>
  </si>
  <si>
    <t>yhcU</t>
  </si>
  <si>
    <t>0.52261 (0.26297)</t>
  </si>
  <si>
    <t>0.25803 (0.00000)</t>
  </si>
  <si>
    <t>0.02137 (0.00349)</t>
  </si>
  <si>
    <t>0.04319 (0.00796)</t>
  </si>
  <si>
    <t>0.01629 (0.00278)</t>
  </si>
  <si>
    <t>yhcV</t>
  </si>
  <si>
    <t>putative CBS containing enzyme (sporulation-/germination-related)</t>
  </si>
  <si>
    <t>yhcX</t>
  </si>
  <si>
    <t>putative amidohydrolase</t>
  </si>
  <si>
    <t>0.01032 (0.01982)</t>
  </si>
  <si>
    <t>0.02437 (0.00547)</t>
  </si>
  <si>
    <t>0.11811 (0.02706)</t>
  </si>
  <si>
    <t>0.00125 (0.00051)</t>
  </si>
  <si>
    <t>glpF</t>
  </si>
  <si>
    <t>glycerol permease</t>
  </si>
  <si>
    <t>0.01414 (0.02840)</t>
  </si>
  <si>
    <t>0.03163 (0.00636)</t>
  </si>
  <si>
    <t>0.13287 (0.02746)</t>
  </si>
  <si>
    <t>0.00164 (0.00067)</t>
  </si>
  <si>
    <t>yhdB</t>
  </si>
  <si>
    <t>asiMB</t>
  </si>
  <si>
    <t>negative regulator of the activity of sigma-M</t>
  </si>
  <si>
    <t>0.03900 (0.00000)</t>
  </si>
  <si>
    <t>0.03877 (0.00575)</t>
  </si>
  <si>
    <t>0.15746 (0.02340)</t>
  </si>
  <si>
    <t>0.00466 (0.00135)</t>
  </si>
  <si>
    <t>sigM</t>
  </si>
  <si>
    <t>RNA polymerase ECF (extracytoplasmicfunction)-type sigma factor (sigma(M))</t>
  </si>
  <si>
    <t>0.01568 (0.00280)</t>
  </si>
  <si>
    <t>0.07711 (0.01408)</t>
  </si>
  <si>
    <t>plsC</t>
  </si>
  <si>
    <t>1-acylglycerol-phosphate (1-acyl-G3P)acyltransferase</t>
  </si>
  <si>
    <t>0.12158 (0.00000)</t>
  </si>
  <si>
    <t>0.03535 (0.00834)</t>
  </si>
  <si>
    <t>0.12835 (0.02911)</t>
  </si>
  <si>
    <t>0.01179 (0.00278)</t>
  </si>
  <si>
    <t>yhdP</t>
  </si>
  <si>
    <t>putative magnesium efflux pump</t>
  </si>
  <si>
    <t>0.04838 (0.02291)</t>
  </si>
  <si>
    <t>0.03018 (0.03206)</t>
  </si>
  <si>
    <t>0.03085 (0.00528)</t>
  </si>
  <si>
    <t>0.13475 (0.02368)</t>
  </si>
  <si>
    <t>0.00463 (0.00092)</t>
  </si>
  <si>
    <t>cueR</t>
  </si>
  <si>
    <t>indirect copper efflux transcriptionalregulator</t>
  </si>
  <si>
    <t>0.04947 (0.00000)</t>
  </si>
  <si>
    <t>0.01321 (0.00319)</t>
  </si>
  <si>
    <t>0.05174 (0.01233)</t>
  </si>
  <si>
    <t>0.00204 (0.00048)</t>
  </si>
  <si>
    <t>yhdX</t>
  </si>
  <si>
    <t>0.24641 (0.34848)</t>
  </si>
  <si>
    <t>0.01587 (0.00290)</t>
  </si>
  <si>
    <t>0.02440 (0.00996)</t>
  </si>
  <si>
    <t>0.01409 (0.00247)</t>
  </si>
  <si>
    <t>yheF</t>
  </si>
  <si>
    <t>sspB</t>
  </si>
  <si>
    <t>small acid-soluble spore protein (beta-typeSASP)</t>
  </si>
  <si>
    <t>0.10162 (0.15684)</t>
  </si>
  <si>
    <t>0.01244 (0.00194)</t>
  </si>
  <si>
    <t>0.04362 (0.01060)</t>
  </si>
  <si>
    <t>0.00328 (0.00095)</t>
  </si>
  <si>
    <t>yheE</t>
  </si>
  <si>
    <t>conserved hypothetical protein (sporulation /germination island)</t>
  </si>
  <si>
    <t>0.17131 (0.00000)</t>
  </si>
  <si>
    <t>0.02006 (0.00459)</t>
  </si>
  <si>
    <t>0.06991 (0.01494)</t>
  </si>
  <si>
    <t>0.00788 (0.00186)</t>
  </si>
  <si>
    <t>yheA</t>
  </si>
  <si>
    <t>0.03566 (0.05763)</t>
  </si>
  <si>
    <t>0.02299 (0.00432)</t>
  </si>
  <si>
    <t>0.11996 (0.02319)</t>
  </si>
  <si>
    <t>0.00145 (0.00056)</t>
  </si>
  <si>
    <t>sscA</t>
  </si>
  <si>
    <t>spore assembly and germination protein</t>
  </si>
  <si>
    <t>sscB</t>
  </si>
  <si>
    <t>spore and germination protein</t>
  </si>
  <si>
    <t>yhaI</t>
  </si>
  <si>
    <t>0.03741 (0.05728)</t>
  </si>
  <si>
    <t>0.26028 (0.00000)</t>
  </si>
  <si>
    <t>0.02006 (0.00328)</t>
  </si>
  <si>
    <t>0.06816 (0.00945)</t>
  </si>
  <si>
    <t>0.00829 (0.00198)</t>
  </si>
  <si>
    <t>scoC</t>
  </si>
  <si>
    <t>transcriptional regulator of extracellularprotease production, sporulation and bacilysin production(MarR family)</t>
  </si>
  <si>
    <t>0.01942 (0.03931)</t>
  </si>
  <si>
    <t>0.02227 (0.02650)</t>
  </si>
  <si>
    <t>0.02069 (0.00328)</t>
  </si>
  <si>
    <t>0.10103 (0.01617)</t>
  </si>
  <si>
    <t>0.00207 (0.00051)</t>
  </si>
  <si>
    <t>yhaH</t>
  </si>
  <si>
    <t>putative membrane protein; acid toleranceprotein</t>
  </si>
  <si>
    <t>0.10786 (0.12665)</t>
  </si>
  <si>
    <t>0.03333 (0.00563)</t>
  </si>
  <si>
    <t>0.13229 (0.02051)</t>
  </si>
  <si>
    <t>0.00882 (0.00210)</t>
  </si>
  <si>
    <t>yhzF</t>
  </si>
  <si>
    <t>membrane protein of unknown function</t>
  </si>
  <si>
    <t>0.14055 (0.10145)</t>
  </si>
  <si>
    <t>0.53468 (0.04255)</t>
  </si>
  <si>
    <t>0.02857 (0.00310)</t>
  </si>
  <si>
    <t>0.06757 (0.00848)</t>
  </si>
  <si>
    <t>0.01602 (0.00250)</t>
  </si>
  <si>
    <t>ecsA</t>
  </si>
  <si>
    <t>ABC transporter (ATP-binding protein)</t>
  </si>
  <si>
    <t>0.04487 (0.08595)</t>
  </si>
  <si>
    <t>0.03009 (0.00474)</t>
  </si>
  <si>
    <t>0.13667 (0.02244)</t>
  </si>
  <si>
    <t>0.00212 (0.00082)</t>
  </si>
  <si>
    <t>hemE</t>
  </si>
  <si>
    <t>uroporphyrinogen III decarboxylase</t>
  </si>
  <si>
    <t>0.05121 (0.04574)</t>
  </si>
  <si>
    <t>0.10952 (0.00000)</t>
  </si>
  <si>
    <t>0.03226 (0.00643)</t>
  </si>
  <si>
    <t>0.12711 (0.03032)</t>
  </si>
  <si>
    <t>0.00801 (0.00096)</t>
  </si>
  <si>
    <t>yhfH</t>
  </si>
  <si>
    <t>0.07169 (0.00000)</t>
  </si>
  <si>
    <t>0.03261 (0.00656)</t>
  </si>
  <si>
    <t>0.16884 (0.03398)</t>
  </si>
  <si>
    <t>0.00599 (0.00141)</t>
  </si>
  <si>
    <t>yhfI</t>
  </si>
  <si>
    <t>putative metal-dependent hydrolase</t>
  </si>
  <si>
    <t>0.07555 (0.14038)</t>
  </si>
  <si>
    <t>0.02709 (0.00775)</t>
  </si>
  <si>
    <t>0.09938 (0.02814)</t>
  </si>
  <si>
    <t>0.00725 (0.00249)</t>
  </si>
  <si>
    <t>aprE</t>
  </si>
  <si>
    <t>serine alkaline protease (Ca(2+)-dependentsubtilisin E)</t>
  </si>
  <si>
    <t>0.06934 (0.03772)</t>
  </si>
  <si>
    <t>0.06961 (0.00000)</t>
  </si>
  <si>
    <t>0.03135 (0.00376)</t>
  </si>
  <si>
    <t>0.11487 (0.01288)</t>
  </si>
  <si>
    <t>0.00755 (0.00157)</t>
  </si>
  <si>
    <t>yhzC</t>
  </si>
  <si>
    <t>0.77374 (0.60850)</t>
  </si>
  <si>
    <t>0.12348 (0.00000)</t>
  </si>
  <si>
    <t>0.02597 (0.00559)</t>
  </si>
  <si>
    <t>0.07088 (0.01361)</t>
  </si>
  <si>
    <t>0.01565 (0.00306)</t>
  </si>
  <si>
    <t>yhjC</t>
  </si>
  <si>
    <t>putative exported protein</t>
  </si>
  <si>
    <t>0.05038 (0.07848)</t>
  </si>
  <si>
    <t>0.03367 (0.00554)</t>
  </si>
  <si>
    <t>0.14831 (0.02688)</t>
  </si>
  <si>
    <t>0.00332 (0.00124)</t>
  </si>
  <si>
    <t>yhjE</t>
  </si>
  <si>
    <t>putative integral membrane protein</t>
  </si>
  <si>
    <t>0.08803 (0.09510)</t>
  </si>
  <si>
    <t>0.05080 (0.05836)</t>
  </si>
  <si>
    <t>0.03398 (0.00588)</t>
  </si>
  <si>
    <t>0.12835 (0.02282)</t>
  </si>
  <si>
    <t>0.00774 (0.00170)</t>
  </si>
  <si>
    <t>sipV</t>
  </si>
  <si>
    <t>type I signal peptidase</t>
  </si>
  <si>
    <t>0.04394 (0.03204)</t>
  </si>
  <si>
    <t>0.06697 (0.00000)</t>
  </si>
  <si>
    <t>0.03554 (0.00591)</t>
  </si>
  <si>
    <t>0.14961 (0.02519)</t>
  </si>
  <si>
    <t>0.00782 (0.00169)</t>
  </si>
  <si>
    <t>ntdC</t>
  </si>
  <si>
    <t>biosynthesis of neotrehalosadiamine(3,3'-diamino-3,3'-dideoxy-alpha,beta-trehalose),glucose-6-P 3-dehydrogenase; kanosamine biosynthesis(recent HGT island)</t>
  </si>
  <si>
    <t>0.06422 (0.02738)</t>
  </si>
  <si>
    <t>0.12193 (0.10648)</t>
  </si>
  <si>
    <t>0.03495 (0.00458)</t>
  </si>
  <si>
    <t>0.13538 (0.01678)</t>
  </si>
  <si>
    <t>0.01193 (0.00215)</t>
  </si>
  <si>
    <t>ntdA</t>
  </si>
  <si>
    <t>biosynthesis of neotrehalosadiamine(3,3'-diamino-3,3'-dideoxy-alpha,beta-trehalose);3-oxo-glucose-6-phosphate:glutamateaminotransferase; kanosamine aminotransferase (recent HGTisland)</t>
  </si>
  <si>
    <t>0.21470 (0.35569)</t>
  </si>
  <si>
    <t>0.02708 (0.00777)</t>
  </si>
  <si>
    <t>0.07704 (0.02275)</t>
  </si>
  <si>
    <t>0.01542 (0.00447)</t>
  </si>
  <si>
    <t>ntdR</t>
  </si>
  <si>
    <t>transcriptional regulator of the ntd operon(NtdR-NTD) (recent HGT island)</t>
  </si>
  <si>
    <t>0.11665 (0.05643)</t>
  </si>
  <si>
    <t>0.12461 (0.09181)</t>
  </si>
  <si>
    <t>0.03252 (0.00413)</t>
  </si>
  <si>
    <t>0.11220 (0.01401)</t>
  </si>
  <si>
    <t>0.01347 (0.00215)</t>
  </si>
  <si>
    <t>gerPF</t>
  </si>
  <si>
    <t>spore germination protein</t>
  </si>
  <si>
    <t>gerPC</t>
  </si>
  <si>
    <t>0.07265 (0.06838)</t>
  </si>
  <si>
    <t>0.02873 (0.00511)</t>
  </si>
  <si>
    <t>0.12274 (0.01997)</t>
  </si>
  <si>
    <t>0.00818 (0.00227)</t>
  </si>
  <si>
    <t>mblK</t>
  </si>
  <si>
    <t>hydrolase/isomerase involved in remodelling thebacterial envelope</t>
  </si>
  <si>
    <t>0.06408 (0.09086)</t>
  </si>
  <si>
    <t>0.02824 (0.00766)</t>
  </si>
  <si>
    <t>0.11404 (0.03333)</t>
  </si>
  <si>
    <t>0.00649 (0.00155)</t>
  </si>
  <si>
    <t>yisL</t>
  </si>
  <si>
    <t>0.06546 (0.02896)</t>
  </si>
  <si>
    <t>0.19862 (0.19225)</t>
  </si>
  <si>
    <t>0.02712 (0.00493)</t>
  </si>
  <si>
    <t>0.08429 (0.01469)</t>
  </si>
  <si>
    <t>0.00992 (0.00217)</t>
  </si>
  <si>
    <t>yisR</t>
  </si>
  <si>
    <t>0.05040 (0.01671)</t>
  </si>
  <si>
    <t>0.02494 (0.00000)</t>
  </si>
  <si>
    <t>0.03368 (0.00566)</t>
  </si>
  <si>
    <t>0.14648 (0.02684)</t>
  </si>
  <si>
    <t>0.00544 (0.00058)</t>
  </si>
  <si>
    <t>yitT</t>
  </si>
  <si>
    <t>0.01021 (0.01574)</t>
  </si>
  <si>
    <t>0.03618 (0.00000)</t>
  </si>
  <si>
    <t>0.03254 (0.00403)</t>
  </si>
  <si>
    <t>0.13639 (0.01691)</t>
  </si>
  <si>
    <t>0.00290 (0.00049)</t>
  </si>
  <si>
    <t>yizC</t>
  </si>
  <si>
    <t>conserved hypothetical protein; genus orphan</t>
  </si>
  <si>
    <t>yjzD</t>
  </si>
  <si>
    <t>forespore targeted protein</t>
  </si>
  <si>
    <t>0.28007 (0.39608)</t>
  </si>
  <si>
    <t>0.41688 (0.00000)</t>
  </si>
  <si>
    <t>0.02368 (0.00541)</t>
  </si>
  <si>
    <t>0.04731 (0.00821)</t>
  </si>
  <si>
    <t>0.01782 (0.00438)</t>
  </si>
  <si>
    <t>comZ</t>
  </si>
  <si>
    <t>putative late competence gene</t>
  </si>
  <si>
    <t>0.03439 (0.00776)</t>
  </si>
  <si>
    <t>0.19636 (0.04624)</t>
  </si>
  <si>
    <t>appD</t>
  </si>
  <si>
    <t>oligopeptide ABC transporter (ATP-bindingprotein)</t>
  </si>
  <si>
    <t>0.04368 (0.02860)</t>
  </si>
  <si>
    <t>0.01699 (0.00000)</t>
  </si>
  <si>
    <t>0.03692 (0.00663)</t>
  </si>
  <si>
    <t>0.17021 (0.03241)</t>
  </si>
  <si>
    <t>0.00439 (0.00033)</t>
  </si>
  <si>
    <t>yjbA</t>
  </si>
  <si>
    <t>putative sporulation nucleic acid bindingprotein</t>
  </si>
  <si>
    <t>0.05165 (0.09538)</t>
  </si>
  <si>
    <t>0.01009 (0.01051)</t>
  </si>
  <si>
    <t>0.03120 (0.00486)</t>
  </si>
  <si>
    <t>0.15444 (0.02524)</t>
  </si>
  <si>
    <t>0.00372 (0.00114)</t>
  </si>
  <si>
    <t>oppB</t>
  </si>
  <si>
    <t>oligopeptide ABC transporter (permease)</t>
  </si>
  <si>
    <t>0.01985 (0.04676)</t>
  </si>
  <si>
    <t>0.02608 (0.00803)</t>
  </si>
  <si>
    <t>0.11150 (0.03468)</t>
  </si>
  <si>
    <t>0.00214 (0.00087)</t>
  </si>
  <si>
    <t>oppC</t>
  </si>
  <si>
    <t>0.01920 (0.01362)</t>
  </si>
  <si>
    <t>0.01372 (0.01106)</t>
  </si>
  <si>
    <t>0.02918 (0.00330)</t>
  </si>
  <si>
    <t>0.12735 (0.01522)</t>
  </si>
  <si>
    <t>0.00201 (0.00036)</t>
  </si>
  <si>
    <t>oppD</t>
  </si>
  <si>
    <t>0.02159 (0.01700)</t>
  </si>
  <si>
    <t>0.03775 (0.00000)</t>
  </si>
  <si>
    <t>0.03104 (0.00598)</t>
  </si>
  <si>
    <t>0.13579 (0.03013)</t>
  </si>
  <si>
    <t>0.00326 (0.00047)</t>
  </si>
  <si>
    <t>oppF</t>
  </si>
  <si>
    <t>0.01981 (0.03536)</t>
  </si>
  <si>
    <t>0.03297 (0.00610)</t>
  </si>
  <si>
    <t>0.15112 (0.02779)</t>
  </si>
  <si>
    <t>0.00285 (0.00116)</t>
  </si>
  <si>
    <t>yjbC</t>
  </si>
  <si>
    <t>putative thiol oxidation management factor;putative acetyltransferase</t>
  </si>
  <si>
    <t>0.05488 (0.10878)</t>
  </si>
  <si>
    <t>0.01632 (0.00172)</t>
  </si>
  <si>
    <t>0.07929 (0.00991)</t>
  </si>
  <si>
    <t>0.00174 (0.00065)</t>
  </si>
  <si>
    <t>spxA</t>
  </si>
  <si>
    <t>redox-sensitive regulator</t>
  </si>
  <si>
    <t>0.04038 (0.04762)</t>
  </si>
  <si>
    <t>0.11220 (0.02928)</t>
  </si>
  <si>
    <t>0.01781 (0.00249)</t>
  </si>
  <si>
    <t>0.07000 (0.01090)</t>
  </si>
  <si>
    <t>0.00394 (0.00062)</t>
  </si>
  <si>
    <t>BSU_11515</t>
  </si>
  <si>
    <t>conserved hypothetical proteinIQgene            1229068..1229724CDS             1229068..1229724PMID:10361283, 10447896, 16525504, 19801546, 21435029,23595989in the studied strain; PubMedId: 10361283, 10447896,16525504, 19801546, 21435029, 23595989; Product type f :factorthe AAA+ protein ClpC</t>
  </si>
  <si>
    <t>yizD</t>
  </si>
  <si>
    <t>yjbI</t>
  </si>
  <si>
    <t>putative thiol management oxidoreductasecomponent</t>
  </si>
  <si>
    <t>0.03493 (0.03896)</t>
  </si>
  <si>
    <t>0.01717 (0.00335)</t>
  </si>
  <si>
    <t>0.07391 (0.01426)</t>
  </si>
  <si>
    <t>0.00196 (0.00047)</t>
  </si>
  <si>
    <t>yjbL</t>
  </si>
  <si>
    <t>0.27082 (0.16307)</t>
  </si>
  <si>
    <t>0.12919 (0.11435)</t>
  </si>
  <si>
    <t>0.03003 (0.00550)</t>
  </si>
  <si>
    <t>0.09048 (0.02027)</t>
  </si>
  <si>
    <t>0.01566 (0.00222)</t>
  </si>
  <si>
    <t>relP</t>
  </si>
  <si>
    <t>(p)ppGpp synthetase</t>
  </si>
  <si>
    <t>0.01460 (0.03015)</t>
  </si>
  <si>
    <t>0.02923 (0.00723)</t>
  </si>
  <si>
    <t>0.14355 (0.03635)</t>
  </si>
  <si>
    <t>0.00203 (0.00083)</t>
  </si>
  <si>
    <t>ppnKA</t>
  </si>
  <si>
    <t>inorganic polyphosphate/ATP-NAD kinase(quinolate activated)</t>
  </si>
  <si>
    <t>0.00607 (0.01473)</t>
  </si>
  <si>
    <t>0.02820 (0.00883)</t>
  </si>
  <si>
    <t>0.13721 (0.04424)</t>
  </si>
  <si>
    <t>0.00082 (0.00033)</t>
  </si>
  <si>
    <t>cotY</t>
  </si>
  <si>
    <t>outer spore coat protein (crust layer, insolublefraction)</t>
  </si>
  <si>
    <t>yjzE</t>
  </si>
  <si>
    <t>0.06552 (0.13201)</t>
  </si>
  <si>
    <t>0.03175 (0.00766)</t>
  </si>
  <si>
    <t>0.13148 (0.02881)</t>
  </si>
  <si>
    <t>0.00770 (0.00314)</t>
  </si>
  <si>
    <t>yjzH</t>
  </si>
  <si>
    <t>0.09062 (0.14894)</t>
  </si>
  <si>
    <t>0.02865 (0.00892)</t>
  </si>
  <si>
    <t>0.11247 (0.03234)</t>
  </si>
  <si>
    <t>0.00998 (0.00407)</t>
  </si>
  <si>
    <t>yjfA</t>
  </si>
  <si>
    <t>0.10745 (0.07961)</t>
  </si>
  <si>
    <t>0.62782 (0.00000)</t>
  </si>
  <si>
    <t>0.02813 (0.00449)</t>
  </si>
  <si>
    <t>0.08420 (0.01473)</t>
  </si>
  <si>
    <t>0.01229 (0.00228)</t>
  </si>
  <si>
    <t>yjiA</t>
  </si>
  <si>
    <t>0.09876 (0.10041)</t>
  </si>
  <si>
    <t>0.09139 (0.00000)</t>
  </si>
  <si>
    <t>0.03851 (0.00516)</t>
  </si>
  <si>
    <t>0.13580 (0.01869)</t>
  </si>
  <si>
    <t>0.01476 (0.00284)</t>
  </si>
  <si>
    <t>yjzI</t>
  </si>
  <si>
    <t>putative phage protein</t>
  </si>
  <si>
    <t>0.16969 (0.11510)</t>
  </si>
  <si>
    <t>0.01703 (0.00234)</t>
  </si>
  <si>
    <t>0.05911 (0.01237)</t>
  </si>
  <si>
    <t>0.00682 (0.00161)</t>
  </si>
  <si>
    <t>yjlC</t>
  </si>
  <si>
    <t>0.07225 (0.10837)</t>
  </si>
  <si>
    <t>0.01670 (0.01677)</t>
  </si>
  <si>
    <t>0.02810 (0.00509)</t>
  </si>
  <si>
    <t>0.12819 (0.02507)</t>
  </si>
  <si>
    <t>0.00308 (0.00062)</t>
  </si>
  <si>
    <t>ndh</t>
  </si>
  <si>
    <t>NADH dehydrogenase</t>
  </si>
  <si>
    <t>0.01979 (0.01577)</t>
  </si>
  <si>
    <t>0.03236 (0.02881)</t>
  </si>
  <si>
    <t>0.02177 (0.00230)</t>
  </si>
  <si>
    <t>0.08562 (0.00941)</t>
  </si>
  <si>
    <t>0.00227 (0.00043)</t>
  </si>
  <si>
    <t>exuM</t>
  </si>
  <si>
    <t>putative Na+:altronate/mannonate symporter</t>
  </si>
  <si>
    <t>0.06944 (0.01485)</t>
  </si>
  <si>
    <t>0.01770 (0.00832)</t>
  </si>
  <si>
    <t>0.03551 (0.00536)</t>
  </si>
  <si>
    <t>0.14637 (0.02497)</t>
  </si>
  <si>
    <t>0.00483 (0.00045)</t>
  </si>
  <si>
    <t>yjnA</t>
  </si>
  <si>
    <t>putative permease</t>
  </si>
  <si>
    <t>0.01434 (0.01894)</t>
  </si>
  <si>
    <t>0.02986 (0.00827)</t>
  </si>
  <si>
    <t>0.12955 (0.03829)</t>
  </si>
  <si>
    <t>0.00176 (0.00042)</t>
  </si>
  <si>
    <t>yjoA</t>
  </si>
  <si>
    <t>putative DNA-binding protein</t>
  </si>
  <si>
    <t>0.11668 (0.07973)</t>
  </si>
  <si>
    <t>0.10998 (0.10701)</t>
  </si>
  <si>
    <t>0.03202 (0.00477)</t>
  </si>
  <si>
    <t>0.11002 (0.01725)</t>
  </si>
  <si>
    <t>0.01255 (0.00227)</t>
  </si>
  <si>
    <t>yjoB</t>
  </si>
  <si>
    <t>informational ATPase possibly involved inprotein degradation</t>
  </si>
  <si>
    <t>0.09686 (0.03137)</t>
  </si>
  <si>
    <t>0.05805 (0.04344)</t>
  </si>
  <si>
    <t>0.02191 (0.00396)</t>
  </si>
  <si>
    <t>0.08305 (0.01615)</t>
  </si>
  <si>
    <t>0.00612 (0.00099)</t>
  </si>
  <si>
    <t>rapA</t>
  </si>
  <si>
    <t>0.01267 (0.02595)</t>
  </si>
  <si>
    <t>0.01371 (0.01436)</t>
  </si>
  <si>
    <t>0.01834 (0.00277)</t>
  </si>
  <si>
    <t>0.08807 (0.01394)</t>
  </si>
  <si>
    <t>0.00112 (0.00019)</t>
  </si>
  <si>
    <t>xre</t>
  </si>
  <si>
    <t>phage PBSX transcriptional regulator</t>
  </si>
  <si>
    <t>ref , GCA_000146565.1_ASM14656v1_genomic , GCA_000186745.1_ASM18674v1_genomic , GCA_000227465.1_ASM22746v1_genomic</t>
  </si>
  <si>
    <t>xkdF</t>
  </si>
  <si>
    <t>phage PBSX; conserved hypothetical protein</t>
  </si>
  <si>
    <t>0.12865 (0.05563)</t>
  </si>
  <si>
    <t>0.04199 (0.04755)</t>
  </si>
  <si>
    <t>0.02945 (0.00513)</t>
  </si>
  <si>
    <t>0.11920 (0.02248)</t>
  </si>
  <si>
    <t>0.00751 (0.00113)</t>
  </si>
  <si>
    <t>xkdG</t>
  </si>
  <si>
    <t>phage PBSX; putative phage chromosome bindingprotein</t>
  </si>
  <si>
    <t>0.01221 (0.01466)</t>
  </si>
  <si>
    <t>0.02776 (0.00399)</t>
  </si>
  <si>
    <t>0.13070 (0.01936)</t>
  </si>
  <si>
    <t>0.00084 (0.00020)</t>
  </si>
  <si>
    <t>ykzM</t>
  </si>
  <si>
    <t>ykaA</t>
  </si>
  <si>
    <t>putative PitB transporter accessory protein</t>
  </si>
  <si>
    <t>0.02575 (0.00656)</t>
  </si>
  <si>
    <t>0.14574 (0.03938)</t>
  </si>
  <si>
    <t>ykcC</t>
  </si>
  <si>
    <t>putative glycosyltransferase</t>
  </si>
  <si>
    <t>0.05708 (0.07354)</t>
  </si>
  <si>
    <t>0.02847 (0.00734)</t>
  </si>
  <si>
    <t>0.11850 (0.03232)</t>
  </si>
  <si>
    <t>0.00604 (0.00144)</t>
  </si>
  <si>
    <t>dppB</t>
  </si>
  <si>
    <t>dipeptide ABC transporter (permease)</t>
  </si>
  <si>
    <t>0.03321 (0.02938)</t>
  </si>
  <si>
    <t>0.04444 (0.05247)</t>
  </si>
  <si>
    <t>0.02825 (0.00414)</t>
  </si>
  <si>
    <t>0.11083 (0.01672)</t>
  </si>
  <si>
    <t>0.00433 (0.00079)</t>
  </si>
  <si>
    <t>ykhA</t>
  </si>
  <si>
    <t>promiscuous acyl-CoA thioesterase</t>
  </si>
  <si>
    <t>0.01489 (0.02615)</t>
  </si>
  <si>
    <t>0.02287 (0.00000)</t>
  </si>
  <si>
    <t>0.03165 (0.00423)</t>
  </si>
  <si>
    <t>0.14355 (0.02120)</t>
  </si>
  <si>
    <t>0.00293 (0.00051)</t>
  </si>
  <si>
    <t>ykzD</t>
  </si>
  <si>
    <t>tnrA</t>
  </si>
  <si>
    <t>nitrogen sensing transcriptional regulator</t>
  </si>
  <si>
    <t>0.02666 (0.04959)</t>
  </si>
  <si>
    <t>0.03704 (0.00000)</t>
  </si>
  <si>
    <t>0.02788 (0.00542)</t>
  </si>
  <si>
    <t>0.12853 (0.02514)</t>
  </si>
  <si>
    <t>0.00389 (0.00095)</t>
  </si>
  <si>
    <t>ykzB</t>
  </si>
  <si>
    <t>0.25402 (0.00000)</t>
  </si>
  <si>
    <t>0.02745 (0.00401)</t>
  </si>
  <si>
    <t>0.10219 (0.01430)</t>
  </si>
  <si>
    <t>0.01001 (0.00238)</t>
  </si>
  <si>
    <t>ykoM</t>
  </si>
  <si>
    <t>0.05215 (0.02854)</t>
  </si>
  <si>
    <t>0.02814 (0.00477)</t>
  </si>
  <si>
    <t>0.13081 (0.02369)</t>
  </si>
  <si>
    <t>0.00224 (0.00053)</t>
  </si>
  <si>
    <t>sigI</t>
  </si>
  <si>
    <t>RNA polymerase sigma factor (heat stressresponsive)</t>
  </si>
  <si>
    <t>0.06848 (0.10706)</t>
  </si>
  <si>
    <t>0.02399 (0.00000)</t>
  </si>
  <si>
    <t>0.02284 (0.00485)</t>
  </si>
  <si>
    <t>0.10538 (0.02299)</t>
  </si>
  <si>
    <t>0.00289 (0.00064)</t>
  </si>
  <si>
    <t>sspD</t>
  </si>
  <si>
    <t>0.01389 (0.00200)</t>
  </si>
  <si>
    <t>0.06066 (0.00901)</t>
  </si>
  <si>
    <t>htpK</t>
  </si>
  <si>
    <t>regulator of quality control</t>
  </si>
  <si>
    <t>0.09319 (0.18488)</t>
  </si>
  <si>
    <t>0.14358 (0.00000)</t>
  </si>
  <si>
    <t>0.02778 (0.00791)</t>
  </si>
  <si>
    <t>0.09997 (0.02869)</t>
  </si>
  <si>
    <t>0.00967 (0.00298)</t>
  </si>
  <si>
    <t>spo0E</t>
  </si>
  <si>
    <t>negative regulatory phosphatase acting onSpo0A-P (sporulation)</t>
  </si>
  <si>
    <t>0.01176 (0.00245)</t>
  </si>
  <si>
    <t>0.06196 (0.01320)</t>
  </si>
  <si>
    <t>kinD</t>
  </si>
  <si>
    <t>histidine kinase phosphorylating Spo0A</t>
  </si>
  <si>
    <t>0.04089 (0.06606)</t>
  </si>
  <si>
    <t>0.02613 (0.00728)</t>
  </si>
  <si>
    <t>0.10955 (0.03131)</t>
  </si>
  <si>
    <t>0.00431 (0.00133)</t>
  </si>
  <si>
    <t>mhqR</t>
  </si>
  <si>
    <t>transcriptional regulator (MarR family)</t>
  </si>
  <si>
    <t>0.06714 (0.10501)</t>
  </si>
  <si>
    <t>0.02161 (0.00352)</t>
  </si>
  <si>
    <t>0.10068 (0.01717)</t>
  </si>
  <si>
    <t>0.00235 (0.00091)</t>
  </si>
  <si>
    <t>motB</t>
  </si>
  <si>
    <t>motility protein B; MotB component of theH+-coupled stator flagellum complex</t>
  </si>
  <si>
    <t>0.01892 (0.03489)</t>
  </si>
  <si>
    <t>0.03567 (0.04720)</t>
  </si>
  <si>
    <t>0.03103 (0.00598)</t>
  </si>
  <si>
    <t>0.14849 (0.02930)</t>
  </si>
  <si>
    <t>0.00455 (0.00089)</t>
  </si>
  <si>
    <t>motA</t>
  </si>
  <si>
    <t>motility protein A; MotA component of theH+-coupled stator flagellum complex</t>
  </si>
  <si>
    <t>0.02021 (0.02084)</t>
  </si>
  <si>
    <t>0.02798 (0.00743)</t>
  </si>
  <si>
    <t>0.12883 (0.03784)</t>
  </si>
  <si>
    <t>0.00241 (0.00033)</t>
  </si>
  <si>
    <t>queD</t>
  </si>
  <si>
    <t>6-carboxy-5,6,7,8-tetrahydropterin synthase;queuosine biosynthesis</t>
  </si>
  <si>
    <t>0.04909 (0.04012)</t>
  </si>
  <si>
    <t>0.02567 (0.03061)</t>
  </si>
  <si>
    <t>0.02796 (0.00403)</t>
  </si>
  <si>
    <t>0.12192 (0.01902)</t>
  </si>
  <si>
    <t>0.00321 (0.00050)</t>
  </si>
  <si>
    <t>ykvP</t>
  </si>
  <si>
    <t>spore protein (HGT island)</t>
  </si>
  <si>
    <t>0.20514 (0.20783)</t>
  </si>
  <si>
    <t>0.28001 (0.00000)</t>
  </si>
  <si>
    <t>0.02841 (0.00681)</t>
  </si>
  <si>
    <t>0.07773 (0.02144)</t>
  </si>
  <si>
    <t>0.01635 (0.00352)</t>
  </si>
  <si>
    <t>ykvS</t>
  </si>
  <si>
    <t>conserved protein of unknown function (HGTisland)</t>
  </si>
  <si>
    <t>ykzS</t>
  </si>
  <si>
    <t>conserved hypothetical protein (HGT island)</t>
  </si>
  <si>
    <t>glcT</t>
  </si>
  <si>
    <t>transcriptional antiterminator (BglG family)</t>
  </si>
  <si>
    <t>0.01292 (0.02567)</t>
  </si>
  <si>
    <t>0.02581 (0.00478)</t>
  </si>
  <si>
    <t>0.13741 (0.02701)</t>
  </si>
  <si>
    <t>0.00059 (0.00018)</t>
  </si>
  <si>
    <t>ptsG</t>
  </si>
  <si>
    <t>phosphotransferase system (PTS) glucose-specificenzyme IICBA component</t>
  </si>
  <si>
    <t>0.02798 (0.05725)</t>
  </si>
  <si>
    <t>0.15719 (0.00000)</t>
  </si>
  <si>
    <t>0.02750 (0.00828)</t>
  </si>
  <si>
    <t>0.11660 (0.03617)</t>
  </si>
  <si>
    <t>0.00357 (0.00113)</t>
  </si>
  <si>
    <t>ptsH</t>
  </si>
  <si>
    <t>histidine-containing phosphocarrier protein ofthe phosphotransferase system (PTS) (HPr protein)</t>
  </si>
  <si>
    <t>ptsI</t>
  </si>
  <si>
    <t>phosphotransferase system (PTS) enzyme I</t>
  </si>
  <si>
    <t>0.01574 (0.01239)</t>
  </si>
  <si>
    <t>0.01865 (0.00238)</t>
  </si>
  <si>
    <t>0.08512 (0.01139)</t>
  </si>
  <si>
    <t>0.00061 (0.00014)</t>
  </si>
  <si>
    <t>kinA</t>
  </si>
  <si>
    <t>sporulation-specific ATP-dependent proteinhistidine kinase</t>
  </si>
  <si>
    <t>0.04772 (0.01791)</t>
  </si>
  <si>
    <t>0.02242 (0.01816)</t>
  </si>
  <si>
    <t>0.03306 (0.00586)</t>
  </si>
  <si>
    <t>0.15735 (0.02981)</t>
  </si>
  <si>
    <t>0.00423 (0.00063)</t>
  </si>
  <si>
    <t>ykzT</t>
  </si>
  <si>
    <t>kre</t>
  </si>
  <si>
    <t>regulator of transcription factor ComK functionvia modulation of mRNA stability</t>
  </si>
  <si>
    <t>0.04081 (0.06294)</t>
  </si>
  <si>
    <t>0.01602 (0.00272)</t>
  </si>
  <si>
    <t>0.07128 (0.01304)</t>
  </si>
  <si>
    <t>0.00112 (0.00043)</t>
  </si>
  <si>
    <t>ltdD</t>
  </si>
  <si>
    <t>murein L,D-transpeptidase</t>
  </si>
  <si>
    <t>0.06850 (0.10735)</t>
  </si>
  <si>
    <t>0.02405 (0.00710)</t>
  </si>
  <si>
    <t>0.08461 (0.02606)</t>
  </si>
  <si>
    <t>0.00551 (0.00159)</t>
  </si>
  <si>
    <t>ykuJ</t>
  </si>
  <si>
    <t>putative RNA-specific modification enzymesubunit</t>
  </si>
  <si>
    <t>0.01181 (0.00116)</t>
  </si>
  <si>
    <t>0.06072 (0.00616)</t>
  </si>
  <si>
    <t>ykuK</t>
  </si>
  <si>
    <t>putative RNA-binding enzyme component</t>
  </si>
  <si>
    <t>0.03192 (0.07263)</t>
  </si>
  <si>
    <t>0.05607 (0.00000)</t>
  </si>
  <si>
    <t>0.02112 (0.00429)</t>
  </si>
  <si>
    <t>0.08556 (0.01846)</t>
  </si>
  <si>
    <t>0.00404 (0.00071)</t>
  </si>
  <si>
    <t>abbA</t>
  </si>
  <si>
    <t>regulator of AbrB repressor</t>
  </si>
  <si>
    <t>dapH</t>
  </si>
  <si>
    <t>tetrahydrodipicolinate N-acetyltransferase</t>
  </si>
  <si>
    <t>0.01356 (0.02446)</t>
  </si>
  <si>
    <t>0.01575 (0.02008)</t>
  </si>
  <si>
    <t>0.02712 (0.00438)</t>
  </si>
  <si>
    <t>0.12231 (0.02073)</t>
  </si>
  <si>
    <t>0.00184 (0.00032)</t>
  </si>
  <si>
    <t>ykuS</t>
  </si>
  <si>
    <t>0.10585 (0.10294)</t>
  </si>
  <si>
    <t>0.02716 (0.00404)</t>
  </si>
  <si>
    <t>0.11242 (0.01529)</t>
  </si>
  <si>
    <t>0.00634 (0.00151)</t>
  </si>
  <si>
    <t>rok</t>
  </si>
  <si>
    <t>repressor of comK</t>
  </si>
  <si>
    <t>skiY</t>
  </si>
  <si>
    <t>subunit of efflux permease exporting thestarvation-induced killing protein (ATP-binding protein)</t>
  </si>
  <si>
    <t>0.07669 (0.04164)</t>
  </si>
  <si>
    <t>0.07471 (0.00000)</t>
  </si>
  <si>
    <t>0.02826 (0.00604)</t>
  </si>
  <si>
    <t>0.10481 (0.02610)</t>
  </si>
  <si>
    <t>0.00792 (0.00122)</t>
  </si>
  <si>
    <t>fruR</t>
  </si>
  <si>
    <t>transcriptional regulator (DeoR family)</t>
  </si>
  <si>
    <t>0.02923 (0.05888)</t>
  </si>
  <si>
    <t>0.06891 (0.08880)</t>
  </si>
  <si>
    <t>0.02497 (0.00501)</t>
  </si>
  <si>
    <t>0.09815 (0.01979)</t>
  </si>
  <si>
    <t>0.00588 (0.00119)</t>
  </si>
  <si>
    <t>fruK</t>
  </si>
  <si>
    <t>fructose-1-phosphate kinase</t>
  </si>
  <si>
    <t>0.06388 (0.08825)</t>
  </si>
  <si>
    <t>0.02604 (0.00696)</t>
  </si>
  <si>
    <t>0.09974 (0.02636)</t>
  </si>
  <si>
    <t>0.00512 (0.00172)</t>
  </si>
  <si>
    <t>sipT</t>
  </si>
  <si>
    <t>0.08537 (0.13781)</t>
  </si>
  <si>
    <t>0.01352 (0.00000)</t>
  </si>
  <si>
    <t>0.03080 (0.00671)</t>
  </si>
  <si>
    <t>0.13560 (0.03152)</t>
  </si>
  <si>
    <t>0.00376 (0.00080)</t>
  </si>
  <si>
    <t>ykpA</t>
  </si>
  <si>
    <t>putative energy-sensing inhibitor oftranslation</t>
  </si>
  <si>
    <t>0.01622 (0.03012)</t>
  </si>
  <si>
    <t>0.02871 (0.00795)</t>
  </si>
  <si>
    <t>0.14218 (0.04097)</t>
  </si>
  <si>
    <t>0.00199 (0.00061)</t>
  </si>
  <si>
    <t>ykpC</t>
  </si>
  <si>
    <t>kinC</t>
  </si>
  <si>
    <t>two-component sensor potassium-responsivehistidine kinase regulating cannibalism and biofilmformation</t>
  </si>
  <si>
    <t>0.04540 (0.08648)</t>
  </si>
  <si>
    <t>0.02869 (0.00781)</t>
  </si>
  <si>
    <t>0.13115 (0.03562)</t>
  </si>
  <si>
    <t>0.00498 (0.00177)</t>
  </si>
  <si>
    <t>rnpZA</t>
  </si>
  <si>
    <t>omega 1 subunit of RNA polymerase</t>
  </si>
  <si>
    <t>defB</t>
  </si>
  <si>
    <t>N-formyl-cysteine deformylase (promiscuous)</t>
  </si>
  <si>
    <t>0.11994 (0.09776)</t>
  </si>
  <si>
    <t>0.03134 (0.00583)</t>
  </si>
  <si>
    <t>0.13908 (0.02860)</t>
  </si>
  <si>
    <t>0.00471 (0.00100)</t>
  </si>
  <si>
    <t>pdhA</t>
  </si>
  <si>
    <t>pyruvate dehydrogenase (E1 alpha subunit)</t>
  </si>
  <si>
    <t>0.01761 (0.00328)</t>
  </si>
  <si>
    <t>0.08379 (0.01605)</t>
  </si>
  <si>
    <t>pdhB</t>
  </si>
  <si>
    <t>pyruvate dehydrogenase (E1 beta subunit)</t>
  </si>
  <si>
    <t>0.03272 (0.02748)</t>
  </si>
  <si>
    <t>0.02195 (0.00377)</t>
  </si>
  <si>
    <t>0.09582 (0.01747)</t>
  </si>
  <si>
    <t>0.00108 (0.00026)</t>
  </si>
  <si>
    <t>pdhC</t>
  </si>
  <si>
    <t>pyruvate dehydrogenase (dihydrolipoamideacetyltransferase E2 subunit)</t>
  </si>
  <si>
    <t>0.06791 (0.00000)</t>
  </si>
  <si>
    <t>0.01237 (0.00205)</t>
  </si>
  <si>
    <t>0.04941 (0.00784)</t>
  </si>
  <si>
    <t>0.00177 (0.00042)</t>
  </si>
  <si>
    <t>pdhD</t>
  </si>
  <si>
    <t>dihydrolipoamide dehydrogenase E3 subunit ofboth pyruvate dehydrogenase and 2-oxoglutaratedehydrogenase complexes</t>
  </si>
  <si>
    <t>0.01181 (0.02308)</t>
  </si>
  <si>
    <t>0.02783 (0.03314)</t>
  </si>
  <si>
    <t>0.02284 (0.00395)</t>
  </si>
  <si>
    <t>0.09441 (0.01642)</t>
  </si>
  <si>
    <t>0.00207 (0.00049)</t>
  </si>
  <si>
    <t>slp</t>
  </si>
  <si>
    <t>small peptidoglycan-associated lipoprotein</t>
  </si>
  <si>
    <t>0.13260 (0.20475)</t>
  </si>
  <si>
    <t>0.10995 (0.00000)</t>
  </si>
  <si>
    <t>0.03002 (0.00550)</t>
  </si>
  <si>
    <t>0.10549 (0.02251)</t>
  </si>
  <si>
    <t>0.01209 (0.00211)</t>
  </si>
  <si>
    <t>rgpA</t>
  </si>
  <si>
    <t>regulator of GapA synthesis</t>
  </si>
  <si>
    <t>0.06036 (0.09054)</t>
  </si>
  <si>
    <t>0.02991 (0.00439)</t>
  </si>
  <si>
    <t>0.14398 (0.02133)</t>
  </si>
  <si>
    <t>0.00537 (0.00200)</t>
  </si>
  <si>
    <t>yktA</t>
  </si>
  <si>
    <t>0.01945 (0.02377)</t>
  </si>
  <si>
    <t>0.02715 (0.00908)</t>
  </si>
  <si>
    <t>0.12487 (0.04622)</t>
  </si>
  <si>
    <t>0.00563 (0.00136)</t>
  </si>
  <si>
    <t>ykzI</t>
  </si>
  <si>
    <t>conserved general stress protein</t>
  </si>
  <si>
    <t>ylaF</t>
  </si>
  <si>
    <t>0.03295 (0.06507)</t>
  </si>
  <si>
    <t>0.10368 (0.10122)</t>
  </si>
  <si>
    <t>0.04194 (0.00492)</t>
  </si>
  <si>
    <t>0.17891 (0.02648)</t>
  </si>
  <si>
    <t>0.01106 (0.00194)</t>
  </si>
  <si>
    <t>bipA</t>
  </si>
  <si>
    <t>ribosome-associated GTPase</t>
  </si>
  <si>
    <t>0.01602 (0.01599)</t>
  </si>
  <si>
    <t>0.00978 (0.01138)</t>
  </si>
  <si>
    <t>0.03094 (0.00516)</t>
  </si>
  <si>
    <t>0.14458 (0.02491)</t>
  </si>
  <si>
    <t>0.00170 (0.00036)</t>
  </si>
  <si>
    <t>ylaH</t>
  </si>
  <si>
    <t>conserved membrane protein of unkown function</t>
  </si>
  <si>
    <t>0.17547 (0.06363)</t>
  </si>
  <si>
    <t>0.02349 (0.00368)</t>
  </si>
  <si>
    <t>0.08610 (0.01444)</t>
  </si>
  <si>
    <t>0.00345 (0.00082)</t>
  </si>
  <si>
    <t>ylaI</t>
  </si>
  <si>
    <t>ylaN</t>
  </si>
  <si>
    <t>0.06803 (0.08364)</t>
  </si>
  <si>
    <t>0.00836 (0.00138)</t>
  </si>
  <si>
    <t>0.03118 (0.00635)</t>
  </si>
  <si>
    <t>0.00229 (0.00094)</t>
  </si>
  <si>
    <t>ctaB</t>
  </si>
  <si>
    <t>protoheme IX farnesyltransferase 2</t>
  </si>
  <si>
    <t>0.04062 (0.03938)</t>
  </si>
  <si>
    <t>0.02230 (0.00373)</t>
  </si>
  <si>
    <t>0.09513 (0.01613)</t>
  </si>
  <si>
    <t>0.00173 (0.00041)</t>
  </si>
  <si>
    <t>ctaC</t>
  </si>
  <si>
    <t>cytochrome caa3 oxidase (subunit II)</t>
  </si>
  <si>
    <t>0.03558 (0.07169)</t>
  </si>
  <si>
    <t>0.28928 (0.00000)</t>
  </si>
  <si>
    <t>0.02840 (0.00887)</t>
  </si>
  <si>
    <t>0.12447 (0.04083)</t>
  </si>
  <si>
    <t>0.00506 (0.00145)</t>
  </si>
  <si>
    <t>ylbB</t>
  </si>
  <si>
    <t>putative enzyme</t>
  </si>
  <si>
    <t>0.02288 (0.03011)</t>
  </si>
  <si>
    <t>0.02890 (0.00815)</t>
  </si>
  <si>
    <t>0.13488 (0.04127)</t>
  </si>
  <si>
    <t>0.00292 (0.00069)</t>
  </si>
  <si>
    <t>ylbD</t>
  </si>
  <si>
    <t>sporulation-related protein (coat)</t>
  </si>
  <si>
    <t>0.19968 (0.07083)</t>
  </si>
  <si>
    <t>0.07609 (0.08741)</t>
  </si>
  <si>
    <t>0.02626 (0.00442)</t>
  </si>
  <si>
    <t>0.09545 (0.01655)</t>
  </si>
  <si>
    <t>0.01141 (0.00212)</t>
  </si>
  <si>
    <t>ylbE</t>
  </si>
  <si>
    <t>0.67743 (0.53274)</t>
  </si>
  <si>
    <t>0.02497 (0.00000)</t>
  </si>
  <si>
    <t>0.03376 (0.00770)</t>
  </si>
  <si>
    <t>0.15287 (0.04121)</t>
  </si>
  <si>
    <t>0.01133 (0.00230)</t>
  </si>
  <si>
    <t>ricF</t>
  </si>
  <si>
    <t>subunit of a sporulation, competence and biofilmformation regulatory complex controlling RNase Y (RicAFT</t>
  </si>
  <si>
    <t>0.01745 (0.00318)</t>
  </si>
  <si>
    <t>0.08433 (0.01584)</t>
  </si>
  <si>
    <t>ylbG</t>
  </si>
  <si>
    <t>0.04525 (0.04240)</t>
  </si>
  <si>
    <t>0.02654 (0.00695)</t>
  </si>
  <si>
    <t>0.11966 (0.03476)</t>
  </si>
  <si>
    <t>0.00474 (0.00112)</t>
  </si>
  <si>
    <t>rsmD</t>
  </si>
  <si>
    <t>16S rRNA m2G966 methyltransferase</t>
  </si>
  <si>
    <t>0.22740 (0.06519)</t>
  </si>
  <si>
    <t>0.01679 (0.02130)</t>
  </si>
  <si>
    <t>0.03786 (0.00520)</t>
  </si>
  <si>
    <t>0.13489 (0.02374)</t>
  </si>
  <si>
    <t>0.01244 (0.00082)</t>
  </si>
  <si>
    <t>coaD</t>
  </si>
  <si>
    <t>phosphopantetheine adenylyltransferase</t>
  </si>
  <si>
    <t>0.02429 (0.04808)</t>
  </si>
  <si>
    <t>0.02830 (0.00599)</t>
  </si>
  <si>
    <t>0.12650 (0.02655)</t>
  </si>
  <si>
    <t>0.00270 (0.00110)</t>
  </si>
  <si>
    <t>ylbL</t>
  </si>
  <si>
    <t>putative degradative enzyme</t>
  </si>
  <si>
    <t>0.04843 (0.02412)</t>
  </si>
  <si>
    <t>0.04768 (0.05905)</t>
  </si>
  <si>
    <t>0.03148 (0.00564)</t>
  </si>
  <si>
    <t>0.13512 (0.02489)</t>
  </si>
  <si>
    <t>0.00607 (0.00116)</t>
  </si>
  <si>
    <t>ylzH</t>
  </si>
  <si>
    <t>conserved protein,of unknown function</t>
  </si>
  <si>
    <t>0.12221 (0.00000)</t>
  </si>
  <si>
    <t>0.02186 (0.00364)</t>
  </si>
  <si>
    <t>0.03766 (0.00888)</t>
  </si>
  <si>
    <t>0.01858 (0.00271)</t>
  </si>
  <si>
    <t>ylbN</t>
  </si>
  <si>
    <t>0.34219 (0.40685)</t>
  </si>
  <si>
    <t>0.04228 (0.03333)</t>
  </si>
  <si>
    <t>0.01318 (0.00155)</t>
  </si>
  <si>
    <t>0.04502 (0.00724)</t>
  </si>
  <si>
    <t>0.00539 (0.00076)</t>
  </si>
  <si>
    <t>rpmF</t>
  </si>
  <si>
    <t>ribosomal protein L32</t>
  </si>
  <si>
    <t>gerR</t>
  </si>
  <si>
    <t>DNA-binding regulator</t>
  </si>
  <si>
    <t>0.16314 (0.03772)</t>
  </si>
  <si>
    <t>0.05184 (0.05714)</t>
  </si>
  <si>
    <t>0.02815 (0.00432)</t>
  </si>
  <si>
    <t>0.10578 (0.01805)</t>
  </si>
  <si>
    <t>0.00932 (0.00117)</t>
  </si>
  <si>
    <t>mraZ</t>
  </si>
  <si>
    <t>inhibitor of RsmH and transcriptional regulator</t>
  </si>
  <si>
    <t>0.01702 (0.00287)</t>
  </si>
  <si>
    <t>0.08623 (0.01508)</t>
  </si>
  <si>
    <t>rsmH</t>
  </si>
  <si>
    <t>16S rRNA m4C1402 methyltransferase</t>
  </si>
  <si>
    <t>0.05370 (0.09013)</t>
  </si>
  <si>
    <t>0.14585 (0.00000)</t>
  </si>
  <si>
    <t>0.02697 (0.00841)</t>
  </si>
  <si>
    <t>0.10959 (0.03828)</t>
  </si>
  <si>
    <t>0.00650 (0.00126)</t>
  </si>
  <si>
    <t>ftsL</t>
  </si>
  <si>
    <t>cell-division protein</t>
  </si>
  <si>
    <t>mraY</t>
  </si>
  <si>
    <t>phospho-N-acetylmuramoyl-pentapeptideundecaprenyl phosphate (C55P) transferase</t>
  </si>
  <si>
    <t>0.04388 (0.01750)</t>
  </si>
  <si>
    <t>0.02182 (0.00982)</t>
  </si>
  <si>
    <t>0.02726 (0.00422)</t>
  </si>
  <si>
    <t>0.11253 (0.01888)</t>
  </si>
  <si>
    <t>0.00274 (0.00043)</t>
  </si>
  <si>
    <t>spoVE</t>
  </si>
  <si>
    <t>factor for spore cortex peptidoglycan synthesis(stage V sporulation)</t>
  </si>
  <si>
    <t>0.02056 (0.01688)</t>
  </si>
  <si>
    <t>0.03142 (0.00524)</t>
  </si>
  <si>
    <t>0.14095 (0.02460)</t>
  </si>
  <si>
    <t>0.00097 (0.00023)</t>
  </si>
  <si>
    <t>murG</t>
  </si>
  <si>
    <t>UDP-N-acetylglucosamine-N-acetylmuramyl-(pentapeptide)pyrophosphoryl-undecaprenolN-acetylglucosamine transferase</t>
  </si>
  <si>
    <t>0.06557 (0.07639)</t>
  </si>
  <si>
    <t>0.30821 (0.00000)</t>
  </si>
  <si>
    <t>0.02740 (0.00700)</t>
  </si>
  <si>
    <t>0.10238 (0.02897)</t>
  </si>
  <si>
    <t>0.00725 (0.00140)</t>
  </si>
  <si>
    <t>murB</t>
  </si>
  <si>
    <t>UDP-N-acetylenolpyruvoylglucosamine reductase</t>
  </si>
  <si>
    <t>0.01119 (0.02080)</t>
  </si>
  <si>
    <t>0.00968 (0.01282)</t>
  </si>
  <si>
    <t>0.03014 (0.00511)</t>
  </si>
  <si>
    <t>0.14350 (0.02524)</t>
  </si>
  <si>
    <t>0.00143 (0.00035)</t>
  </si>
  <si>
    <t>divIB</t>
  </si>
  <si>
    <t>0.01463 (0.02837)</t>
  </si>
  <si>
    <t>0.02794 (0.03686)</t>
  </si>
  <si>
    <t>0.03080 (0.00563)</t>
  </si>
  <si>
    <t>0.15128 (0.02867)</t>
  </si>
  <si>
    <t>0.00355 (0.00066)</t>
  </si>
  <si>
    <t>sbp</t>
  </si>
  <si>
    <t>putative integral inner membrane protein (smallbasic protein)</t>
  </si>
  <si>
    <t>0.09167 (0.02871)</t>
  </si>
  <si>
    <t>0.02158 (0.00327)</t>
  </si>
  <si>
    <t>0.08149 (0.01343)</t>
  </si>
  <si>
    <t>0.00366 (0.00061)</t>
  </si>
  <si>
    <t>ftsA</t>
  </si>
  <si>
    <t>cell-division protein essential for Z-ringassembly</t>
  </si>
  <si>
    <t>0.03925 (0.01373)</t>
  </si>
  <si>
    <t>0.06306 (0.07200)</t>
  </si>
  <si>
    <t>0.01705 (0.00282)</t>
  </si>
  <si>
    <t>0.06690 (0.01107)</t>
  </si>
  <si>
    <t>0.00354 (0.00068)</t>
  </si>
  <si>
    <t>ftsZ</t>
  </si>
  <si>
    <t>0.03747 (0.04271)</t>
  </si>
  <si>
    <t>0.00804 (0.01024)</t>
  </si>
  <si>
    <t>0.02827 (0.00531)</t>
  </si>
  <si>
    <t>0.12808 (0.02554)</t>
  </si>
  <si>
    <t>0.00205 (0.00039)</t>
  </si>
  <si>
    <t>sigG</t>
  </si>
  <si>
    <t>RNA polymerase sporulation-specific sigma factor(sigma-G)</t>
  </si>
  <si>
    <t>0.01727 (0.01897)</t>
  </si>
  <si>
    <t>0.01949 (0.00336)</t>
  </si>
  <si>
    <t>0.09504 (0.01658)</t>
  </si>
  <si>
    <t>0.00098 (0.00023)</t>
  </si>
  <si>
    <t>ylmC</t>
  </si>
  <si>
    <t>essential sporulation protein</t>
  </si>
  <si>
    <t>0.03381 (0.02555)</t>
  </si>
  <si>
    <t>0.02346 (0.00368)</t>
  </si>
  <si>
    <t>0.10290 (0.01589)</t>
  </si>
  <si>
    <t>0.00318 (0.00076)</t>
  </si>
  <si>
    <t>ylmD</t>
  </si>
  <si>
    <t>conserved protein with laccase domain</t>
  </si>
  <si>
    <t>0.15920 (0.22394)</t>
  </si>
  <si>
    <t>0.02938 (0.00808)</t>
  </si>
  <si>
    <t>0.09179 (0.03010)</t>
  </si>
  <si>
    <t>0.01406 (0.00280)</t>
  </si>
  <si>
    <t>ylmE</t>
  </si>
  <si>
    <t>putative PLP-containing enzyme</t>
  </si>
  <si>
    <t>0.16802 (0.10007)</t>
  </si>
  <si>
    <t>0.23982 (0.22866)</t>
  </si>
  <si>
    <t>0.02449 (0.00459)</t>
  </si>
  <si>
    <t>0.06206 (0.01156)</t>
  </si>
  <si>
    <t>0.01449 (0.00288)</t>
  </si>
  <si>
    <t>sepF</t>
  </si>
  <si>
    <t>cell division machinery factor</t>
  </si>
  <si>
    <t>0.03703 (0.05717)</t>
  </si>
  <si>
    <t>0.07249 (0.00000)</t>
  </si>
  <si>
    <t>0.02222 (0.00432)</t>
  </si>
  <si>
    <t>0.09321 (0.01912)</t>
  </si>
  <si>
    <t>0.00518 (0.00123)</t>
  </si>
  <si>
    <t>ylmG</t>
  </si>
  <si>
    <t>factor involved in shape determination,distribution of nucleoids and osmotic tolerance</t>
  </si>
  <si>
    <t>0.03550 (0.06320)</t>
  </si>
  <si>
    <t>0.03037 (0.00477)</t>
  </si>
  <si>
    <t>0.13005 (0.02291)</t>
  </si>
  <si>
    <t>0.00198 (0.00074)</t>
  </si>
  <si>
    <t>ylmH</t>
  </si>
  <si>
    <t>factor involved in shape determination,RNA-binding fold</t>
  </si>
  <si>
    <t>0.06649 (0.02263)</t>
  </si>
  <si>
    <t>0.05388 (0.04376)</t>
  </si>
  <si>
    <t>0.03800 (0.00357)</t>
  </si>
  <si>
    <t>0.15135 (0.01380)</t>
  </si>
  <si>
    <t>0.00898 (0.00136)</t>
  </si>
  <si>
    <t>divIVA</t>
  </si>
  <si>
    <t>0.02886 (0.00483)</t>
  </si>
  <si>
    <t>0.16126 (0.02885)</t>
  </si>
  <si>
    <t>lspA</t>
  </si>
  <si>
    <t>signal peptidase II</t>
  </si>
  <si>
    <t>0.06129 (0.07364)</t>
  </si>
  <si>
    <t>0.01647 (0.02094)</t>
  </si>
  <si>
    <t>0.02857 (0.00606)</t>
  </si>
  <si>
    <t>0.12615 (0.02749)</t>
  </si>
  <si>
    <t>0.00284 (0.00070)</t>
  </si>
  <si>
    <t>pyrAA</t>
  </si>
  <si>
    <t>pyrimidine-specific carbamoyl-phosphatesynthetase (small subunit, glutaminase subunit)</t>
  </si>
  <si>
    <t>0.03191 (0.06559)</t>
  </si>
  <si>
    <t>0.02671 (0.00892)</t>
  </si>
  <si>
    <t>0.11700 (0.04023)</t>
  </si>
  <si>
    <t>0.00360 (0.00117)</t>
  </si>
  <si>
    <t>pyrK</t>
  </si>
  <si>
    <t>dihydroorotate dehydrogenase (electron transfersubunit)</t>
  </si>
  <si>
    <t>0.10776 (0.14354)</t>
  </si>
  <si>
    <t>0.10244 (0.00000)</t>
  </si>
  <si>
    <t>0.02496 (0.00637)</t>
  </si>
  <si>
    <t>0.08414 (0.02713)</t>
  </si>
  <si>
    <t>0.00887 (0.00095)</t>
  </si>
  <si>
    <t>cysH</t>
  </si>
  <si>
    <t>(phospho)adenosine phosphosulfate reductase</t>
  </si>
  <si>
    <t>0.02261 (0.04298)</t>
  </si>
  <si>
    <t>0.02990 (0.00392)</t>
  </si>
  <si>
    <t>0.14333 (0.02092)</t>
  </si>
  <si>
    <t>0.00148 (0.00044)</t>
  </si>
  <si>
    <t>sumT</t>
  </si>
  <si>
    <t>uroporphyrinogen III and precorrin-1C-methyltransferase</t>
  </si>
  <si>
    <t>0.07492 (0.00814)</t>
  </si>
  <si>
    <t>0.08002 (0.00679)</t>
  </si>
  <si>
    <t>0.03126 (0.00181)</t>
  </si>
  <si>
    <t>0.11513 (0.00692)</t>
  </si>
  <si>
    <t>0.00882 (0.00096)</t>
  </si>
  <si>
    <t>yloC</t>
  </si>
  <si>
    <t>0.20594 (0.13589)</t>
  </si>
  <si>
    <t>0.08181 (0.00000)</t>
  </si>
  <si>
    <t>0.03016 (0.00651)</t>
  </si>
  <si>
    <t>0.10820 (0.02553)</t>
  </si>
  <si>
    <t>0.01132 (0.00214)</t>
  </si>
  <si>
    <t>remA</t>
  </si>
  <si>
    <t>essential sporulation DNA binding protein;regulator of biofilm formation</t>
  </si>
  <si>
    <t>gmk</t>
  </si>
  <si>
    <t>guanylate kinase</t>
  </si>
  <si>
    <t>0.05812 (0.09311)</t>
  </si>
  <si>
    <t>0.01404 (0.00000)</t>
  </si>
  <si>
    <t>0.02729 (0.00549)</t>
  </si>
  <si>
    <t>0.12338 (0.02554)</t>
  </si>
  <si>
    <t>0.00297 (0.00081)</t>
  </si>
  <si>
    <t>rpoZ</t>
  </si>
  <si>
    <t>omega subunit of RNA polymerase</t>
  </si>
  <si>
    <t>0.02488 (0.00469)</t>
  </si>
  <si>
    <t>0.12958 (0.02590)</t>
  </si>
  <si>
    <t>rlmN</t>
  </si>
  <si>
    <t>23S rRNA m2A2503 methyltransferase and tRNA A37C2 methyltransferase</t>
  </si>
  <si>
    <t>0.03375 (0.05877)</t>
  </si>
  <si>
    <t>0.05751 (0.00000)</t>
  </si>
  <si>
    <t>0.03153 (0.00782)</t>
  </si>
  <si>
    <t>0.13926 (0.03588)</t>
  </si>
  <si>
    <t>0.00497 (0.00142)</t>
  </si>
  <si>
    <t>prpC</t>
  </si>
  <si>
    <t>multitarget phosphorylated protein phosphatase</t>
  </si>
  <si>
    <t>0.03102 (0.02281)</t>
  </si>
  <si>
    <t>0.15985 (0.09027)</t>
  </si>
  <si>
    <t>0.03097 (0.00470)</t>
  </si>
  <si>
    <t>0.10874 (0.01563)</t>
  </si>
  <si>
    <t>0.01158 (0.00188)</t>
  </si>
  <si>
    <t>rsgA</t>
  </si>
  <si>
    <t>GTPase involved in ribosome biogenesis</t>
  </si>
  <si>
    <t>0.05704 (0.03914)</t>
  </si>
  <si>
    <t>0.04029 (0.04328)</t>
  </si>
  <si>
    <t>0.03199 (0.00493)</t>
  </si>
  <si>
    <t>0.13392 (0.02133)</t>
  </si>
  <si>
    <t>0.00639 (0.00117)</t>
  </si>
  <si>
    <t>spoVM</t>
  </si>
  <si>
    <t>factor required for normal spore cortex and coatsynthesis (stage V sporulation)</t>
  </si>
  <si>
    <t>rpmB</t>
  </si>
  <si>
    <t>ribosomal protein L28</t>
  </si>
  <si>
    <t>yloU</t>
  </si>
  <si>
    <t>putative factor involved in malonyl-CoAsynthesis</t>
  </si>
  <si>
    <t>0.08355 (0.00000)</t>
  </si>
  <si>
    <t>0.02222 (0.00490)</t>
  </si>
  <si>
    <t>0.08432 (0.01793)</t>
  </si>
  <si>
    <t>0.00487 (0.00115)</t>
  </si>
  <si>
    <t>sdaAB</t>
  </si>
  <si>
    <t>L-serine dehydratase (beta chain)</t>
  </si>
  <si>
    <t>0.02193 (0.01976)</t>
  </si>
  <si>
    <t>0.03401 (0.03856)</t>
  </si>
  <si>
    <t>0.03394 (0.00541)</t>
  </si>
  <si>
    <t>0.14878 (0.02405)</t>
  </si>
  <si>
    <t>0.00397 (0.00084)</t>
  </si>
  <si>
    <t>fapR</t>
  </si>
  <si>
    <t>transcription factor controlling fatty acid andphospholipid metabolism (FapR-malonyl-Coa)</t>
  </si>
  <si>
    <t>0.01654 (0.03451)</t>
  </si>
  <si>
    <t>0.01524 (0.01208)</t>
  </si>
  <si>
    <t>0.02961 (0.00434)</t>
  </si>
  <si>
    <t>0.13853 (0.02098)</t>
  </si>
  <si>
    <t>0.00229 (0.00056)</t>
  </si>
  <si>
    <t>plsX</t>
  </si>
  <si>
    <t>phosphate:acyl-ACP acyltransferase</t>
  </si>
  <si>
    <t>0.04401 (0.03654)</t>
  </si>
  <si>
    <t>0.04174 (0.04831)</t>
  </si>
  <si>
    <t>0.02813 (0.00464)</t>
  </si>
  <si>
    <t>0.11343 (0.01877)</t>
  </si>
  <si>
    <t>0.00475 (0.00104)</t>
  </si>
  <si>
    <t>acpA</t>
  </si>
  <si>
    <t>acyl carrier protein</t>
  </si>
  <si>
    <t>rnc</t>
  </si>
  <si>
    <t>ribonuclease III</t>
  </si>
  <si>
    <t>0.01953 (0.02616)</t>
  </si>
  <si>
    <t>0.01636 (0.00000)</t>
  </si>
  <si>
    <t>0.02477 (0.00473)</t>
  </si>
  <si>
    <t>0.11639 (0.02257)</t>
  </si>
  <si>
    <t>ylxM</t>
  </si>
  <si>
    <t>component of the signal recognition particle(SRP) protein-targeting pathway</t>
  </si>
  <si>
    <t>0.08966 (0.10353)</t>
  </si>
  <si>
    <t>0.00808 (0.00117)</t>
  </si>
  <si>
    <t>0.03153 (0.00415)</t>
  </si>
  <si>
    <t>0.00193 (0.00079)</t>
  </si>
  <si>
    <t>ffh</t>
  </si>
  <si>
    <t>signal recognition particle-like (SRP) GTPase</t>
  </si>
  <si>
    <t>0.00652 (0.01333)</t>
  </si>
  <si>
    <t>0.02084 (0.02053)</t>
  </si>
  <si>
    <t>0.02436 (0.00356)</t>
  </si>
  <si>
    <t>0.11519 (0.01796)</t>
  </si>
  <si>
    <t>0.00163 (0.00031)</t>
  </si>
  <si>
    <t>rpsP</t>
  </si>
  <si>
    <t>ribosomal protein S16 (BS17)</t>
  </si>
  <si>
    <t>0.00617 (0.00113)</t>
  </si>
  <si>
    <t>0.02733 (0.00509)</t>
  </si>
  <si>
    <t>ylqC</t>
  </si>
  <si>
    <t>putative RNA binding protein</t>
  </si>
  <si>
    <t>ylqD</t>
  </si>
  <si>
    <t>0.08785 (0.03181)</t>
  </si>
  <si>
    <t>0.09193 (0.00000)</t>
  </si>
  <si>
    <t>0.02240 (0.00354)</t>
  </si>
  <si>
    <t>0.09012 (0.01553)</t>
  </si>
  <si>
    <t>0.00780 (0.00115)</t>
  </si>
  <si>
    <t>rplS</t>
  </si>
  <si>
    <t>ribosomal protein L19</t>
  </si>
  <si>
    <t>sucC</t>
  </si>
  <si>
    <t>succinyl-CoA synthetase (beta subunit)</t>
  </si>
  <si>
    <t>0.04071 (0.02454)</t>
  </si>
  <si>
    <t>0.03463 (0.03692)</t>
  </si>
  <si>
    <t>0.02771 (0.00493)</t>
  </si>
  <si>
    <t>0.11540 (0.02107)</t>
  </si>
  <si>
    <t>0.00442 (0.00089)</t>
  </si>
  <si>
    <t>sucD</t>
  </si>
  <si>
    <t>succinyl-CoA synthetase (alpha subunit)</t>
  </si>
  <si>
    <t>0.01723 (0.02725)</t>
  </si>
  <si>
    <t>0.02389 (0.00428)</t>
  </si>
  <si>
    <t>0.10759 (0.01999)</t>
  </si>
  <si>
    <t>0.00058 (0.00023)</t>
  </si>
  <si>
    <t>codV</t>
  </si>
  <si>
    <t>site-specific tyrosine recombinase forchromosome partitioning</t>
  </si>
  <si>
    <t>0.01858 (0.03662)</t>
  </si>
  <si>
    <t>0.07441 (0.06111)</t>
  </si>
  <si>
    <t>0.02160 (0.00405)</t>
  </si>
  <si>
    <t>0.08654 (0.01623)</t>
  </si>
  <si>
    <t>0.00509 (0.00106)</t>
  </si>
  <si>
    <t>clpQ</t>
  </si>
  <si>
    <t>two-component ATP-dependent protease (N-terminalserine protease)</t>
  </si>
  <si>
    <t>0.03328 (0.03990)</t>
  </si>
  <si>
    <t>0.02836 (0.00540)</t>
  </si>
  <si>
    <t>0.13363 (0.02650)</t>
  </si>
  <si>
    <t>0.00096 (0.00037)</t>
  </si>
  <si>
    <t>clpY</t>
  </si>
  <si>
    <t>two-component ATP-dependent protease (ATPase andchaperone)</t>
  </si>
  <si>
    <t>0.01753 (0.02720)</t>
  </si>
  <si>
    <t>0.02344 (0.00651)</t>
  </si>
  <si>
    <t>0.11152 (0.03215)</t>
  </si>
  <si>
    <t>0.00183 (0.00053)</t>
  </si>
  <si>
    <t>codY</t>
  </si>
  <si>
    <t>transcriptional regulator, GTP andBCAA-dependent</t>
  </si>
  <si>
    <t>0.03230 (0.00617)</t>
  </si>
  <si>
    <t>0.16600 (0.03291)</t>
  </si>
  <si>
    <t>flgB</t>
  </si>
  <si>
    <t>flagellar component of cell-proximal portion ofbasal-body rod</t>
  </si>
  <si>
    <t>0.07591 (0.05156)</t>
  </si>
  <si>
    <t>0.21195 (0.00000)</t>
  </si>
  <si>
    <t>0.02713 (0.00498)</t>
  </si>
  <si>
    <t>0.08828 (0.01765)</t>
  </si>
  <si>
    <t>0.01220 (0.00269)</t>
  </si>
  <si>
    <t>flgC</t>
  </si>
  <si>
    <t>0.07085 (0.04446)</t>
  </si>
  <si>
    <t>0.01625 (0.02053)</t>
  </si>
  <si>
    <t>0.03156 (0.00582)</t>
  </si>
  <si>
    <t>0.14509 (0.02870)</t>
  </si>
  <si>
    <t>0.00402 (0.00073)</t>
  </si>
  <si>
    <t>fliE</t>
  </si>
  <si>
    <t>flagellar basal body protein</t>
  </si>
  <si>
    <t>fliG</t>
  </si>
  <si>
    <t>flagellar motor switching and energizingcomponent</t>
  </si>
  <si>
    <t>0.00720 (0.00713)</t>
  </si>
  <si>
    <t>0.02909 (0.00469)</t>
  </si>
  <si>
    <t>0.14695 (0.02447)</t>
  </si>
  <si>
    <t>0.00076 (0.00018)</t>
  </si>
  <si>
    <t>fliJ</t>
  </si>
  <si>
    <t>flagellar synthesis rod subunit of exportATPase</t>
  </si>
  <si>
    <t>0.03458 (0.03914)</t>
  </si>
  <si>
    <t>0.03107 (0.00623)</t>
  </si>
  <si>
    <t>0.18554 (0.03717)</t>
  </si>
  <si>
    <t>0.00496 (0.00118)</t>
  </si>
  <si>
    <t>ylxF</t>
  </si>
  <si>
    <t>putative kinesin-like protein</t>
  </si>
  <si>
    <t>0.07763 (0.03550)</t>
  </si>
  <si>
    <t>0.24419 (0.30200)</t>
  </si>
  <si>
    <t>0.03235 (0.00717)</t>
  </si>
  <si>
    <t>0.09243 (0.01937)</t>
  </si>
  <si>
    <t>0.01827 (0.00446)</t>
  </si>
  <si>
    <t>swrD</t>
  </si>
  <si>
    <t>flagellar power transducer required forswarming</t>
  </si>
  <si>
    <t>fliM</t>
  </si>
  <si>
    <t>0.03042 (0.00521)</t>
  </si>
  <si>
    <t>0.15806 (0.02832)</t>
  </si>
  <si>
    <t>fliZ</t>
  </si>
  <si>
    <t>flagellar regulatory protein</t>
  </si>
  <si>
    <t>0.17764 (0.11762)</t>
  </si>
  <si>
    <t>0.09403 (0.04530)</t>
  </si>
  <si>
    <t>0.02222 (0.00329)</t>
  </si>
  <si>
    <t>0.07484 (0.01323)</t>
  </si>
  <si>
    <t>0.00935 (0.00120)</t>
  </si>
  <si>
    <t>fliP</t>
  </si>
  <si>
    <t>component of the flagellar export machinery</t>
  </si>
  <si>
    <t>0.06133 (0.10256)</t>
  </si>
  <si>
    <t>0.01753 (0.00000)</t>
  </si>
  <si>
    <t>0.03218 (0.00517)</t>
  </si>
  <si>
    <t>0.13966 (0.02330)</t>
  </si>
  <si>
    <t>0.00583 (0.00108)</t>
  </si>
  <si>
    <t>fliQ</t>
  </si>
  <si>
    <t>cheW</t>
  </si>
  <si>
    <t>modulation of CheA activity in response toattractants (chemotaxis)</t>
  </si>
  <si>
    <t>0.02572 (0.04152)</t>
  </si>
  <si>
    <t>0.12170 (0.00000)</t>
  </si>
  <si>
    <t>0.03098 (0.00571)</t>
  </si>
  <si>
    <t>0.11846 (0.02056)</t>
  </si>
  <si>
    <t>0.00879 (0.00166)</t>
  </si>
  <si>
    <t>cheC</t>
  </si>
  <si>
    <t>signal terminating phosphatase of CheR-mediatedmethylation of methyl-accepting chemotaxis proteins(MCPs)</t>
  </si>
  <si>
    <t>0.03166 (0.03986)</t>
  </si>
  <si>
    <t>0.02695 (0.00479)</t>
  </si>
  <si>
    <t>0.13091 (0.02347)</t>
  </si>
  <si>
    <t>0.00244 (0.00058)</t>
  </si>
  <si>
    <t>cheD</t>
  </si>
  <si>
    <t>sequence specific deamidase required formethylation of methyl-accepting chemotaxis proteins (MCPs)by CheR</t>
  </si>
  <si>
    <t>0.02002 (0.03273)</t>
  </si>
  <si>
    <t>0.04795 (0.00000)</t>
  </si>
  <si>
    <t>0.03414 (0.00546)</t>
  </si>
  <si>
    <t>0.14420 (0.02386)</t>
  </si>
  <si>
    <t>0.00484 (0.00115)</t>
  </si>
  <si>
    <t>sigD</t>
  </si>
  <si>
    <t>RNA polymerase sigma-28 factor (sigma-D)</t>
  </si>
  <si>
    <t>0.01812 (0.03364)</t>
  </si>
  <si>
    <t>0.01969 (0.00320)</t>
  </si>
  <si>
    <t>0.09389 (0.01626)</t>
  </si>
  <si>
    <t>0.00084 (0.00031)</t>
  </si>
  <si>
    <t>rpsB</t>
  </si>
  <si>
    <t>ribosomal protein S2</t>
  </si>
  <si>
    <t>0.00655 (0.00108)</t>
  </si>
  <si>
    <t>0.03068 (0.00510)</t>
  </si>
  <si>
    <t>tsf</t>
  </si>
  <si>
    <t>elongation factor Ts</t>
  </si>
  <si>
    <t>0.04691 (0.07437)</t>
  </si>
  <si>
    <t>0.05684 (0.06588)</t>
  </si>
  <si>
    <t>0.02162 (0.00381)</t>
  </si>
  <si>
    <t>0.08750 (0.01527)</t>
  </si>
  <si>
    <t>0.00470 (0.00112)</t>
  </si>
  <si>
    <t>pyrH</t>
  </si>
  <si>
    <t>uridylate kinase</t>
  </si>
  <si>
    <t>0.01667 (0.00276)</t>
  </si>
  <si>
    <t>0.07513 (0.01275)</t>
  </si>
  <si>
    <t>frr</t>
  </si>
  <si>
    <t>ribosome recycling factor</t>
  </si>
  <si>
    <t>0.02129 (0.03978)</t>
  </si>
  <si>
    <t>0.07478 (0.00000)</t>
  </si>
  <si>
    <t>0.03081 (0.00531)</t>
  </si>
  <si>
    <t>0.12300 (0.02128)</t>
  </si>
  <si>
    <t>0.00662 (0.00129)</t>
  </si>
  <si>
    <t>uppS</t>
  </si>
  <si>
    <t>undecaprenyl pyrophosphate synthase</t>
  </si>
  <si>
    <t>0.07396 (0.09921)</t>
  </si>
  <si>
    <t>0.06741 (0.00000)</t>
  </si>
  <si>
    <t>0.02564 (0.00542)</t>
  </si>
  <si>
    <t>0.10330 (0.02210)</t>
  </si>
  <si>
    <t>0.00692 (0.00154)</t>
  </si>
  <si>
    <t>cdsA</t>
  </si>
  <si>
    <t>phosphatidate cytidylyltransferase(CDP-diglyceride synthase)</t>
  </si>
  <si>
    <t>0.06990 (0.02797)</t>
  </si>
  <si>
    <t>0.07960 (0.09226)</t>
  </si>
  <si>
    <t>0.02763 (0.00443)</t>
  </si>
  <si>
    <t>0.09861 (0.01600)</t>
  </si>
  <si>
    <t>0.00756 (0.00140)</t>
  </si>
  <si>
    <t>dxr</t>
  </si>
  <si>
    <t>1-deoxy-D-xylulose-5-phosphate reductoisomerase</t>
  </si>
  <si>
    <t>0.04378 (0.04915)</t>
  </si>
  <si>
    <t>0.03491 (0.04121)</t>
  </si>
  <si>
    <t>0.02776 (0.00484)</t>
  </si>
  <si>
    <t>0.12127 (0.02140)</t>
  </si>
  <si>
    <t>0.00417 (0.00089)</t>
  </si>
  <si>
    <t>rasP</t>
  </si>
  <si>
    <t>inner membrane zinc metalloprotease required forthe extracytoplasmic stress response mediated by sigma(W)</t>
  </si>
  <si>
    <t>0.09284 (0.12418)</t>
  </si>
  <si>
    <t>0.01630 (0.00522)</t>
  </si>
  <si>
    <t>0.04360 (0.00581)</t>
  </si>
  <si>
    <t>0.17558 (0.02343)</t>
  </si>
  <si>
    <t>0.01041 (0.00275)</t>
  </si>
  <si>
    <t>rimP</t>
  </si>
  <si>
    <t>ribosome maturation factor</t>
  </si>
  <si>
    <t>rulR</t>
  </si>
  <si>
    <t>molecular ruler co-factor for RNA; new fold</t>
  </si>
  <si>
    <t>0.26943 (0.21235)</t>
  </si>
  <si>
    <t>0.01612 (0.00312)</t>
  </si>
  <si>
    <t>0.04631 (0.00785)</t>
  </si>
  <si>
    <t>0.00847 (0.00202)</t>
  </si>
  <si>
    <t>rulQ</t>
  </si>
  <si>
    <t>K-turn RNA binding protein</t>
  </si>
  <si>
    <t>infB</t>
  </si>
  <si>
    <t>initiation factor IF-2</t>
  </si>
  <si>
    <t>0.02339 (0.00793)</t>
  </si>
  <si>
    <t>0.01948 (0.02411)</t>
  </si>
  <si>
    <t>0.02600 (0.00452)</t>
  </si>
  <si>
    <t>0.11869 (0.02155)</t>
  </si>
  <si>
    <t>0.00230 (0.00038)</t>
  </si>
  <si>
    <t>rbfA</t>
  </si>
  <si>
    <t>pre-ribosomal (17S) RNA binding factor A</t>
  </si>
  <si>
    <t>0.03583 (0.04602)</t>
  </si>
  <si>
    <t>0.09576 (0.00000)</t>
  </si>
  <si>
    <t>0.02042 (0.00339)</t>
  </si>
  <si>
    <t>0.07994 (0.01273)</t>
  </si>
  <si>
    <t>0.00432 (0.00075)</t>
  </si>
  <si>
    <t>rpsO</t>
  </si>
  <si>
    <t>ribosomal protein S15 (BS18)</t>
  </si>
  <si>
    <t>pnpA</t>
  </si>
  <si>
    <t>polynucleotide phosphorylase (PNPase)</t>
  </si>
  <si>
    <t>0.03585 (0.07396)</t>
  </si>
  <si>
    <t>0.02664 (0.00824)</t>
  </si>
  <si>
    <t>0.11607 (0.03624)</t>
  </si>
  <si>
    <t>0.00400 (0.00147)</t>
  </si>
  <si>
    <t>mlpA</t>
  </si>
  <si>
    <t>specific processing protease</t>
  </si>
  <si>
    <t>0.02647 (0.05770)</t>
  </si>
  <si>
    <t>0.02649 (0.00728)</t>
  </si>
  <si>
    <t>0.12012 (0.03287)</t>
  </si>
  <si>
    <t>0.00316 (0.00129)</t>
  </si>
  <si>
    <t>spoVFA</t>
  </si>
  <si>
    <t>spore dipicolinate synthase subunit A</t>
  </si>
  <si>
    <t>0.10364 (0.05891)</t>
  </si>
  <si>
    <t>0.03106 (0.03850)</t>
  </si>
  <si>
    <t>0.02750 (0.00534)</t>
  </si>
  <si>
    <t>0.11148 (0.02280)</t>
  </si>
  <si>
    <t>0.00459 (0.00080)</t>
  </si>
  <si>
    <t>asd</t>
  </si>
  <si>
    <t>aspartate-semialdehyde dehydrogenase</t>
  </si>
  <si>
    <t>0.07215 (0.06181)</t>
  </si>
  <si>
    <t>0.04781 (0.06230)</t>
  </si>
  <si>
    <t>0.02274 (0.00412)</t>
  </si>
  <si>
    <t>0.09064 (0.01741)</t>
  </si>
  <si>
    <t>0.00500 (0.00094)</t>
  </si>
  <si>
    <t>dapA</t>
  </si>
  <si>
    <t>4-hydroxy-tetrahydrodipicolinate synthase</t>
  </si>
  <si>
    <t>0.02262 (0.01888)</t>
  </si>
  <si>
    <t>0.02816 (0.00672)</t>
  </si>
  <si>
    <t>0.11726 (0.02920)</t>
  </si>
  <si>
    <t>0.00230 (0.00060)</t>
  </si>
  <si>
    <t>rnjB</t>
  </si>
  <si>
    <t>dual activity 5' exo-and endoribonuclease J2</t>
  </si>
  <si>
    <t>0.01688 (0.01342)</t>
  </si>
  <si>
    <t>0.02396 (0.01728)</t>
  </si>
  <si>
    <t>0.03177 (0.00556)</t>
  </si>
  <si>
    <t>0.14127 (0.02560)</t>
  </si>
  <si>
    <t>0.00299 (0.00059)</t>
  </si>
  <si>
    <t>ymfC</t>
  </si>
  <si>
    <t>putative transcriptional regulator (GntR family,possibly involved in biofilm formation)</t>
  </si>
  <si>
    <t>0.04014 (0.08984)</t>
  </si>
  <si>
    <t>0.02812 (0.00774)</t>
  </si>
  <si>
    <t>0.12375 (0.03333)</t>
  </si>
  <si>
    <t>0.00448 (0.00183)</t>
  </si>
  <si>
    <t>ymfH</t>
  </si>
  <si>
    <t>putative processing protease</t>
  </si>
  <si>
    <t>0.02751 (0.04601)</t>
  </si>
  <si>
    <t>0.03193 (0.00766)</t>
  </si>
  <si>
    <t>0.15268 (0.03764)</t>
  </si>
  <si>
    <t>0.00350 (0.00117)</t>
  </si>
  <si>
    <t>ymfJ</t>
  </si>
  <si>
    <t>0.11805 (0.00000)</t>
  </si>
  <si>
    <t>0.01373 (0.00273)</t>
  </si>
  <si>
    <t>0.05991 (0.01204)</t>
  </si>
  <si>
    <t>0.00326 (0.00077)</t>
  </si>
  <si>
    <t>recA</t>
  </si>
  <si>
    <t>multifunctional SOS repair factor</t>
  </si>
  <si>
    <t>0.02197 (0.01706)</t>
  </si>
  <si>
    <t>0.04310 (0.05542)</t>
  </si>
  <si>
    <t>0.02366 (0.00366)</t>
  </si>
  <si>
    <t>0.09887 (0.01517)</t>
  </si>
  <si>
    <t>0.00325 (0.00071)</t>
  </si>
  <si>
    <t>rny</t>
  </si>
  <si>
    <t>endoribonuclease Y</t>
  </si>
  <si>
    <t>0.01000 (0.00154)</t>
  </si>
  <si>
    <t>0.04541 (0.00716)</t>
  </si>
  <si>
    <t>spoVS</t>
  </si>
  <si>
    <t>regulator required for dehydratation of thespore core and assembly of the coat (stage V sporulation)</t>
  </si>
  <si>
    <t>0.02614 (0.00544)</t>
  </si>
  <si>
    <t>0.11730 (0.02514)</t>
  </si>
  <si>
    <t>miaB</t>
  </si>
  <si>
    <t>enzyme for ms(2)i(6)A formation for tRNAmodification</t>
  </si>
  <si>
    <t>0.01223 (0.00924)</t>
  </si>
  <si>
    <t>0.01866 (0.01038)</t>
  </si>
  <si>
    <t>0.02849 (0.00424)</t>
  </si>
  <si>
    <t>0.13645 (0.02173)</t>
  </si>
  <si>
    <t>0.00219 (0.00023)</t>
  </si>
  <si>
    <t>ricA</t>
  </si>
  <si>
    <t>master regulator for biofilm formation via[4Fe-4S]2+)</t>
  </si>
  <si>
    <t>0.02207 (0.00362)</t>
  </si>
  <si>
    <t>0.11258 (0.01920)</t>
  </si>
  <si>
    <t>hfq</t>
  </si>
  <si>
    <t>Hfq RNA chaperone</t>
  </si>
  <si>
    <t>ymzA</t>
  </si>
  <si>
    <t>0.23689 (0.00000)</t>
  </si>
  <si>
    <t>0.01827 (0.00379)</t>
  </si>
  <si>
    <t>0.06727 (0.01358)</t>
  </si>
  <si>
    <t>0.00732 (0.00173)</t>
  </si>
  <si>
    <t>nrdI</t>
  </si>
  <si>
    <t>co-factor of ribonucleotide diphosphatereductase</t>
  </si>
  <si>
    <t>0.05648 (0.08819)</t>
  </si>
  <si>
    <t>0.21026 (0.05467)</t>
  </si>
  <si>
    <t>0.01513 (0.00186)</t>
  </si>
  <si>
    <t>0.04925 (0.00636)</t>
  </si>
  <si>
    <t>0.00596 (0.00091)</t>
  </si>
  <si>
    <t>nrdE</t>
  </si>
  <si>
    <t>ribonucleoside-diphosphate reductase (majorsubunit)</t>
  </si>
  <si>
    <t>0.01354 (0.00831)</t>
  </si>
  <si>
    <t>0.05453 (0.00000)</t>
  </si>
  <si>
    <t>0.03119 (0.00328)</t>
  </si>
  <si>
    <t>0.14656 (0.01617)</t>
  </si>
  <si>
    <t>0.00305 (0.00056)</t>
  </si>
  <si>
    <t>nrdF</t>
  </si>
  <si>
    <t>ribonucleoside-diphosphate reductase (minorsubunit)</t>
  </si>
  <si>
    <t>0.01317 (0.02586)</t>
  </si>
  <si>
    <t>0.03090 (0.00701)</t>
  </si>
  <si>
    <t>0.15896 (0.03720)</t>
  </si>
  <si>
    <t>spoVK</t>
  </si>
  <si>
    <t>mother cell sporulation ATPase</t>
  </si>
  <si>
    <t>0.00800 (0.01827)</t>
  </si>
  <si>
    <t>0.01579 (0.01870)</t>
  </si>
  <si>
    <t>0.03385 (0.00639)</t>
  </si>
  <si>
    <t>0.17850 (0.03427)</t>
  </si>
  <si>
    <t>0.00211 (0.00050)</t>
  </si>
  <si>
    <t>ynbB</t>
  </si>
  <si>
    <t>putative C-S lyase</t>
  </si>
  <si>
    <t>0.02287 (0.01519)</t>
  </si>
  <si>
    <t>0.03193 (0.00644)</t>
  </si>
  <si>
    <t>0.14271 (0.03153)</t>
  </si>
  <si>
    <t>0.00311 (0.00055)</t>
  </si>
  <si>
    <t>glnR</t>
  </si>
  <si>
    <t>transcriptional regulator (nitrogen metabolism)</t>
  </si>
  <si>
    <t>0.12953 (0.02894)</t>
  </si>
  <si>
    <t>0.01687 (0.00179)</t>
  </si>
  <si>
    <t>0.06667 (0.01000)</t>
  </si>
  <si>
    <t>0.00469 (0.00064)</t>
  </si>
  <si>
    <t>glnA</t>
  </si>
  <si>
    <t>glutamine synthetase</t>
  </si>
  <si>
    <t>0.01029 (0.00774)</t>
  </si>
  <si>
    <t>0.02832 (0.02722)</t>
  </si>
  <si>
    <t>0.02988 (0.00360)</t>
  </si>
  <si>
    <t>0.13945 (0.01741)</t>
  </si>
  <si>
    <t>0.00252 (0.00050)</t>
  </si>
  <si>
    <t>xynP</t>
  </si>
  <si>
    <t>H+-xyloside symporter</t>
  </si>
  <si>
    <t>0.08005 (0.08795)</t>
  </si>
  <si>
    <t>0.03072 (0.00000)</t>
  </si>
  <si>
    <t>0.03156 (0.00669)</t>
  </si>
  <si>
    <t>0.11817 (0.02536)</t>
  </si>
  <si>
    <t>0.00794 (0.00198)</t>
  </si>
  <si>
    <t>xylA</t>
  </si>
  <si>
    <t>xylose isomerase</t>
  </si>
  <si>
    <t>0.12176 (0.02598)</t>
  </si>
  <si>
    <t>0.10703 (0.13131)</t>
  </si>
  <si>
    <t>0.03468 (0.00622)</t>
  </si>
  <si>
    <t>0.12324 (0.02344)</t>
  </si>
  <si>
    <t>0.01359 (0.00236)</t>
  </si>
  <si>
    <t>ynzC</t>
  </si>
  <si>
    <t>pcfA</t>
  </si>
  <si>
    <t>factor controlling DNA replication</t>
  </si>
  <si>
    <t>0.08577 (0.12612)</t>
  </si>
  <si>
    <t>0.02628 (0.00832)</t>
  </si>
  <si>
    <t>0.10909 (0.03538)</t>
  </si>
  <si>
    <t>0.00853 (0.00277)</t>
  </si>
  <si>
    <t>yneF</t>
  </si>
  <si>
    <t>putative acyltransferase</t>
  </si>
  <si>
    <t>spo0D</t>
  </si>
  <si>
    <t>Spo0A-P phosphatase</t>
  </si>
  <si>
    <t>ccdA</t>
  </si>
  <si>
    <t>cytochrome c-type biogenesis protein CcdA;thiol-disulfide oxido-reductase</t>
  </si>
  <si>
    <t>0.03312 (0.04443)</t>
  </si>
  <si>
    <t>0.06075 (0.00000)</t>
  </si>
  <si>
    <t>0.03097 (0.00701)</t>
  </si>
  <si>
    <t>0.12912 (0.03272)</t>
  </si>
  <si>
    <t>0.00497 (0.00095)</t>
  </si>
  <si>
    <t>yneI</t>
  </si>
  <si>
    <t>putative response regulator (CheY homolog)</t>
  </si>
  <si>
    <t>0.04837 (0.05727)</t>
  </si>
  <si>
    <t>0.02801 (0.00846)</t>
  </si>
  <si>
    <t>0.12077 (0.03900)</t>
  </si>
  <si>
    <t>0.00544 (0.00142)</t>
  </si>
  <si>
    <t>yneJ</t>
  </si>
  <si>
    <t>putative integral inner membrane protein</t>
  </si>
  <si>
    <t>0.11161 (0.06401)</t>
  </si>
  <si>
    <t>0.04423 (0.02223)</t>
  </si>
  <si>
    <t>0.02781 (0.00425)</t>
  </si>
  <si>
    <t>0.10983 (0.01901)</t>
  </si>
  <si>
    <t>0.00739 (0.00105)</t>
  </si>
  <si>
    <t>cotM</t>
  </si>
  <si>
    <t>spore coat protein (outer)</t>
  </si>
  <si>
    <t>0.15625 (0.11387)</t>
  </si>
  <si>
    <t>0.03354 (0.03214)</t>
  </si>
  <si>
    <t>0.03590 (0.00529)</t>
  </si>
  <si>
    <t>0.15572 (0.02732)</t>
  </si>
  <si>
    <t>0.01038 (0.00128)</t>
  </si>
  <si>
    <t>sspO</t>
  </si>
  <si>
    <t>0.05604 (0.00000)</t>
  </si>
  <si>
    <t>0.03356 (0.00683)</t>
  </si>
  <si>
    <t>0.16726 (0.03370)</t>
  </si>
  <si>
    <t>0.00581 (0.00137)</t>
  </si>
  <si>
    <t>ynzL</t>
  </si>
  <si>
    <t>0.01626 (0.00271)</t>
  </si>
  <si>
    <t>0.09974 (0.01758)</t>
  </si>
  <si>
    <t>sspN</t>
  </si>
  <si>
    <t>0.02431 (0.00357)</t>
  </si>
  <si>
    <t>0.10621 (0.01953)</t>
  </si>
  <si>
    <t>0.00583 (0.00137)</t>
  </si>
  <si>
    <t>plsY</t>
  </si>
  <si>
    <t>acylphosphate:glycerol-3-phosphateO-acyltransferase</t>
  </si>
  <si>
    <t>0.04643 (0.09176)</t>
  </si>
  <si>
    <t>0.02706 (0.00919)</t>
  </si>
  <si>
    <t>0.10610 (0.03585)</t>
  </si>
  <si>
    <t>0.00463 (0.00189)</t>
  </si>
  <si>
    <t>yoeD</t>
  </si>
  <si>
    <t>putative excisionase</t>
  </si>
  <si>
    <t>0.24959 (0.16219)</t>
  </si>
  <si>
    <t>0.18773 (0.16743)</t>
  </si>
  <si>
    <t>0.03509 (0.00558)</t>
  </si>
  <si>
    <t>0.09762 (0.01554)</t>
  </si>
  <si>
    <t>0.02138 (0.00449)</t>
  </si>
  <si>
    <t>gltC</t>
  </si>
  <si>
    <t>transcriptional regulator (LysR family)(GltC-glutamate)</t>
  </si>
  <si>
    <t>0.02765 (0.04697)</t>
  </si>
  <si>
    <t>0.02818 (0.03511)</t>
  </si>
  <si>
    <t>0.03100 (0.00594)</t>
  </si>
  <si>
    <t>0.13909 (0.02709)</t>
  </si>
  <si>
    <t>0.00376 (0.00090)</t>
  </si>
  <si>
    <t>proH</t>
  </si>
  <si>
    <t>pyrroline-5-carboxylate reductase</t>
  </si>
  <si>
    <t>0.08131 (0.15098)</t>
  </si>
  <si>
    <t>0.02787 (0.00808)</t>
  </si>
  <si>
    <t>0.10371 (0.02916)</t>
  </si>
  <si>
    <t>0.00811 (0.00293)</t>
  </si>
  <si>
    <t>xynA</t>
  </si>
  <si>
    <t>secreted endo-1,4-beta-xylanase</t>
  </si>
  <si>
    <t>0.09616 (0.04508)</t>
  </si>
  <si>
    <t>0.04269 (0.00000)</t>
  </si>
  <si>
    <t>0.03156 (0.00284)</t>
  </si>
  <si>
    <t>0.11369 (0.00905)</t>
  </si>
  <si>
    <t>0.00894 (0.00205)</t>
  </si>
  <si>
    <t>yocA</t>
  </si>
  <si>
    <t>putative murein fragments glycosidase</t>
  </si>
  <si>
    <t>0.15240 (0.18167)</t>
  </si>
  <si>
    <t>0.13711 (0.16004)</t>
  </si>
  <si>
    <t>0.02307 (0.00423)</t>
  </si>
  <si>
    <t>0.07022 (0.01236)</t>
  </si>
  <si>
    <t>0.01101 (0.00256)</t>
  </si>
  <si>
    <t>azoJ</t>
  </si>
  <si>
    <t>FMN-dependent NADH-azoreductase</t>
  </si>
  <si>
    <t>yozO</t>
  </si>
  <si>
    <t>conserved hypothetical phage protein</t>
  </si>
  <si>
    <t>0.02164 (0.00420)</t>
  </si>
  <si>
    <t>0.11525 (0.02314)</t>
  </si>
  <si>
    <t>odhA</t>
  </si>
  <si>
    <t>2-oxoglutarate dehydrogenase (E1 subunit)</t>
  </si>
  <si>
    <t>bshBB</t>
  </si>
  <si>
    <t>malate N-acetylglucosamine deacetylase (secondenzyme)</t>
  </si>
  <si>
    <t>0.02514 (0.02956)</t>
  </si>
  <si>
    <t>0.03213 (0.00549)</t>
  </si>
  <si>
    <t>0.16051 (0.02824)</t>
  </si>
  <si>
    <t>0.00270 (0.00068)</t>
  </si>
  <si>
    <t>yojF</t>
  </si>
  <si>
    <t>conserved protein of unknown function(bacillithiol synthesis operon)</t>
  </si>
  <si>
    <t>0.06379 (0.07329)</t>
  </si>
  <si>
    <t>0.03161 (0.00763)</t>
  </si>
  <si>
    <t>0.12193 (0.03330)</t>
  </si>
  <si>
    <t>0.00759 (0.00180)</t>
  </si>
  <si>
    <t>yoyC</t>
  </si>
  <si>
    <t>arxR</t>
  </si>
  <si>
    <t>transcriptional repressor</t>
  </si>
  <si>
    <t>0.03674 (0.04529)</t>
  </si>
  <si>
    <t>0.02352 (0.00799)</t>
  </si>
  <si>
    <t>0.10966 (0.03705)</t>
  </si>
  <si>
    <t>0.00383 (0.00156)</t>
  </si>
  <si>
    <t>noxC</t>
  </si>
  <si>
    <t>water forming NADH oxidase (nitroreductase)</t>
  </si>
  <si>
    <t>0.06397 (0.06880)</t>
  </si>
  <si>
    <t>0.06842 (0.04989)</t>
  </si>
  <si>
    <t>0.03234 (0.00572)</t>
  </si>
  <si>
    <t>0.12674 (0.02338)</t>
  </si>
  <si>
    <t>0.00860 (0.00164)</t>
  </si>
  <si>
    <t>yoyD</t>
  </si>
  <si>
    <t>yodI</t>
  </si>
  <si>
    <t>putative spore coat protein</t>
  </si>
  <si>
    <t>ldcB</t>
  </si>
  <si>
    <t>D-alanyl-D-alanine carboxypeptidase lipoprotein(D-ala releasing from tetrapeptide hydrolysis)</t>
  </si>
  <si>
    <t>0.06680 (0.01683)</t>
  </si>
  <si>
    <t>0.08274 (0.03576)</t>
  </si>
  <si>
    <t>0.03554 (0.00546)</t>
  </si>
  <si>
    <t>0.14312 (0.02392)</t>
  </si>
  <si>
    <t>0.01040 (0.00147)</t>
  </si>
  <si>
    <t>deoD</t>
  </si>
  <si>
    <t>purine nucleoside phosphorylase</t>
  </si>
  <si>
    <t>0.02850 (0.01553)</t>
  </si>
  <si>
    <t>0.03119 (0.00498)</t>
  </si>
  <si>
    <t>0.14147 (0.02384)</t>
  </si>
  <si>
    <t>0.00225 (0.00036)</t>
  </si>
  <si>
    <t>yodL</t>
  </si>
  <si>
    <t>shape determination factor</t>
  </si>
  <si>
    <t>0.02143 (0.03615)</t>
  </si>
  <si>
    <t>0.02457 (0.00666)</t>
  </si>
  <si>
    <t>0.11000 (0.03007)</t>
  </si>
  <si>
    <t>0.00209 (0.00085)</t>
  </si>
  <si>
    <t>yozD</t>
  </si>
  <si>
    <t>yoyF</t>
  </si>
  <si>
    <t>0.24615 (0.00000)</t>
  </si>
  <si>
    <t>0.01739 (0.00255)</t>
  </si>
  <si>
    <t>0.06865 (0.00944)</t>
  </si>
  <si>
    <t>0.00547 (0.00130)</t>
  </si>
  <si>
    <t>yodN</t>
  </si>
  <si>
    <t>0.13178 (0.14037)</t>
  </si>
  <si>
    <t>0.01116 (0.01130)</t>
  </si>
  <si>
    <t>0.02581 (0.00453)</t>
  </si>
  <si>
    <t>0.11959 (0.02243)</t>
  </si>
  <si>
    <t>0.00412 (0.00095)</t>
  </si>
  <si>
    <t>msrA</t>
  </si>
  <si>
    <t>peptide methionine S-sulfoxide reductase</t>
  </si>
  <si>
    <t>0.02078 (0.02370)</t>
  </si>
  <si>
    <t>0.02574 (0.00643)</t>
  </si>
  <si>
    <t>0.12122 (0.03281)</t>
  </si>
  <si>
    <t>0.00242 (0.00057)</t>
  </si>
  <si>
    <t>ypoP</t>
  </si>
  <si>
    <t>0.02357 (0.03647)</t>
  </si>
  <si>
    <t>0.04419 (0.00000)</t>
  </si>
  <si>
    <t>0.02952 (0.00538)</t>
  </si>
  <si>
    <t>0.13843 (0.02523)</t>
  </si>
  <si>
    <t>ypmT</t>
  </si>
  <si>
    <t>ypmP</t>
  </si>
  <si>
    <t>0.24246 (0.13998)</t>
  </si>
  <si>
    <t>0.01071 (0.00155)</t>
  </si>
  <si>
    <t>0.03498 (0.00655)</t>
  </si>
  <si>
    <t>0.00502 (0.00084)</t>
  </si>
  <si>
    <t>ilvA</t>
  </si>
  <si>
    <t>threonine dehydratase</t>
  </si>
  <si>
    <t>0.05383 (0.00687)</t>
  </si>
  <si>
    <t>0.04279 (0.01488)</t>
  </si>
  <si>
    <t>0.03262 (0.00458)</t>
  </si>
  <si>
    <t>0.13699 (0.02151)</t>
  </si>
  <si>
    <t>0.00655 (0.00073)</t>
  </si>
  <si>
    <t>brxA</t>
  </si>
  <si>
    <t>protein disulfide isomerase; bacilliredoxin A(de-bacillithiolation)</t>
  </si>
  <si>
    <t>metAA</t>
  </si>
  <si>
    <t>homoserine O-acetyltransferase</t>
  </si>
  <si>
    <t>0.10735 (0.04282)</t>
  </si>
  <si>
    <t>0.08545 (0.00000)</t>
  </si>
  <si>
    <t>0.02458 (0.00441)</t>
  </si>
  <si>
    <t>0.09085 (0.01694)</t>
  </si>
  <si>
    <t>0.00852 (0.00152)</t>
  </si>
  <si>
    <t>BSU_21925</t>
  </si>
  <si>
    <t>hypothetical proteinVLQYgene            2307905..2308105CDS             2307905..2308105PMID:9920884, 16352840in the studied strain; PubMedId: 9920884, 16352840;Product type f: factorRNA-helicase co-factor</t>
  </si>
  <si>
    <t>0.26297 (0.37956)</t>
  </si>
  <si>
    <t>0.03382 (0.00608)</t>
  </si>
  <si>
    <t>0.03532 (0.01316)</t>
  </si>
  <si>
    <t>0.03487 (0.00774)</t>
  </si>
  <si>
    <t>ypeQ</t>
  </si>
  <si>
    <t>0.05837 (0.07188)</t>
  </si>
  <si>
    <t>0.23221 (0.00000)</t>
  </si>
  <si>
    <t>0.02486 (0.00401)</t>
  </si>
  <si>
    <t>0.08782 (0.01302)</t>
  </si>
  <si>
    <t>0.01134 (0.00269)</t>
  </si>
  <si>
    <t>queP</t>
  </si>
  <si>
    <t>preQ0 transporter (promiscuous)</t>
  </si>
  <si>
    <t>0.04887 (0.09479)</t>
  </si>
  <si>
    <t>0.07537 (0.08844)</t>
  </si>
  <si>
    <t>0.02924 (0.00499)</t>
  </si>
  <si>
    <t>0.10959 (0.01925)</t>
  </si>
  <si>
    <t>0.00661 (0.00108)</t>
  </si>
  <si>
    <t>sspL</t>
  </si>
  <si>
    <t>ypzF</t>
  </si>
  <si>
    <t>0.02009 (0.00389)</t>
  </si>
  <si>
    <t>0.10728 (0.02222)</t>
  </si>
  <si>
    <t>fbpC</t>
  </si>
  <si>
    <t>ypzG</t>
  </si>
  <si>
    <t>0.01600 (0.00235)</t>
  </si>
  <si>
    <t>0.08679 (0.01334)</t>
  </si>
  <si>
    <t>gpsB</t>
  </si>
  <si>
    <t>cell division protein</t>
  </si>
  <si>
    <t>cotD</t>
  </si>
  <si>
    <t>spore coat protein (inner)</t>
  </si>
  <si>
    <t>BSU_22205</t>
  </si>
  <si>
    <t>conserved protein of unknown functiongene            complement(2333324..2334565)CDS             complement(2333324..2334565)computational evidences; PubMedId: 23249255; Product typee: enzyme</t>
  </si>
  <si>
    <t>yppF</t>
  </si>
  <si>
    <t>putative sporulation protein</t>
  </si>
  <si>
    <t>sspM</t>
  </si>
  <si>
    <t>recU</t>
  </si>
  <si>
    <t>Holliday junction resolvase</t>
  </si>
  <si>
    <t>0.09243 (0.04946)</t>
  </si>
  <si>
    <t>0.04478 (0.05407)</t>
  </si>
  <si>
    <t>0.02136 (0.00403)</t>
  </si>
  <si>
    <t>0.08586 (0.01707)</t>
  </si>
  <si>
    <t>0.00500 (0.00085)</t>
  </si>
  <si>
    <t>asnS</t>
  </si>
  <si>
    <t>asparaginyl-tRNA synthetase</t>
  </si>
  <si>
    <t>0.02988 (0.06094)</t>
  </si>
  <si>
    <t>0.03101 (0.04205)</t>
  </si>
  <si>
    <t>0.03178 (0.00627)</t>
  </si>
  <si>
    <t>0.14285 (0.02885)</t>
  </si>
  <si>
    <t>0.00424 (0.00101)</t>
  </si>
  <si>
    <t>tseB</t>
  </si>
  <si>
    <t>suppressor of tetracyclin sensitivity of an ezrAmutant</t>
  </si>
  <si>
    <t>0.21804 (0.09119)</t>
  </si>
  <si>
    <t>0.08284 (0.00000)</t>
  </si>
  <si>
    <t>0.02519 (0.00524)</t>
  </si>
  <si>
    <t>0.08526 (0.01954)</t>
  </si>
  <si>
    <t>0.00944 (0.00166)</t>
  </si>
  <si>
    <t>ypmA</t>
  </si>
  <si>
    <t>panD</t>
  </si>
  <si>
    <t>aspartate 1-decarboxylase</t>
  </si>
  <si>
    <t>0.02782 (0.00505)</t>
  </si>
  <si>
    <t>0.13964 (0.02665)</t>
  </si>
  <si>
    <t>panB</t>
  </si>
  <si>
    <t>ketopantoate hydroxymethyltransferase</t>
  </si>
  <si>
    <t>0.06421 (0.07033)</t>
  </si>
  <si>
    <t>0.03280 (0.04322)</t>
  </si>
  <si>
    <t>0.03105 (0.00576)</t>
  </si>
  <si>
    <t>0.12779 (0.02455)</t>
  </si>
  <si>
    <t>0.00539 (0.00113)</t>
  </si>
  <si>
    <t>mgsA</t>
  </si>
  <si>
    <t>methylglyoxal synthase</t>
  </si>
  <si>
    <t>0.02569 (0.04980)</t>
  </si>
  <si>
    <t>0.07555 (0.08421)</t>
  </si>
  <si>
    <t>0.02725 (0.00389)</t>
  </si>
  <si>
    <t>0.10622 (0.01558)</t>
  </si>
  <si>
    <t>0.00514 (0.00090)</t>
  </si>
  <si>
    <t>ypjD</t>
  </si>
  <si>
    <t>oxidized nucleotide pyrophosphohydrolase</t>
  </si>
  <si>
    <t>0.06153 (0.04647)</t>
  </si>
  <si>
    <t>0.03473 (0.02935)</t>
  </si>
  <si>
    <t>0.02492 (0.00332)</t>
  </si>
  <si>
    <t>0.11231 (0.01735)</t>
  </si>
  <si>
    <t>0.00529 (0.00059)</t>
  </si>
  <si>
    <t>qcrC</t>
  </si>
  <si>
    <t>menaquinol:cytochrome c oxidoreductase(cytochrome cc subunit)</t>
  </si>
  <si>
    <t>0.00635 (0.01439)</t>
  </si>
  <si>
    <t>0.03159 (0.00773)</t>
  </si>
  <si>
    <t>0.15452 (0.04093)</t>
  </si>
  <si>
    <t>0.00113 (0.00033)</t>
  </si>
  <si>
    <t>qcrB</t>
  </si>
  <si>
    <t>menaquinol:cytochrome c oxidoreductase(cytochrome b subunit)</t>
  </si>
  <si>
    <t>0.02113 (0.00366)</t>
  </si>
  <si>
    <t>0.09912 (0.01777)</t>
  </si>
  <si>
    <t>qcrA</t>
  </si>
  <si>
    <t>menaquinol:cytochrome c oxidoreductase(iron-sulfur subunit)</t>
  </si>
  <si>
    <t>0.04796 (0.05714)</t>
  </si>
  <si>
    <t>0.02076 (0.00375)</t>
  </si>
  <si>
    <t>0.09105 (0.01609)</t>
  </si>
  <si>
    <t>0.00307 (0.00073)</t>
  </si>
  <si>
    <t>trpA</t>
  </si>
  <si>
    <t>tryptophan synthase (alpha subunit)</t>
  </si>
  <si>
    <t>0.15038 (0.22158)</t>
  </si>
  <si>
    <t>0.30352 (0.00000)</t>
  </si>
  <si>
    <t>0.03246 (0.00767)</t>
  </si>
  <si>
    <t>0.09459 (0.02256)</t>
  </si>
  <si>
    <t>0.01599 (0.00406)</t>
  </si>
  <si>
    <t>aroF</t>
  </si>
  <si>
    <t>chorismate synthase</t>
  </si>
  <si>
    <t>0.00726 (0.00790)</t>
  </si>
  <si>
    <t>0.03447 (0.00751)</t>
  </si>
  <si>
    <t>0.16690 (0.03961)</t>
  </si>
  <si>
    <t>0.00111 (0.00026)</t>
  </si>
  <si>
    <t>ndk</t>
  </si>
  <si>
    <t>nucleoside diphosphate kinase</t>
  </si>
  <si>
    <t>0.05966 (0.04812)</t>
  </si>
  <si>
    <t>0.02703 (0.00459)</t>
  </si>
  <si>
    <t>0.12826 (0.02382)</t>
  </si>
  <si>
    <t>0.00316 (0.00086)</t>
  </si>
  <si>
    <t>hepT</t>
  </si>
  <si>
    <t>heptaprenyl diphosphate synthase component II</t>
  </si>
  <si>
    <t>0.02072 (0.03859)</t>
  </si>
  <si>
    <t>0.00743 (0.00950)</t>
  </si>
  <si>
    <t>0.03142 (0.00541)</t>
  </si>
  <si>
    <t>0.15013 (0.02704)</t>
  </si>
  <si>
    <t>0.00174 (0.00047)</t>
  </si>
  <si>
    <t>menG</t>
  </si>
  <si>
    <t>demethylmenaquinone methyltransferase</t>
  </si>
  <si>
    <t>0.04595 (0.05374)</t>
  </si>
  <si>
    <t>0.09942 (0.08837)</t>
  </si>
  <si>
    <t>0.02718 (0.00441)</t>
  </si>
  <si>
    <t>0.11204 (0.01804)</t>
  </si>
  <si>
    <t>0.00695 (0.00146)</t>
  </si>
  <si>
    <t>hepS</t>
  </si>
  <si>
    <t>heptaprenyl diphosphate synthase component I</t>
  </si>
  <si>
    <t>0.13397 (0.06926)</t>
  </si>
  <si>
    <t>0.01541 (0.00259)</t>
  </si>
  <si>
    <t>0.05342 (0.00813)</t>
  </si>
  <si>
    <t>0.00562 (0.00115)</t>
  </si>
  <si>
    <t>mtrB</t>
  </si>
  <si>
    <t>tryptophan operon RNA-binding attenuationprotein (TRAP)</t>
  </si>
  <si>
    <t>0.06456 (0.00000)</t>
  </si>
  <si>
    <t>0.02756 (0.00406)</t>
  </si>
  <si>
    <t>0.12866 (0.01908)</t>
  </si>
  <si>
    <t>0.00341 (0.00081)</t>
  </si>
  <si>
    <t>folEA</t>
  </si>
  <si>
    <t>GTP cyclohydrolase I</t>
  </si>
  <si>
    <t>0.02105 (0.00409)</t>
  </si>
  <si>
    <t>0.10090 (0.02019)</t>
  </si>
  <si>
    <t>hbs</t>
  </si>
  <si>
    <t>non-specific DNA-binding protein HBsu</t>
  </si>
  <si>
    <t>spoIVA</t>
  </si>
  <si>
    <t>morphogenetic stage IV sporulation protein</t>
  </si>
  <si>
    <t>0.00843 (0.01702)</t>
  </si>
  <si>
    <t>0.01594 (0.01019)</t>
  </si>
  <si>
    <t>0.03035 (0.00561)</t>
  </si>
  <si>
    <t>0.14510 (0.02792)</t>
  </si>
  <si>
    <t>0.00193 (0.00037)</t>
  </si>
  <si>
    <t>yphE</t>
  </si>
  <si>
    <t>0.20694 (0.00000)</t>
  </si>
  <si>
    <t>0.03566 (0.00717)</t>
  </si>
  <si>
    <t>0.12639 (0.02370)</t>
  </si>
  <si>
    <t>0.01300 (0.00306)</t>
  </si>
  <si>
    <t>ypzI</t>
  </si>
  <si>
    <t>putative sporulation-related protein</t>
  </si>
  <si>
    <t>0.02972 (0.00425)</t>
  </si>
  <si>
    <t>0.16259 (0.02431)</t>
  </si>
  <si>
    <t>rpfA</t>
  </si>
  <si>
    <t>RNA degradation presenting factor (ribosomalprotein S1 homolog)</t>
  </si>
  <si>
    <t>0.01929 (0.01324)</t>
  </si>
  <si>
    <t>0.00942 (0.01249)</t>
  </si>
  <si>
    <t>0.02592 (0.00389)</t>
  </si>
  <si>
    <t>0.11992 (0.01907)</t>
  </si>
  <si>
    <t>0.00158 (0.00029)</t>
  </si>
  <si>
    <t>ypfB</t>
  </si>
  <si>
    <t>gudB</t>
  </si>
  <si>
    <t>cryptic glutamate dehydrogenase (active afterremoval of a 9 bp insert)</t>
  </si>
  <si>
    <t>0.01121 (0.01773)</t>
  </si>
  <si>
    <t>0.02761 (0.00000)</t>
  </si>
  <si>
    <t>0.02719 (0.00482)</t>
  </si>
  <si>
    <t>0.12126 (0.02207)</t>
  </si>
  <si>
    <t>0.00256 (0.00046)</t>
  </si>
  <si>
    <t>mecB</t>
  </si>
  <si>
    <t>adaptor to ClpC; regulator of competence andsporulation</t>
  </si>
  <si>
    <t>0.33593 (0.24263)</t>
  </si>
  <si>
    <t>0.01878 (0.02323)</t>
  </si>
  <si>
    <t>0.02268 (0.00432)</t>
  </si>
  <si>
    <t>0.08669 (0.01795)</t>
  </si>
  <si>
    <t>0.00665 (0.00178)</t>
  </si>
  <si>
    <t>fer</t>
  </si>
  <si>
    <t>ferredoxin</t>
  </si>
  <si>
    <t>0.01491 (0.00327)</t>
  </si>
  <si>
    <t>0.07176 (0.01611)</t>
  </si>
  <si>
    <t>sigX</t>
  </si>
  <si>
    <t>RNA polymerase ECF(extracytoplasmicfunction)-type sigma factor sigma(X)</t>
  </si>
  <si>
    <t>0.05113 (0.04989)</t>
  </si>
  <si>
    <t>0.02509 (0.00436)</t>
  </si>
  <si>
    <t>0.11387 (0.01919)</t>
  </si>
  <si>
    <t>0.00394 (0.00094)</t>
  </si>
  <si>
    <t>resA</t>
  </si>
  <si>
    <t>extracytoplasmic thioredoxin involved incytochrome c maturation (lipoprotein)</t>
  </si>
  <si>
    <t>0.07143 (0.02595)</t>
  </si>
  <si>
    <t>0.04963 (0.00000)</t>
  </si>
  <si>
    <t>0.02483 (0.00470)</t>
  </si>
  <si>
    <t>0.09866 (0.01949)</t>
  </si>
  <si>
    <t>0.00563 (0.00109)</t>
  </si>
  <si>
    <t>spmB</t>
  </si>
  <si>
    <t>spore maturation protein</t>
  </si>
  <si>
    <t>ypuI</t>
  </si>
  <si>
    <t>0.10403 (0.00193)</t>
  </si>
  <si>
    <t>0.07741 (0.00000)</t>
  </si>
  <si>
    <t>0.02142 (0.00353)</t>
  </si>
  <si>
    <t>0.07810 (0.01354)</t>
  </si>
  <si>
    <t>0.00680 (0.00105)</t>
  </si>
  <si>
    <t>spcB</t>
  </si>
  <si>
    <t>chromosome condensation and segregation factor</t>
  </si>
  <si>
    <t>0.00913 (0.02436)</t>
  </si>
  <si>
    <t>0.02623 (0.00934)</t>
  </si>
  <si>
    <t>0.12385 (0.04669)</t>
  </si>
  <si>
    <t>0.00111 (0.00041)</t>
  </si>
  <si>
    <t>scpA</t>
  </si>
  <si>
    <t>chromosome condensation and partitioning factor</t>
  </si>
  <si>
    <t>0.04442 (0.02725)</t>
  </si>
  <si>
    <t>0.06204 (0.05972)</t>
  </si>
  <si>
    <t>0.02736 (0.00516)</t>
  </si>
  <si>
    <t>0.11654 (0.02321)</t>
  </si>
  <si>
    <t>0.00645 (0.00120)</t>
  </si>
  <si>
    <t>ypzK</t>
  </si>
  <si>
    <t>putative riboflavin synthesis-relatedN-acetyltransferase</t>
  </si>
  <si>
    <t>0.01344 (0.00210)</t>
  </si>
  <si>
    <t>0.07271 (0.01157)</t>
  </si>
  <si>
    <t>ribH</t>
  </si>
  <si>
    <t>6,7-dimethyl-8-ribityllumazine synthase, betasubunit</t>
  </si>
  <si>
    <t>0.02424 (0.00447)</t>
  </si>
  <si>
    <t>0.11341 (0.02150)</t>
  </si>
  <si>
    <t>ribBA</t>
  </si>
  <si>
    <t>fused 3,4-dihydroxy-2-butanone 4-phosphatesynthase and GTP cyclohydrolase II</t>
  </si>
  <si>
    <t>0.03198 (0.05075)</t>
  </si>
  <si>
    <t>0.02848 (0.00822)</t>
  </si>
  <si>
    <t>0.12579 (0.03827)</t>
  </si>
  <si>
    <t>0.00382 (0.00106)</t>
  </si>
  <si>
    <t>ribE</t>
  </si>
  <si>
    <t>riboflavin synthase (alpha subunit)</t>
  </si>
  <si>
    <t>0.21290 (0.05365)</t>
  </si>
  <si>
    <t>0.01326 (0.01559)</t>
  </si>
  <si>
    <t>0.03225 (0.00552)</t>
  </si>
  <si>
    <t>0.12937 (0.02495)</t>
  </si>
  <si>
    <t>0.00844 (0.00130)</t>
  </si>
  <si>
    <t>ypuD</t>
  </si>
  <si>
    <t>0.09303 (0.05469)</t>
  </si>
  <si>
    <t>0.10988 (0.00000)</t>
  </si>
  <si>
    <t>0.02076 (0.00340)</t>
  </si>
  <si>
    <t>0.07141 (0.01329)</t>
  </si>
  <si>
    <t>0.00757 (0.00093)</t>
  </si>
  <si>
    <t>ppiB</t>
  </si>
  <si>
    <t>peptidyl-prolyl isomerase</t>
  </si>
  <si>
    <t>0.01115 (0.02488)</t>
  </si>
  <si>
    <t>0.02991 (0.00719)</t>
  </si>
  <si>
    <t>0.14328 (0.03893)</t>
  </si>
  <si>
    <t>0.00152 (0.00044)</t>
  </si>
  <si>
    <t>spoVAEA</t>
  </si>
  <si>
    <t>stage V sporulation germinant protein</t>
  </si>
  <si>
    <t>0.09745 (0.18976)</t>
  </si>
  <si>
    <t>0.02737 (0.00941)</t>
  </si>
  <si>
    <t>0.09582 (0.03170)</t>
  </si>
  <si>
    <t>0.00875 (0.00357)</t>
  </si>
  <si>
    <t>sigF</t>
  </si>
  <si>
    <t>RNA polymerase sporulation-specific sigma factor(sigma-F)</t>
  </si>
  <si>
    <t>0.05507 (0.09495)</t>
  </si>
  <si>
    <t>0.02441 (0.00466)</t>
  </si>
  <si>
    <t>0.11948 (0.02392)</t>
  </si>
  <si>
    <t>0.00135 (0.00052)</t>
  </si>
  <si>
    <t>spoIIAA</t>
  </si>
  <si>
    <t>anti-anti-sigma factor (antagonist of SpoIIAB)</t>
  </si>
  <si>
    <t>0.03061 (0.00000)</t>
  </si>
  <si>
    <t>0.03181 (0.00575)</t>
  </si>
  <si>
    <t>0.14629 (0.02726)</t>
  </si>
  <si>
    <t>0.00247 (0.00058)</t>
  </si>
  <si>
    <t>yqzK</t>
  </si>
  <si>
    <t>fur</t>
  </si>
  <si>
    <t>transcriptional regulator for iron transport andmetabolism</t>
  </si>
  <si>
    <t>0.08858 (0.13655)</t>
  </si>
  <si>
    <t>0.01298 (0.00230)</t>
  </si>
  <si>
    <t>0.06042 (0.01195)</t>
  </si>
  <si>
    <t>0.00114 (0.00039)</t>
  </si>
  <si>
    <t>ansA</t>
  </si>
  <si>
    <t>exported L-asparaginase</t>
  </si>
  <si>
    <t>0.01861 (0.01659)</t>
  </si>
  <si>
    <t>0.01057 (0.01392)</t>
  </si>
  <si>
    <t>0.02806 (0.00463)</t>
  </si>
  <si>
    <t>0.13014 (0.02268)</t>
  </si>
  <si>
    <t>0.00184 (0.00033)</t>
  </si>
  <si>
    <t>yqkC</t>
  </si>
  <si>
    <t>yqkB</t>
  </si>
  <si>
    <t>0.01994 (0.00385)</t>
  </si>
  <si>
    <t>0.09921 (0.01966)</t>
  </si>
  <si>
    <t>yqjY</t>
  </si>
  <si>
    <t>putative N-acetyltransferase</t>
  </si>
  <si>
    <t>0.05440 (0.03948)</t>
  </si>
  <si>
    <t>0.03027 (0.00667)</t>
  </si>
  <si>
    <t>0.12801 (0.03125)</t>
  </si>
  <si>
    <t>0.00687 (0.00142)</t>
  </si>
  <si>
    <t>polYB</t>
  </si>
  <si>
    <t>Y family DNA polymerase V bypassing lesionsduring replication</t>
  </si>
  <si>
    <t>0.04988 (0.06790)</t>
  </si>
  <si>
    <t>0.03061 (0.00768)</t>
  </si>
  <si>
    <t>0.12702 (0.03326)</t>
  </si>
  <si>
    <t>0.00616 (0.00170)</t>
  </si>
  <si>
    <t>gndA</t>
  </si>
  <si>
    <t>NADP+-dependent 6-P-gluconate dehydrogenase</t>
  </si>
  <si>
    <t>0.00555 (0.01181)</t>
  </si>
  <si>
    <t>0.00575 (0.00646)</t>
  </si>
  <si>
    <t>0.03397 (0.00563)</t>
  </si>
  <si>
    <t>0.16561 (0.02840)</t>
  </si>
  <si>
    <t>0.00092 (0.00023)</t>
  </si>
  <si>
    <t>polYA</t>
  </si>
  <si>
    <t>DNA-damage lesion bypass DNA polymerase</t>
  </si>
  <si>
    <t>mifM</t>
  </si>
  <si>
    <t>regulator of OxaAB translation</t>
  </si>
  <si>
    <t>0.03944 (0.06112)</t>
  </si>
  <si>
    <t>0.16689 (0.05721)</t>
  </si>
  <si>
    <t>0.02695 (0.00383)</t>
  </si>
  <si>
    <t>0.09281 (0.01589)</t>
  </si>
  <si>
    <t>0.01013 (0.00152)</t>
  </si>
  <si>
    <t>artQ</t>
  </si>
  <si>
    <t>high affinity arginine ABC transporter(permease)</t>
  </si>
  <si>
    <t>0.02912 (0.07487)</t>
  </si>
  <si>
    <t>0.02638 (0.00912)</t>
  </si>
  <si>
    <t>0.10882 (0.03778)</t>
  </si>
  <si>
    <t>0.00306 (0.00125)</t>
  </si>
  <si>
    <t>artP</t>
  </si>
  <si>
    <t>high affinity arginine ABC transporter bindinglipoprotein</t>
  </si>
  <si>
    <t>0.16851 (0.08267)</t>
  </si>
  <si>
    <t>0.05618 (0.04953)</t>
  </si>
  <si>
    <t>0.03477 (0.00506)</t>
  </si>
  <si>
    <t>0.13301 (0.02088)</t>
  </si>
  <si>
    <t>0.01177 (0.00191)</t>
  </si>
  <si>
    <t>bkdAA</t>
  </si>
  <si>
    <t>branched-chain alpha-keto acid dehydrogenase E1subunit</t>
  </si>
  <si>
    <t>0.02657 (0.04499)</t>
  </si>
  <si>
    <t>0.02845 (0.00860)</t>
  </si>
  <si>
    <t>0.12570 (0.03941)</t>
  </si>
  <si>
    <t>0.00331 (0.00102)</t>
  </si>
  <si>
    <t>yqiH</t>
  </si>
  <si>
    <t>0.20468 (0.22828)</t>
  </si>
  <si>
    <t>0.02864 (0.00809)</t>
  </si>
  <si>
    <t>0.07627 (0.01932)</t>
  </si>
  <si>
    <t>0.01597 (0.00537)</t>
  </si>
  <si>
    <t>spo0A</t>
  </si>
  <si>
    <t>response regulator, phosphorylated in response</t>
  </si>
  <si>
    <t>0.02923 (0.02558)</t>
  </si>
  <si>
    <t>0.02859 (0.00365)</t>
  </si>
  <si>
    <t>0.13375 (0.01851)</t>
  </si>
  <si>
    <t>0.00194 (0.00037)</t>
  </si>
  <si>
    <t>yqxC</t>
  </si>
  <si>
    <t>putative 2'-O-ribose RNA methyltransferase</t>
  </si>
  <si>
    <t>0.05355 (0.08007)</t>
  </si>
  <si>
    <t>0.02313 (0.00560)</t>
  </si>
  <si>
    <t>0.09149 (0.02189)</t>
  </si>
  <si>
    <t>0.00466 (0.00151)</t>
  </si>
  <si>
    <t>dxs</t>
  </si>
  <si>
    <t>1-deoxyxylulose-5-phosphate synthase</t>
  </si>
  <si>
    <t>0.02627 (0.02639)</t>
  </si>
  <si>
    <t>0.02747 (0.00608)</t>
  </si>
  <si>
    <t>0.12322 (0.02837)</t>
  </si>
  <si>
    <t>0.00285 (0.00081)</t>
  </si>
  <si>
    <t>xseB</t>
  </si>
  <si>
    <t>exodeoxyribonuclease VII (small subunit)</t>
  </si>
  <si>
    <t>0.10219 (0.15741)</t>
  </si>
  <si>
    <t>0.03373 (0.00582)</t>
  </si>
  <si>
    <t>0.17656 (0.02688)</t>
  </si>
  <si>
    <t>0.00733 (0.00192)</t>
  </si>
  <si>
    <t>folD</t>
  </si>
  <si>
    <t>methylenetetrahydrofolate dehydrogenase;methenyltetrahydrofolate cyclohydrolase</t>
  </si>
  <si>
    <t>0.02132 (0.04230)</t>
  </si>
  <si>
    <t>0.01697 (0.01919)</t>
  </si>
  <si>
    <t>0.01955 (0.00330)</t>
  </si>
  <si>
    <t>0.08509 (0.01460)</t>
  </si>
  <si>
    <t>0.00154 (0.00038)</t>
  </si>
  <si>
    <t>nusB</t>
  </si>
  <si>
    <t>transcription termination factor NusB</t>
  </si>
  <si>
    <t>yqhY</t>
  </si>
  <si>
    <t>alkaline shock protein</t>
  </si>
  <si>
    <t>0.03054 (0.04479)</t>
  </si>
  <si>
    <t>0.02668 (0.03128)</t>
  </si>
  <si>
    <t>0.02519 (0.00471)</t>
  </si>
  <si>
    <t>0.11385 (0.02269)</t>
  </si>
  <si>
    <t>0.00318 (0.00078)</t>
  </si>
  <si>
    <t>accC</t>
  </si>
  <si>
    <t>acetyl-CoA carboxylase subunit (biotincarboxylase subunit)</t>
  </si>
  <si>
    <t>0.02622 (0.00984)</t>
  </si>
  <si>
    <t>0.01310 (0.01370)</t>
  </si>
  <si>
    <t>0.03000 (0.00450)</t>
  </si>
  <si>
    <t>0.13576 (0.02128)</t>
  </si>
  <si>
    <t>0.00232 (0.00039)</t>
  </si>
  <si>
    <t>spoIIIAH</t>
  </si>
  <si>
    <t>stage III sporulation ratchet engulfmentprotein</t>
  </si>
  <si>
    <t>0.05415 (0.07750)</t>
  </si>
  <si>
    <t>0.02765 (0.00921)</t>
  </si>
  <si>
    <t>0.12186 (0.04395)</t>
  </si>
  <si>
    <t>0.00597 (0.00156)</t>
  </si>
  <si>
    <t>spoIIIAG</t>
  </si>
  <si>
    <t>stage III sporulation engulfment assemblyprotein</t>
  </si>
  <si>
    <t>0.11434 (0.04026)</t>
  </si>
  <si>
    <t>0.07071 (0.09071)</t>
  </si>
  <si>
    <t>0.02809 (0.00516)</t>
  </si>
  <si>
    <t>0.10492 (0.02063)</t>
  </si>
  <si>
    <t>0.00870 (0.00150)</t>
  </si>
  <si>
    <t>spoIIIAF</t>
  </si>
  <si>
    <t>stage III sporulation protein (feeding tubeapparatus)</t>
  </si>
  <si>
    <t>0.15654 (0.11849)</t>
  </si>
  <si>
    <t>0.10488 (0.00000)</t>
  </si>
  <si>
    <t>0.02589 (0.00463)</t>
  </si>
  <si>
    <t>0.08793 (0.01767)</t>
  </si>
  <si>
    <t>0.01082 (0.00167)</t>
  </si>
  <si>
    <t>spoIIIAD</t>
  </si>
  <si>
    <t>0.02464 (0.00352)</t>
  </si>
  <si>
    <t>0.11219 (0.01660)</t>
  </si>
  <si>
    <t>spoIIIAC</t>
  </si>
  <si>
    <t>spoIIIAB</t>
  </si>
  <si>
    <t>0.11421 (0.11815)</t>
  </si>
  <si>
    <t>0.02437 (0.00708)</t>
  </si>
  <si>
    <t>0.08370 (0.02611)</t>
  </si>
  <si>
    <t>0.00892 (0.00231)</t>
  </si>
  <si>
    <t>efp</t>
  </si>
  <si>
    <t>elongation factor P</t>
  </si>
  <si>
    <t>0.01674 (0.02999)</t>
  </si>
  <si>
    <t>0.03153 (0.00500)</t>
  </si>
  <si>
    <t>0.14388 (0.02528)</t>
  </si>
  <si>
    <t>0.00118 (0.00044)</t>
  </si>
  <si>
    <t>papA</t>
  </si>
  <si>
    <t>aminopeptidase (Met-Xaa and Xaa-Pro,Xaa-Pro-Xaa)</t>
  </si>
  <si>
    <t>0.08022 (0.12113)</t>
  </si>
  <si>
    <t>0.06111 (0.00000)</t>
  </si>
  <si>
    <t>0.02912 (0.00812)</t>
  </si>
  <si>
    <t>0.10811 (0.03441)</t>
  </si>
  <si>
    <t>0.00830 (0.00146)</t>
  </si>
  <si>
    <t>yqhS</t>
  </si>
  <si>
    <t>3-dehydroquinate dehydratase, type II</t>
  </si>
  <si>
    <t>0.10996 (0.01287)</t>
  </si>
  <si>
    <t>0.06169 (0.02817)</t>
  </si>
  <si>
    <t>0.03581 (0.00529)</t>
  </si>
  <si>
    <t>0.13406 (0.02315)</t>
  </si>
  <si>
    <t>0.01012 (0.00114)</t>
  </si>
  <si>
    <t>yqhP</t>
  </si>
  <si>
    <t>0.12462 (0.09061)</t>
  </si>
  <si>
    <t>0.01476 (0.00206)</t>
  </si>
  <si>
    <t>0.05365 (0.00722)</t>
  </si>
  <si>
    <t>0.00397 (0.00103)</t>
  </si>
  <si>
    <t>yqhO</t>
  </si>
  <si>
    <t>putative lipase / acyl esterase</t>
  </si>
  <si>
    <t>0.08259 (0.02787)</t>
  </si>
  <si>
    <t>0.02640 (0.01143)</t>
  </si>
  <si>
    <t>0.03746 (0.00530)</t>
  </si>
  <si>
    <t>0.15753 (0.02555)</t>
  </si>
  <si>
    <t>0.00661 (0.00065)</t>
  </si>
  <si>
    <t>mntR</t>
  </si>
  <si>
    <t>transcriptional regulator (hydrogen peroxidesensing, allosterically regulated by Mn2+)</t>
  </si>
  <si>
    <t>0.08849 (0.03428)</t>
  </si>
  <si>
    <t>0.01418 (0.00193)</t>
  </si>
  <si>
    <t>0.05819 (0.00947)</t>
  </si>
  <si>
    <t>0.00301 (0.00050)</t>
  </si>
  <si>
    <t>lipM</t>
  </si>
  <si>
    <t>protein octanoyltransferase</t>
  </si>
  <si>
    <t>0.03537 (0.03572)</t>
  </si>
  <si>
    <t>0.03317 (0.00753)</t>
  </si>
  <si>
    <t>0.15168 (0.03812)</t>
  </si>
  <si>
    <t>0.00465 (0.00082)</t>
  </si>
  <si>
    <t>yqhL</t>
  </si>
  <si>
    <t>putative sulfur transferase</t>
  </si>
  <si>
    <t>0.14530 (0.00000)</t>
  </si>
  <si>
    <t>0.02513 (0.00620)</t>
  </si>
  <si>
    <t>0.11434 (0.03116)</t>
  </si>
  <si>
    <t>0.00229 (0.00054)</t>
  </si>
  <si>
    <t>sinI</t>
  </si>
  <si>
    <t>antagonist of SinR</t>
  </si>
  <si>
    <t>sinR</t>
  </si>
  <si>
    <t>master regulator of biofilm formation</t>
  </si>
  <si>
    <t>mgsR</t>
  </si>
  <si>
    <t>transcriptional regulator of stress</t>
  </si>
  <si>
    <t>0.03955 (0.06391)</t>
  </si>
  <si>
    <t>0.07002 (0.00000)</t>
  </si>
  <si>
    <t>0.03613 (0.00736)</t>
  </si>
  <si>
    <t>0.15134 (0.03146)</t>
  </si>
  <si>
    <t>0.00875 (0.00215)</t>
  </si>
  <si>
    <t>yqgY</t>
  </si>
  <si>
    <t>0.01646 (0.00165)</t>
  </si>
  <si>
    <t>0.07596 (0.00799)</t>
  </si>
  <si>
    <t>rpmGA</t>
  </si>
  <si>
    <t>yqzD</t>
  </si>
  <si>
    <t>0.07366 (0.05209)</t>
  </si>
  <si>
    <t>0.02222 (0.00375)</t>
  </si>
  <si>
    <t>0.09470 (0.01676)</t>
  </si>
  <si>
    <t>0.00437 (0.00074)</t>
  </si>
  <si>
    <t>pstS</t>
  </si>
  <si>
    <t>phosphate ABC transporter (phosphate bindinglipoprotein)</t>
  </si>
  <si>
    <t>0.04758 (0.01398)</t>
  </si>
  <si>
    <t>0.06912 (0.01670)</t>
  </si>
  <si>
    <t>0.03156 (0.00334)</t>
  </si>
  <si>
    <t>0.12378 (0.01373)</t>
  </si>
  <si>
    <t>0.00698 (0.00087)</t>
  </si>
  <si>
    <t>sodA</t>
  </si>
  <si>
    <t>superoxide dismutase (Mn[2+]-dependent)</t>
  </si>
  <si>
    <t>0.03647 (0.02351)</t>
  </si>
  <si>
    <t>0.04882 (0.05011)</t>
  </si>
  <si>
    <t>0.01881 (0.00273)</t>
  </si>
  <si>
    <t>0.07620 (0.01089)</t>
  </si>
  <si>
    <t>0.00301 (0.00062)</t>
  </si>
  <si>
    <t>ispG</t>
  </si>
  <si>
    <t>4-hydroxy-3-methylbut-2-en-1-yl diphosphatesynthase (1-hydroxy-2-methyl-2-(E)-butenyl 4-diphosphatesynthase)</t>
  </si>
  <si>
    <t>0.02535 (0.05070)</t>
  </si>
  <si>
    <t>0.02250 (0.02890)</t>
  </si>
  <si>
    <t>0.03484 (0.00620)</t>
  </si>
  <si>
    <t>0.15476 (0.02822)</t>
  </si>
  <si>
    <t>0.00349 (0.00086)</t>
  </si>
  <si>
    <t>sigA</t>
  </si>
  <si>
    <t>RNA polymerase major sigma-43 factor (sigma-A)</t>
  </si>
  <si>
    <t>0.02126 (0.00389)</t>
  </si>
  <si>
    <t>0.10491 (0.01965)</t>
  </si>
  <si>
    <t>dnaG</t>
  </si>
  <si>
    <t>DNA primase</t>
  </si>
  <si>
    <t>0.04988 (0.07162)</t>
  </si>
  <si>
    <t>0.02537 (0.00000)</t>
  </si>
  <si>
    <t>0.02488 (0.00605)</t>
  </si>
  <si>
    <t>0.10524 (0.02636)</t>
  </si>
  <si>
    <t>0.00475 (0.00120)</t>
  </si>
  <si>
    <t>antE</t>
  </si>
  <si>
    <t>1.67026 (2.78377)</t>
  </si>
  <si>
    <t>0.01168 (0.00100)</t>
  </si>
  <si>
    <t>0.00636 (0.00220)</t>
  </si>
  <si>
    <t>0.01333 (0.00154)</t>
  </si>
  <si>
    <t>yqxD</t>
  </si>
  <si>
    <t>0.10559 (0.03598)</t>
  </si>
  <si>
    <t>0.09150 (0.02799)</t>
  </si>
  <si>
    <t>0.02337 (0.00326)</t>
  </si>
  <si>
    <t>0.08351 (0.01260)</t>
  </si>
  <si>
    <t>0.00788 (0.00105)</t>
  </si>
  <si>
    <t>ppsR</t>
  </si>
  <si>
    <t>bifunctional ADP-dependent kinase-Pi-dependent</t>
  </si>
  <si>
    <t>0.00907 (0.01136)</t>
  </si>
  <si>
    <t>0.03086 (0.00618)</t>
  </si>
  <si>
    <t>0.14920 (0.03056)</t>
  </si>
  <si>
    <t>ccpN</t>
  </si>
  <si>
    <t>negative regulator of gluconeogenesis</t>
  </si>
  <si>
    <t>0.02338 (0.00462)</t>
  </si>
  <si>
    <t>0.11199 (0.02260)</t>
  </si>
  <si>
    <t>glyQ</t>
  </si>
  <si>
    <t>glycyl-tRNA synthetase (alpha subunit)</t>
  </si>
  <si>
    <t>0.02731 (0.00844)</t>
  </si>
  <si>
    <t>0.14134 (0.04531)</t>
  </si>
  <si>
    <t>yqzL</t>
  </si>
  <si>
    <t>era</t>
  </si>
  <si>
    <t>maturation of 16S RNA and assembly of 30Sribosomal subunit GTPase</t>
  </si>
  <si>
    <t>0.03937 (0.02982)</t>
  </si>
  <si>
    <t>0.02062 (0.00000)</t>
  </si>
  <si>
    <t>0.03248 (0.00563)</t>
  </si>
  <si>
    <t>0.15248 (0.02866)</t>
  </si>
  <si>
    <t>0.00356 (0.00056)</t>
  </si>
  <si>
    <t>cdd</t>
  </si>
  <si>
    <t>cytidine/deoxycytidine deaminase</t>
  </si>
  <si>
    <t>0.04848 (0.03824)</t>
  </si>
  <si>
    <t>0.01740 (0.00231)</t>
  </si>
  <si>
    <t>0.07355 (0.00966)</t>
  </si>
  <si>
    <t>0.00191 (0.00046)</t>
  </si>
  <si>
    <t>phoH</t>
  </si>
  <si>
    <t>phosphate starvation-induced protein</t>
  </si>
  <si>
    <t>0.02285 (0.04160)</t>
  </si>
  <si>
    <t>0.19671 (0.00000)</t>
  </si>
  <si>
    <t>0.01526 (0.00295)</t>
  </si>
  <si>
    <t>0.05000 (0.00957)</t>
  </si>
  <si>
    <t>0.00547 (0.00113)</t>
  </si>
  <si>
    <t>yqfD</t>
  </si>
  <si>
    <t>stage IV sporulation protein; putativeUDP-glucose-4-epimerase</t>
  </si>
  <si>
    <t>0.05022 (0.04400)</t>
  </si>
  <si>
    <t>0.09197 (0.08670)</t>
  </si>
  <si>
    <t>0.02688 (0.00389)</t>
  </si>
  <si>
    <t>0.10518 (0.01400)</t>
  </si>
  <si>
    <t>0.00774 (0.00162)</t>
  </si>
  <si>
    <t>yqfC</t>
  </si>
  <si>
    <t>conserved sporulation protein of unknownfunction</t>
  </si>
  <si>
    <t>0.02330 (0.00346)</t>
  </si>
  <si>
    <t>0.11157 (0.01781)</t>
  </si>
  <si>
    <t>0.00077 (0.00070)</t>
  </si>
  <si>
    <t>yqeY</t>
  </si>
  <si>
    <t>conserved protein of unknown function with tRNAaminoacid amidase domain</t>
  </si>
  <si>
    <t>rpsU</t>
  </si>
  <si>
    <t>ribosomal protein S21</t>
  </si>
  <si>
    <t>rsmE</t>
  </si>
  <si>
    <t>methylase of U1498 in 16S rRNA</t>
  </si>
  <si>
    <t>0.11155 (0.06279)</t>
  </si>
  <si>
    <t>0.27208 (0.32654)</t>
  </si>
  <si>
    <t>0.02969 (0.00507)</t>
  </si>
  <si>
    <t>0.08369 (0.01397)</t>
  </si>
  <si>
    <t>0.01627 (0.00313)</t>
  </si>
  <si>
    <t>prmA</t>
  </si>
  <si>
    <t>ribosomal protein L11 methyltransferase</t>
  </si>
  <si>
    <t>0.02090 (0.05352)</t>
  </si>
  <si>
    <t>0.02269 (0.00752)</t>
  </si>
  <si>
    <t>0.10441 (0.03481)</t>
  </si>
  <si>
    <t>0.00208 (0.00085)</t>
  </si>
  <si>
    <t>dnaJ</t>
  </si>
  <si>
    <t>co-factor of molecular chaperone</t>
  </si>
  <si>
    <t>0.01960 (0.04803)</t>
  </si>
  <si>
    <t>0.02711 (0.00809)</t>
  </si>
  <si>
    <t>0.12848 (0.03884)</t>
  </si>
  <si>
    <t>0.00230 (0.00094)</t>
  </si>
  <si>
    <t>dnaK</t>
  </si>
  <si>
    <t>molecular chaperone, ATP-dependent</t>
  </si>
  <si>
    <t>0.00554 (0.01005)</t>
  </si>
  <si>
    <t>0.03161 (0.01001)</t>
  </si>
  <si>
    <t>0.02171 (0.00351)</t>
  </si>
  <si>
    <t>0.09535 (0.01578)</t>
  </si>
  <si>
    <t>0.00157 (0.00030)</t>
  </si>
  <si>
    <t>grpE</t>
  </si>
  <si>
    <t>nucleotide exchange factor for DnaK activity</t>
  </si>
  <si>
    <t>0.03954 (0.04243)</t>
  </si>
  <si>
    <t>0.06867 (0.00000)</t>
  </si>
  <si>
    <t>0.02816 (0.00498)</t>
  </si>
  <si>
    <t>0.12975 (0.02449)</t>
  </si>
  <si>
    <t>0.00628 (0.00130)</t>
  </si>
  <si>
    <t>hrcA</t>
  </si>
  <si>
    <t>transcriptional regulator of heat-shock genes</t>
  </si>
  <si>
    <t>0.00956 (0.01785)</t>
  </si>
  <si>
    <t>0.00873 (0.01032)</t>
  </si>
  <si>
    <t>0.03022 (0.00493)</t>
  </si>
  <si>
    <t>0.14601 (0.02488)</t>
  </si>
  <si>
    <t>0.00126 (0.00031)</t>
  </si>
  <si>
    <t>rpsT</t>
  </si>
  <si>
    <t>ribosomal protein S20 (BS20)</t>
  </si>
  <si>
    <t>holA</t>
  </si>
  <si>
    <t>DNA polymerase clamp loader delta subunit</t>
  </si>
  <si>
    <t>0.03561 (0.00950)</t>
  </si>
  <si>
    <t>0.03778 (0.02090)</t>
  </si>
  <si>
    <t>0.03593 (0.00488)</t>
  </si>
  <si>
    <t>0.16344 (0.02386)</t>
  </si>
  <si>
    <t>0.00557 (0.00073)</t>
  </si>
  <si>
    <t>BSU_25565</t>
  </si>
  <si>
    <t>hypothetical proteinFANSIgene            2637369..2637503CDS             2637369..2637503organisms</t>
  </si>
  <si>
    <t>comER</t>
  </si>
  <si>
    <t>putative pyrroline-5'-carboxylate reductase</t>
  </si>
  <si>
    <t>0.03905 (0.02592)</t>
  </si>
  <si>
    <t>0.03358 (0.00814)</t>
  </si>
  <si>
    <t>0.14943 (0.04319)</t>
  </si>
  <si>
    <t>0.00555 (0.00111)</t>
  </si>
  <si>
    <t>nadD</t>
  </si>
  <si>
    <t>nicotinate-nucleotide adenylyltransferase</t>
  </si>
  <si>
    <t>0.03086 (0.05937)</t>
  </si>
  <si>
    <t>0.06154 (0.02651)</t>
  </si>
  <si>
    <t>0.02257 (0.00396)</t>
  </si>
  <si>
    <t>0.09240 (0.01681)</t>
  </si>
  <si>
    <t>0.00499 (0.00095)</t>
  </si>
  <si>
    <t>yqeI</t>
  </si>
  <si>
    <t>50S RNA-binding protein</t>
  </si>
  <si>
    <t>0.10716 (0.03602)</t>
  </si>
  <si>
    <t>0.01910 (0.00303)</t>
  </si>
  <si>
    <t>0.07753 (0.01372)</t>
  </si>
  <si>
    <t>0.00444 (0.00105)</t>
  </si>
  <si>
    <t>yqeG</t>
  </si>
  <si>
    <t>phosphatase (active on GMP and Glc-6-P)</t>
  </si>
  <si>
    <t>0.02403 (0.00464)</t>
  </si>
  <si>
    <t>0.12349 (0.02425)</t>
  </si>
  <si>
    <t>sda</t>
  </si>
  <si>
    <t>check point factor coupling initiation ofsporulation and replication initiation</t>
  </si>
  <si>
    <t>phrE</t>
  </si>
  <si>
    <t>regulator peptide of the activity of phosphataseRapE; skin element</t>
  </si>
  <si>
    <t>yrpG</t>
  </si>
  <si>
    <t>putative aldo-keto reductase</t>
  </si>
  <si>
    <t>0.07497 (0.10090)</t>
  </si>
  <si>
    <t>0.02897 (0.00824)</t>
  </si>
  <si>
    <t>0.11078 (0.03428)</t>
  </si>
  <si>
    <t>0.00803 (0.00190)</t>
  </si>
  <si>
    <t>yraL</t>
  </si>
  <si>
    <t>1.44612 (0.53699)</t>
  </si>
  <si>
    <t>0.28653 (0.00000)</t>
  </si>
  <si>
    <t>0.02810 (0.00411)</t>
  </si>
  <si>
    <t>0.02916 (0.00544)</t>
  </si>
  <si>
    <t>0.02860 (0.00448)</t>
  </si>
  <si>
    <t>levD</t>
  </si>
  <si>
    <t>phosphotransferase system (PTS)fructose-specific enzyme IIA component</t>
  </si>
  <si>
    <t>0.26794 (0.17464)</t>
  </si>
  <si>
    <t>0.09290 (0.11087)</t>
  </si>
  <si>
    <t>0.03425 (0.00543)</t>
  </si>
  <si>
    <t>0.11283 (0.02122)</t>
  </si>
  <si>
    <t>0.01600 (0.00243)</t>
  </si>
  <si>
    <t>sigV</t>
  </si>
  <si>
    <t>RNA polymerase ECF(extracytoplasmicfunction)-type sigma factor (sigma(V))</t>
  </si>
  <si>
    <t>ref , GCA_000146565.1_ASM14656v1_genomic , GCA_000227465.1_ASM22746v1_genomic , GCA_000227485.1_ASM22748v1_genomic</t>
  </si>
  <si>
    <t>0.17361 (0.09662)</t>
  </si>
  <si>
    <t>0.06236 (0.00000)</t>
  </si>
  <si>
    <t>0.02309 (0.00423)</t>
  </si>
  <si>
    <t>0.08628 (0.01652)</t>
  </si>
  <si>
    <t>0.00808 (0.00071)</t>
  </si>
  <si>
    <t>BSU_27185</t>
  </si>
  <si>
    <t>hypothetical proteinYVFPYHWHgene            complement(2778923..2779072)CDS             complement(2778923..2779072)organisms</t>
  </si>
  <si>
    <t>0.26710 (0.38553)</t>
  </si>
  <si>
    <t>0.08472 (0.00000)</t>
  </si>
  <si>
    <t>0.02832 (0.00479)</t>
  </si>
  <si>
    <t>0.08812 (0.01743)</t>
  </si>
  <si>
    <t>0.01402 (0.00381)</t>
  </si>
  <si>
    <t>yrzA</t>
  </si>
  <si>
    <t>0.19541 (0.34279)</t>
  </si>
  <si>
    <t>0.06350 (0.05669)</t>
  </si>
  <si>
    <t>0.02886 (0.00390)</t>
  </si>
  <si>
    <t>0.10396 (0.01692)</t>
  </si>
  <si>
    <t>0.01146 (0.00274)</t>
  </si>
  <si>
    <t>greA</t>
  </si>
  <si>
    <t>transcription elongation factor resolving</t>
  </si>
  <si>
    <t>0.01556 (0.01592)</t>
  </si>
  <si>
    <t>0.02994 (0.00554)</t>
  </si>
  <si>
    <t>0.14241 (0.02675)</t>
  </si>
  <si>
    <t>0.00247 (0.00068)</t>
  </si>
  <si>
    <t>udk</t>
  </si>
  <si>
    <t>uridine kinase</t>
  </si>
  <si>
    <t>0.02975 (0.00430)</t>
  </si>
  <si>
    <t>0.14641 (0.02247)</t>
  </si>
  <si>
    <t>yrrO</t>
  </si>
  <si>
    <t>putative hydrolase large subunit</t>
  </si>
  <si>
    <t>0.02806 (0.03069)</t>
  </si>
  <si>
    <t>0.03067 (0.00664)</t>
  </si>
  <si>
    <t>0.14466 (0.03380)</t>
  </si>
  <si>
    <t>0.00355 (0.00085)</t>
  </si>
  <si>
    <t>yrrN</t>
  </si>
  <si>
    <t>putative hydrolase small subunit</t>
  </si>
  <si>
    <t>0.06190 (0.02367)</t>
  </si>
  <si>
    <t>0.02037 (0.02256)</t>
  </si>
  <si>
    <t>0.03711 (0.00613)</t>
  </si>
  <si>
    <t>0.17631 (0.03146)</t>
  </si>
  <si>
    <t>0.00526 (0.00073)</t>
  </si>
  <si>
    <t>yrrM</t>
  </si>
  <si>
    <t>putative acyl-CoA O-methyltransferase</t>
  </si>
  <si>
    <t>0.09054 (0.05143)</t>
  </si>
  <si>
    <t>0.06333 (0.01423)</t>
  </si>
  <si>
    <t>0.02335 (0.00206)</t>
  </si>
  <si>
    <t>0.08357 (0.00767)</t>
  </si>
  <si>
    <t>0.00719 (0.00095)</t>
  </si>
  <si>
    <t>yrzB</t>
  </si>
  <si>
    <t>putative nucleic acid binding protein</t>
  </si>
  <si>
    <t>0.07088 (0.05974)</t>
  </si>
  <si>
    <t>0.05871 (0.05230)</t>
  </si>
  <si>
    <t>0.02754 (0.00282)</t>
  </si>
  <si>
    <t>0.12394 (0.01124)</t>
  </si>
  <si>
    <t>0.00679 (0.00147)</t>
  </si>
  <si>
    <t>rimF</t>
  </si>
  <si>
    <t>pre-16S ribosomal RNA maturation enzyme</t>
  </si>
  <si>
    <t>0.05730 (0.00000)</t>
  </si>
  <si>
    <t>0.01691 (0.00307)</t>
  </si>
  <si>
    <t>0.07071 (0.01246)</t>
  </si>
  <si>
    <t>0.00209 (0.00049)</t>
  </si>
  <si>
    <t>yrzL</t>
  </si>
  <si>
    <t>yrzQ</t>
  </si>
  <si>
    <t>yrzR</t>
  </si>
  <si>
    <t>yrrD</t>
  </si>
  <si>
    <t>0.11917 (0.10197)</t>
  </si>
  <si>
    <t>0.12048 (0.02628)</t>
  </si>
  <si>
    <t>0.03410 (0.00457)</t>
  </si>
  <si>
    <t>0.11466 (0.01686)</t>
  </si>
  <si>
    <t>0.01353 (0.00208)</t>
  </si>
  <si>
    <t>mnmA</t>
  </si>
  <si>
    <t>tRNA-specific 2-thiouridylase</t>
  </si>
  <si>
    <t>0.04558 (0.01451)</t>
  </si>
  <si>
    <t>0.02379 (0.02427)</t>
  </si>
  <si>
    <t>0.03360 (0.00494)</t>
  </si>
  <si>
    <t>0.14969 (0.02401)</t>
  </si>
  <si>
    <t>0.00511 (0.00062)</t>
  </si>
  <si>
    <t>cymR</t>
  </si>
  <si>
    <t>transcriptional regulator of cysteinebiosynthesis</t>
  </si>
  <si>
    <t>0.02536 (0.00495)</t>
  </si>
  <si>
    <t>0.11951 (0.02404)</t>
  </si>
  <si>
    <t>hisS</t>
  </si>
  <si>
    <t>histidyl-tRNA synthetase</t>
  </si>
  <si>
    <t>0.05789 (0.04882)</t>
  </si>
  <si>
    <t>0.07218 (0.00000)</t>
  </si>
  <si>
    <t>0.03341 (0.00689)</t>
  </si>
  <si>
    <t>0.13623 (0.03178)</t>
  </si>
  <si>
    <t>0.00767 (0.00105)</t>
  </si>
  <si>
    <t>yrzK</t>
  </si>
  <si>
    <t>0.05238 (0.05121)</t>
  </si>
  <si>
    <t>0.17705 (0.00000)</t>
  </si>
  <si>
    <t>0.03770 (0.00814)</t>
  </si>
  <si>
    <t>0.13841 (0.03203)</t>
  </si>
  <si>
    <t>0.01413 (0.00337)</t>
  </si>
  <si>
    <t>dtd</t>
  </si>
  <si>
    <t>gly-tRNA(Ala) deacylase / D-Tyr-tRNATyrdeacylase</t>
  </si>
  <si>
    <t>0.12277 (0.15054)</t>
  </si>
  <si>
    <t>0.14402 (0.16065)</t>
  </si>
  <si>
    <t>0.03460 (0.00459)</t>
  </si>
  <si>
    <t>0.11118 (0.01571)</t>
  </si>
  <si>
    <t>0.01463 (0.00273)</t>
  </si>
  <si>
    <t>rsh</t>
  </si>
  <si>
    <t>GTP pyrophosphokinase (RelA/SpoT)</t>
  </si>
  <si>
    <t>0.00356 (0.00652)</t>
  </si>
  <si>
    <t>0.01137 (0.01334)</t>
  </si>
  <si>
    <t>0.03265 (0.00462)</t>
  </si>
  <si>
    <t>0.16218 (0.02413)</t>
  </si>
  <si>
    <t>0.00140 (0.00030)</t>
  </si>
  <si>
    <t>apt</t>
  </si>
  <si>
    <t>adenine phosphoribosyltransferase</t>
  </si>
  <si>
    <t>0.15773 (0.07043)</t>
  </si>
  <si>
    <t>0.02281 (0.00000)</t>
  </si>
  <si>
    <t>0.02353 (0.00479)</t>
  </si>
  <si>
    <t>0.09030 (0.01990)</t>
  </si>
  <si>
    <t>0.00467 (0.00072)</t>
  </si>
  <si>
    <t>comN</t>
  </si>
  <si>
    <t>post-transcriptional regulator</t>
  </si>
  <si>
    <t>0.16933 (0.14993)</t>
  </si>
  <si>
    <t>0.02337 (0.00500)</t>
  </si>
  <si>
    <t>0.06231 (0.01483)</t>
  </si>
  <si>
    <t>0.01414 (0.00250)</t>
  </si>
  <si>
    <t>yrbF</t>
  </si>
  <si>
    <t>component of the preprotein translocase</t>
  </si>
  <si>
    <t>0.15557 (0.11000)</t>
  </si>
  <si>
    <t>0.20360 (0.00000)</t>
  </si>
  <si>
    <t>0.01831 (0.00393)</t>
  </si>
  <si>
    <t>0.04964 (0.01053)</t>
  </si>
  <si>
    <t>0.00920 (0.00156)</t>
  </si>
  <si>
    <t>tgt</t>
  </si>
  <si>
    <t>tRNA-guanine transglycosylase</t>
  </si>
  <si>
    <t>0.00450 (0.01171)</t>
  </si>
  <si>
    <t>0.02887 (0.00856)</t>
  </si>
  <si>
    <t>0.14574 (0.04469)</t>
  </si>
  <si>
    <t>0.00057 (0.00023)</t>
  </si>
  <si>
    <t>yrzS</t>
  </si>
  <si>
    <t>conserved membrane protein of unknown function</t>
  </si>
  <si>
    <t>0.05637 (0.09706)</t>
  </si>
  <si>
    <t>0.03182 (0.00446)</t>
  </si>
  <si>
    <t>0.15052 (0.02436)</t>
  </si>
  <si>
    <t>0.00261 (0.00091)</t>
  </si>
  <si>
    <t>yrzF</t>
  </si>
  <si>
    <t>putative serine/threonine-protein kinase</t>
  </si>
  <si>
    <t>BSU_27786</t>
  </si>
  <si>
    <t>0.29981 (0.05419)</t>
  </si>
  <si>
    <t>0.03750 (0.00754)</t>
  </si>
  <si>
    <t>0.10232 (0.02110)</t>
  </si>
  <si>
    <t>0.02039 (0.00554)</t>
  </si>
  <si>
    <t>thrR</t>
  </si>
  <si>
    <t>transcriptional repressor of operons hom-thrCBand thrD</t>
  </si>
  <si>
    <t>0.02993 (0.00355)</t>
  </si>
  <si>
    <t>0.15064 (0.01875)</t>
  </si>
  <si>
    <t>obgE</t>
  </si>
  <si>
    <t>ppGpp-binding GTPase involved in cellportioning, DNA repair and ribosome assembly</t>
  </si>
  <si>
    <t>0.02545 (0.00627)</t>
  </si>
  <si>
    <t>0.06199 (0.01330)</t>
  </si>
  <si>
    <t>0.03606 (0.00384)</t>
  </si>
  <si>
    <t>0.15008 (0.01597)</t>
  </si>
  <si>
    <t>0.00612 (0.00096)</t>
  </si>
  <si>
    <t>spo0B</t>
  </si>
  <si>
    <t>sporulation initiation phosphotransferase</t>
  </si>
  <si>
    <t>0.02350 (0.04507)</t>
  </si>
  <si>
    <t>0.04296 (0.03386)</t>
  </si>
  <si>
    <t>0.01579 (0.00186)</t>
  </si>
  <si>
    <t>0.07124 (0.00846)</t>
  </si>
  <si>
    <t>0.00222 (0.00054)</t>
  </si>
  <si>
    <t>BSU_27935</t>
  </si>
  <si>
    <t>hypothetical proteingene            complement(2854880..2855164)CDS             complement(2854880..2855164)PMID:9000630, 9588797, 11399077, 12682299, 14586115,17981968, 22720735, 24335279, 25388641, 27435445in the studied strain; PubMedId: 9000630, 9588797,11399077, 12682299, 14586115, 17981968, 22720735,24335279, 25388641, 27435445; Product type f: factor</t>
  </si>
  <si>
    <t>rppA</t>
  </si>
  <si>
    <t>ribosomal protein L27 specific N-terminal endcysteine protease</t>
  </si>
  <si>
    <t>0.10023 (0.05228)</t>
  </si>
  <si>
    <t>0.02183 (0.00376)</t>
  </si>
  <si>
    <t>0.07805 (0.01284)</t>
  </si>
  <si>
    <t>0.00588 (0.00153)</t>
  </si>
  <si>
    <t>rplU</t>
  </si>
  <si>
    <t>ribosomal protein L21 (BL20)</t>
  </si>
  <si>
    <t>0.17424 (0.10633)</t>
  </si>
  <si>
    <t>0.01307 (0.00288)</t>
  </si>
  <si>
    <t>0.03686 (0.01151)</t>
  </si>
  <si>
    <t>0.00640 (0.00087)</t>
  </si>
  <si>
    <t>minD</t>
  </si>
  <si>
    <t>ATPase activator of MinC</t>
  </si>
  <si>
    <t>0.03800 (0.02852)</t>
  </si>
  <si>
    <t>0.03608 (0.04024)</t>
  </si>
  <si>
    <t>0.02898 (0.00350)</t>
  </si>
  <si>
    <t>0.12052 (0.01545)</t>
  </si>
  <si>
    <t>0.00455 (0.00082)</t>
  </si>
  <si>
    <t>minC</t>
  </si>
  <si>
    <t>cell-division regulator (septum placement)</t>
  </si>
  <si>
    <t>0.02053 (0.03883)</t>
  </si>
  <si>
    <t>0.09440 (0.08412)</t>
  </si>
  <si>
    <t>0.02242 (0.00330)</t>
  </si>
  <si>
    <t>0.08675 (0.01211)</t>
  </si>
  <si>
    <t>0.00536 (0.00105)</t>
  </si>
  <si>
    <t>mreC</t>
  </si>
  <si>
    <t>cell-shape determining protein</t>
  </si>
  <si>
    <t>0.01317 (0.01201)</t>
  </si>
  <si>
    <t>0.02448 (0.00367)</t>
  </si>
  <si>
    <t>0.11641 (0.01839)</t>
  </si>
  <si>
    <t>0.00089 (0.00017)</t>
  </si>
  <si>
    <t>mreB</t>
  </si>
  <si>
    <t>0.01168 (0.02359)</t>
  </si>
  <si>
    <t>0.01464 (0.01725)</t>
  </si>
  <si>
    <t>0.03581 (0.00613)</t>
  </si>
  <si>
    <t>0.16111 (0.02872)</t>
  </si>
  <si>
    <t>0.00210 (0.00050)</t>
  </si>
  <si>
    <t>ysxA</t>
  </si>
  <si>
    <t>conserved nucleotide-related metabolism protein</t>
  </si>
  <si>
    <t>0.05935 (0.11361)</t>
  </si>
  <si>
    <t>0.02766 (0.00859)</t>
  </si>
  <si>
    <t>0.11032 (0.03470)</t>
  </si>
  <si>
    <t>0.00660 (0.00222)</t>
  </si>
  <si>
    <t>maf</t>
  </si>
  <si>
    <t>nucleoside triphosphate pyrophosphatase; septumformation DNA-binding protein (multicopy associatedfilamentation)</t>
  </si>
  <si>
    <t>0.21916 (0.28146)</t>
  </si>
  <si>
    <t>0.08539 (0.10755)</t>
  </si>
  <si>
    <t>0.03139 (0.00582)</t>
  </si>
  <si>
    <t>0.10586 (0.01985)</t>
  </si>
  <si>
    <t>0.01247 (0.00277)</t>
  </si>
  <si>
    <t>yszA</t>
  </si>
  <si>
    <t>hemB</t>
  </si>
  <si>
    <t>delta-aminolevulinic acid dehydratase(porphobilinogen synthase)</t>
  </si>
  <si>
    <t>0.03642 (0.03421)</t>
  </si>
  <si>
    <t>0.02726 (0.00643)</t>
  </si>
  <si>
    <t>0.12022 (0.03142)</t>
  </si>
  <si>
    <t>0.00399 (0.00070)</t>
  </si>
  <si>
    <t>hemX</t>
  </si>
  <si>
    <t>negative effector of the concentration ofglutamyl-tRNA reductase HemA</t>
  </si>
  <si>
    <t>0.02560 (0.00446)</t>
  </si>
  <si>
    <t>0.11571 (0.02083)</t>
  </si>
  <si>
    <t>hemA</t>
  </si>
  <si>
    <t>glutamyl-tRNA reductase</t>
  </si>
  <si>
    <t>0.03182 (0.01577)</t>
  </si>
  <si>
    <t>0.02147 (0.02609)</t>
  </si>
  <si>
    <t>0.03275 (0.00570)</t>
  </si>
  <si>
    <t>0.15413 (0.02817)</t>
  </si>
  <si>
    <t>0.00377 (0.00071)</t>
  </si>
  <si>
    <t>clpX</t>
  </si>
  <si>
    <t>protein unfolding ATPase required forpresentation of proteins to proteases; Maxwell's demon</t>
  </si>
  <si>
    <t>0.00743 (0.00999)</t>
  </si>
  <si>
    <t>0.02508 (0.00474)</t>
  </si>
  <si>
    <t>0.12155 (0.02354)</t>
  </si>
  <si>
    <t>0.00062 (0.00015)</t>
  </si>
  <si>
    <t>tig</t>
  </si>
  <si>
    <t>prolyl isomerase (trigger factor)</t>
  </si>
  <si>
    <t>0.04673 (0.02641)</t>
  </si>
  <si>
    <t>0.08251 (0.02783)</t>
  </si>
  <si>
    <t>0.01997 (0.00211)</t>
  </si>
  <si>
    <t>0.07933 (0.00804)</t>
  </si>
  <si>
    <t>0.00464 (0.00076)</t>
  </si>
  <si>
    <t>leuD</t>
  </si>
  <si>
    <t>3-isopropylmalate dehydratase (small subunit)</t>
  </si>
  <si>
    <t>0.06595 (0.07319)</t>
  </si>
  <si>
    <t>0.12985 (0.00000)</t>
  </si>
  <si>
    <t>0.03238 (0.00739)</t>
  </si>
  <si>
    <t>0.13342 (0.03431)</t>
  </si>
  <si>
    <t>0.00995 (0.00194)</t>
  </si>
  <si>
    <t>leuC</t>
  </si>
  <si>
    <t>3-isopropylmalate dehydratase (large subunit)</t>
  </si>
  <si>
    <t>0.04750 (0.03056)</t>
  </si>
  <si>
    <t>0.01111 (0.01298)</t>
  </si>
  <si>
    <t>0.03397 (0.00579)</t>
  </si>
  <si>
    <t>0.15816 (0.02846)</t>
  </si>
  <si>
    <t>0.00366 (0.00069)</t>
  </si>
  <si>
    <t>ilvC</t>
  </si>
  <si>
    <t>acetohydroxy-acid isomeroreductase(NADP-dependent)</t>
  </si>
  <si>
    <t>0.01501 (0.02264)</t>
  </si>
  <si>
    <t>0.03038 (0.00795)</t>
  </si>
  <si>
    <t>0.14533 (0.04171)</t>
  </si>
  <si>
    <t>0.00190 (0.00050)</t>
  </si>
  <si>
    <t>ilvH</t>
  </si>
  <si>
    <t>acetohydroxy-acid synthase (small subunit)</t>
  </si>
  <si>
    <t>0.03696 (0.04499)</t>
  </si>
  <si>
    <t>0.02875 (0.00651)</t>
  </si>
  <si>
    <t>0.11888 (0.02848)</t>
  </si>
  <si>
    <t>0.00384 (0.00100)</t>
  </si>
  <si>
    <t>ysnB</t>
  </si>
  <si>
    <t>putative phosphoesterase</t>
  </si>
  <si>
    <t>0.15411 (0.12058)</t>
  </si>
  <si>
    <t>0.02926 (0.00609)</t>
  </si>
  <si>
    <t>0.09236 (0.01954)</t>
  </si>
  <si>
    <t>0.01215 (0.00294)</t>
  </si>
  <si>
    <t>ysmB</t>
  </si>
  <si>
    <t>putative transcriptional regulator (mothercell's gene expression during sporulation)</t>
  </si>
  <si>
    <t>0.03389 (0.05516)</t>
  </si>
  <si>
    <t>0.03745 (0.00000)</t>
  </si>
  <si>
    <t>0.01918 (0.00354)</t>
  </si>
  <si>
    <t>0.08423 (0.01548)</t>
  </si>
  <si>
    <t>0.00292 (0.00072)</t>
  </si>
  <si>
    <t>gerE</t>
  </si>
  <si>
    <t>transcriptional regulator required for theexpression of late spore coat genes</t>
  </si>
  <si>
    <t>sdhA</t>
  </si>
  <si>
    <t>succinate dehydrogenase (flavoprotein subunit)</t>
  </si>
  <si>
    <t>0.01460 (0.01344)</t>
  </si>
  <si>
    <t>0.00407 (0.00438)</t>
  </si>
  <si>
    <t>0.03129 (0.00543)</t>
  </si>
  <si>
    <t>0.15130 (0.02759)</t>
  </si>
  <si>
    <t>0.00103 (0.00019)</t>
  </si>
  <si>
    <t>sdhC</t>
  </si>
  <si>
    <t>succinate dehydrogenase (cytochrome b558subunit)</t>
  </si>
  <si>
    <t>0.01692 (0.00233)</t>
  </si>
  <si>
    <t>0.07637 (0.01084)</t>
  </si>
  <si>
    <t>yslB</t>
  </si>
  <si>
    <t>0.03180 (0.05387)</t>
  </si>
  <si>
    <t>0.01622 (0.00240)</t>
  </si>
  <si>
    <t>0.07943 (0.01271)</t>
  </si>
  <si>
    <t>0.00114 (0.00044)</t>
  </si>
  <si>
    <t>trxA</t>
  </si>
  <si>
    <t>thioredoxin</t>
  </si>
  <si>
    <t>etfB</t>
  </si>
  <si>
    <t>electron transfer flavoprotein (beta subunit)</t>
  </si>
  <si>
    <t>0.02879 (0.02832)</t>
  </si>
  <si>
    <t>0.03381 (0.04431)</t>
  </si>
  <si>
    <t>0.03178 (0.00613)</t>
  </si>
  <si>
    <t>0.14197 (0.02895)</t>
  </si>
  <si>
    <t>0.00438 (0.00062)</t>
  </si>
  <si>
    <t>yshE</t>
  </si>
  <si>
    <t>0.09590 (0.00000)</t>
  </si>
  <si>
    <t>0.02736 (0.00384)</t>
  </si>
  <si>
    <t>0.11321 (0.01485)</t>
  </si>
  <si>
    <t>0.00433 (0.00102)</t>
  </si>
  <si>
    <t>yshB</t>
  </si>
  <si>
    <t>0.03791 (0.02779)</t>
  </si>
  <si>
    <t>0.11475 (0.00000)</t>
  </si>
  <si>
    <t>0.03610 (0.00583)</t>
  </si>
  <si>
    <t>0.12902 (0.02062)</t>
  </si>
  <si>
    <t>0.00927 (0.00204)</t>
  </si>
  <si>
    <t>zapA</t>
  </si>
  <si>
    <t>regulator of cell division</t>
  </si>
  <si>
    <t>0.13495 (0.19479)</t>
  </si>
  <si>
    <t>0.26991 (0.00000)</t>
  </si>
  <si>
    <t>0.01111 (0.00171)</t>
  </si>
  <si>
    <t>0.03131 (0.00585)</t>
  </si>
  <si>
    <t>0.00585 (0.00102)</t>
  </si>
  <si>
    <t>pheS</t>
  </si>
  <si>
    <t>phenylalanyl-tRNA synthetase (alpha subunit)</t>
  </si>
  <si>
    <t>0.03463 (0.01633)</t>
  </si>
  <si>
    <t>0.01628 (0.01937)</t>
  </si>
  <si>
    <t>0.03295 (0.00507)</t>
  </si>
  <si>
    <t>0.15578 (0.02552)</t>
  </si>
  <si>
    <t>0.00349 (0.00061)</t>
  </si>
  <si>
    <t>BSU_28645</t>
  </si>
  <si>
    <t>hypothetical proteinPISGCVKNALSQRHFLPGKQLIRNgene            complement(2930827..2931573)CDS             complement(2930827..2931573)evidences (e.g. phenotypes); PubMedId: 17114254, 24809820,27435445; Product type e: enzyme</t>
  </si>
  <si>
    <t>0.92978 (1.07362)</t>
  </si>
  <si>
    <t>0.01111 (0.00156)</t>
  </si>
  <si>
    <t>0.00860 (0.00333)</t>
  </si>
  <si>
    <t>0.01205 (0.00160)</t>
  </si>
  <si>
    <t>sspI</t>
  </si>
  <si>
    <t>0.03571 (0.00602)</t>
  </si>
  <si>
    <t>0.19867 (0.03603)</t>
  </si>
  <si>
    <t>araQ</t>
  </si>
  <si>
    <t>arabinose/arabinan permease</t>
  </si>
  <si>
    <t>0.03369 (0.01694)</t>
  </si>
  <si>
    <t>0.02827 (0.00732)</t>
  </si>
  <si>
    <t>0.04116 (0.00470)</t>
  </si>
  <si>
    <t>0.17824 (0.02180)</t>
  </si>
  <si>
    <t>0.00531 (0.00041)</t>
  </si>
  <si>
    <t>araP</t>
  </si>
  <si>
    <t>0.03321 (0.02685)</t>
  </si>
  <si>
    <t>0.01658 (0.01912)</t>
  </si>
  <si>
    <t>0.03632 (0.00531)</t>
  </si>
  <si>
    <t>0.15572 (0.02467)</t>
  </si>
  <si>
    <t>0.00340 (0.00042)</t>
  </si>
  <si>
    <t>ysdB</t>
  </si>
  <si>
    <t>0.04428 (0.05551)</t>
  </si>
  <si>
    <t>0.02030 (0.00000)</t>
  </si>
  <si>
    <t>0.03144 (0.00660)</t>
  </si>
  <si>
    <t>0.15179 (0.03367)</t>
  </si>
  <si>
    <t>0.00384 (0.00093)</t>
  </si>
  <si>
    <t>rplT</t>
  </si>
  <si>
    <t>ribosomal protein L20</t>
  </si>
  <si>
    <t>rpmI</t>
  </si>
  <si>
    <t>ribosomal protein L35</t>
  </si>
  <si>
    <t>infC</t>
  </si>
  <si>
    <t>initiation factor IF-3</t>
  </si>
  <si>
    <t>pftA</t>
  </si>
  <si>
    <t>pyruvate uptake system subunit A</t>
  </si>
  <si>
    <t>0.03634 (0.06583)</t>
  </si>
  <si>
    <t>0.16463 (0.00000)</t>
  </si>
  <si>
    <t>0.02626 (0.00715)</t>
  </si>
  <si>
    <t>0.09896 (0.02805)</t>
  </si>
  <si>
    <t>0.00510 (0.00138)</t>
  </si>
  <si>
    <t>thrS</t>
  </si>
  <si>
    <t>threonyl-tRNA synthetase</t>
  </si>
  <si>
    <t>0.01405 (0.00666)</t>
  </si>
  <si>
    <t>0.01620 (0.00955)</t>
  </si>
  <si>
    <t>0.03230 (0.00434)</t>
  </si>
  <si>
    <t>0.15345 (0.02211)</t>
  </si>
  <si>
    <t>0.00228 (0.00033)</t>
  </si>
  <si>
    <t>nrdR</t>
  </si>
  <si>
    <t>negative regulator of transcription ofribonucleotide reductase nrd genes and operons</t>
  </si>
  <si>
    <t>0.02763 (0.00372)</t>
  </si>
  <si>
    <t>0.14418 (0.02096)</t>
  </si>
  <si>
    <t>speD</t>
  </si>
  <si>
    <t>S-adenosylmethionine decarboxylase</t>
  </si>
  <si>
    <t>0.00573 (0.00074)</t>
  </si>
  <si>
    <t>0.02632 (0.00346)</t>
  </si>
  <si>
    <t>ytcD</t>
  </si>
  <si>
    <t>putative transcriptional regulator (HxlRfamily)</t>
  </si>
  <si>
    <t>0.04448 (0.04449)</t>
  </si>
  <si>
    <t>0.03483 (0.00795)</t>
  </si>
  <si>
    <t>0.15477 (0.03988)</t>
  </si>
  <si>
    <t>spcF</t>
  </si>
  <si>
    <t>membrane calmodulin-like protein essential forstage III sporulation</t>
  </si>
  <si>
    <t>0.06451 (0.05757)</t>
  </si>
  <si>
    <t>0.03042 (0.00552)</t>
  </si>
  <si>
    <t>0.13237 (0.02551)</t>
  </si>
  <si>
    <t>0.00312 (0.00063)</t>
  </si>
  <si>
    <t>phoP</t>
  </si>
  <si>
    <t>two-component response regulator</t>
  </si>
  <si>
    <t>0.04139 (0.03723)</t>
  </si>
  <si>
    <t>0.02597 (0.03349)</t>
  </si>
  <si>
    <t>0.03042 (0.00488)</t>
  </si>
  <si>
    <t>0.14022 (0.02410)</t>
  </si>
  <si>
    <t>0.00393 (0.00059)</t>
  </si>
  <si>
    <t>mdh</t>
  </si>
  <si>
    <t>malate dehydrogenase (NAD-dependent)</t>
  </si>
  <si>
    <t>0.02866 (0.02288)</t>
  </si>
  <si>
    <t>0.01885 (0.02382)</t>
  </si>
  <si>
    <t>0.02151 (0.00309)</t>
  </si>
  <si>
    <t>0.08547 (0.01333)</t>
  </si>
  <si>
    <t>0.00201 (0.00022)</t>
  </si>
  <si>
    <t>icd</t>
  </si>
  <si>
    <t>isocitrate dehydrogenase</t>
  </si>
  <si>
    <t>0.05097 (0.03995)</t>
  </si>
  <si>
    <t>0.02561 (0.00424)</t>
  </si>
  <si>
    <t>0.10992 (0.01839)</t>
  </si>
  <si>
    <t>0.00309 (0.00061)</t>
  </si>
  <si>
    <t>citZ</t>
  </si>
  <si>
    <t>citrate synthase II</t>
  </si>
  <si>
    <t>0.04806 (0.03501)</t>
  </si>
  <si>
    <t>0.03670 (0.00000)</t>
  </si>
  <si>
    <t>0.03524 (0.00742)</t>
  </si>
  <si>
    <t>0.14840 (0.03242)</t>
  </si>
  <si>
    <t>0.00569 (0.00123)</t>
  </si>
  <si>
    <t>pfkA</t>
  </si>
  <si>
    <t>6-phosphofructokinase</t>
  </si>
  <si>
    <t>0.02055 (0.02248)</t>
  </si>
  <si>
    <t>0.02704 (0.00460)</t>
  </si>
  <si>
    <t>0.11628 (0.01984)</t>
  </si>
  <si>
    <t>0.00208 (0.00052)</t>
  </si>
  <si>
    <t>accA</t>
  </si>
  <si>
    <t>acetyl-CoA carboxylase (carboxyltransferasealpha subunit)</t>
  </si>
  <si>
    <t>0.06911 (0.05158)</t>
  </si>
  <si>
    <t>0.01120 (0.01091)</t>
  </si>
  <si>
    <t>0.02626 (0.00377)</t>
  </si>
  <si>
    <t>0.11350 (0.01766)</t>
  </si>
  <si>
    <t>0.00346 (0.00063)</t>
  </si>
  <si>
    <t>accD</t>
  </si>
  <si>
    <t>acetyl-CoA carboxylase (carboxyltransferase betasubunit)</t>
  </si>
  <si>
    <t>0.03830 (0.02351)</t>
  </si>
  <si>
    <t>0.01448 (0.01354)</t>
  </si>
  <si>
    <t>0.01977 (0.00296)</t>
  </si>
  <si>
    <t>0.09339 (0.01466)</t>
  </si>
  <si>
    <t>0.00161 (0.00025)</t>
  </si>
  <si>
    <t>ytrI</t>
  </si>
  <si>
    <t>protein involved in sporulation</t>
  </si>
  <si>
    <t>0.02473 (0.01748)</t>
  </si>
  <si>
    <t>0.02954 (0.00611)</t>
  </si>
  <si>
    <t>0.15566 (0.03391)</t>
  </si>
  <si>
    <t>0.00301 (0.00051)</t>
  </si>
  <si>
    <t>ytzJ</t>
  </si>
  <si>
    <t>putative sporulation-related conserved protein</t>
  </si>
  <si>
    <t>0.06637 (0.00000)</t>
  </si>
  <si>
    <t>0.02293 (0.00524)</t>
  </si>
  <si>
    <t>0.09549 (0.02160)</t>
  </si>
  <si>
    <t>0.00455 (0.00107)</t>
  </si>
  <si>
    <t>nrnA</t>
  </si>
  <si>
    <t>nanoRNase (oligoribonuclease) (3'-&gt;5'shortsubstrates, 5'-&gt;3' long substrates), 3',5'-bisphosphatenucleotidase</t>
  </si>
  <si>
    <t>0.06721 (0.08177)</t>
  </si>
  <si>
    <t>0.02638 (0.03142)</t>
  </si>
  <si>
    <t>0.02343 (0.00417)</t>
  </si>
  <si>
    <t>0.09446 (0.01705)</t>
  </si>
  <si>
    <t>0.00391 (0.00088)</t>
  </si>
  <si>
    <t>ytpI</t>
  </si>
  <si>
    <t>0.16076 (0.23204)</t>
  </si>
  <si>
    <t>0.15148 (0.00000)</t>
  </si>
  <si>
    <t>0.03167 (0.00773)</t>
  </si>
  <si>
    <t>0.09399 (0.02348)</t>
  </si>
  <si>
    <t>0.01415 (0.00357)</t>
  </si>
  <si>
    <t>ytkL</t>
  </si>
  <si>
    <t>0.02552 (0.04963)</t>
  </si>
  <si>
    <t>0.02888 (0.00870)</t>
  </si>
  <si>
    <t>0.13408 (0.04074)</t>
  </si>
  <si>
    <t>0.00286 (0.00117)</t>
  </si>
  <si>
    <t>ytkK</t>
  </si>
  <si>
    <t>putative 3-oxoacyl-acyl-carrier proteinreductase</t>
  </si>
  <si>
    <t>0.02389 (0.02012)</t>
  </si>
  <si>
    <t>0.01942 (0.02419)</t>
  </si>
  <si>
    <t>0.02641 (0.00403)</t>
  </si>
  <si>
    <t>0.11508 (0.01788)</t>
  </si>
  <si>
    <t>0.00240 (0.00050)</t>
  </si>
  <si>
    <t>ytzD</t>
  </si>
  <si>
    <t>0.08538 (0.09859)</t>
  </si>
  <si>
    <t>0.51049 (0.00000)</t>
  </si>
  <si>
    <t>0.02597 (0.00520)</t>
  </si>
  <si>
    <t>0.06255 (0.00989)</t>
  </si>
  <si>
    <t>0.01754 (0.00442)</t>
  </si>
  <si>
    <t>argG</t>
  </si>
  <si>
    <t>argininosuccinate synthase</t>
  </si>
  <si>
    <t>0.02313 (0.02381)</t>
  </si>
  <si>
    <t>0.03400 (0.00477)</t>
  </si>
  <si>
    <t>0.15941 (0.02394)</t>
  </si>
  <si>
    <t>0.00173 (0.00049)</t>
  </si>
  <si>
    <t>ackA</t>
  </si>
  <si>
    <t>acetate kinase</t>
  </si>
  <si>
    <t>0.02861 (0.00400)</t>
  </si>
  <si>
    <t>0.13520 (0.01991)</t>
  </si>
  <si>
    <t>tpx</t>
  </si>
  <si>
    <t>thiol peroxidase (lipid hydroperoxidereductase)</t>
  </si>
  <si>
    <t>0.07663 (0.12748)</t>
  </si>
  <si>
    <t>0.02076 (0.00454)</t>
  </si>
  <si>
    <t>0.09252 (0.02158)</t>
  </si>
  <si>
    <t>0.00105 (0.00031)</t>
  </si>
  <si>
    <t>gerW</t>
  </si>
  <si>
    <t>germination-associated protein</t>
  </si>
  <si>
    <t>0.01132 (0.02432)</t>
  </si>
  <si>
    <t>0.02907 (0.00671)</t>
  </si>
  <si>
    <t>0.15487 (0.03683)</t>
  </si>
  <si>
    <t>0.00139 (0.00057)</t>
  </si>
  <si>
    <t>sspA</t>
  </si>
  <si>
    <t>small acid-soluble spore protein (alpha-typeSASP)</t>
  </si>
  <si>
    <t>refZ</t>
  </si>
  <si>
    <t>regulator of FtsZ defining the chromosome regioncaptured in the forespore</t>
  </si>
  <si>
    <t>0.02526 (0.05995)</t>
  </si>
  <si>
    <t>0.04514 (0.05450)</t>
  </si>
  <si>
    <t>0.02157 (0.00393)</t>
  </si>
  <si>
    <t>0.09297 (0.01789)</t>
  </si>
  <si>
    <t>0.00337 (0.00059)</t>
  </si>
  <si>
    <t>rpsD</t>
  </si>
  <si>
    <t>ribosomal protein S4 (BS4)</t>
  </si>
  <si>
    <t>0.10640 (0.08370)</t>
  </si>
  <si>
    <t>0.00667 (0.00091)</t>
  </si>
  <si>
    <t>0.02373 (0.00286)</t>
  </si>
  <si>
    <t>0.00132 (0.00031)</t>
  </si>
  <si>
    <t>acuA</t>
  </si>
  <si>
    <t>protein acetyltransferase (acetylates AcsA)</t>
  </si>
  <si>
    <t>0.05524 (0.04309)</t>
  </si>
  <si>
    <t>0.08364 (0.10226)</t>
  </si>
  <si>
    <t>0.03032 (0.00533)</t>
  </si>
  <si>
    <t>0.11975 (0.02220)</t>
  </si>
  <si>
    <t>0.00822 (0.00146)</t>
  </si>
  <si>
    <t>acuB</t>
  </si>
  <si>
    <t>component of the acetyl-coenzyme A synthetaseregulation pathway</t>
  </si>
  <si>
    <t>0.08420 (0.04339)</t>
  </si>
  <si>
    <t>0.08583 (0.10955)</t>
  </si>
  <si>
    <t>0.03240 (0.00602)</t>
  </si>
  <si>
    <t>0.12486 (0.02352)</t>
  </si>
  <si>
    <t>0.01045 (0.00213)</t>
  </si>
  <si>
    <t>ccpA</t>
  </si>
  <si>
    <t>transcriptional regulator of cataboliterepression (Lacl family)</t>
  </si>
  <si>
    <t>0.01296 (0.01066)</t>
  </si>
  <si>
    <t>0.04416 (0.02388)</t>
  </si>
  <si>
    <t>0.03084 (0.00423)</t>
  </si>
  <si>
    <t>0.13131 (0.01852)</t>
  </si>
  <si>
    <t>0.00380 (0.00071)</t>
  </si>
  <si>
    <t>aroX</t>
  </si>
  <si>
    <t>bifunctional chorismate mutase type II-isozyme 3(regulatory domain); 3-deoxy-D-arabino-heptulosonate7-phosphate synthase</t>
  </si>
  <si>
    <t>0.02961 (0.00486)</t>
  </si>
  <si>
    <t>0.14756 (0.02538)</t>
  </si>
  <si>
    <t>ytxG</t>
  </si>
  <si>
    <t>general stress protein</t>
  </si>
  <si>
    <t>0.04826 (0.08767)</t>
  </si>
  <si>
    <t>0.02433 (0.00799)</t>
  </si>
  <si>
    <t>0.10017 (0.03235)</t>
  </si>
  <si>
    <t>0.00477 (0.00195)</t>
  </si>
  <si>
    <t>murC</t>
  </si>
  <si>
    <t>UDP-N-acetyl muramate-alanine ligase</t>
  </si>
  <si>
    <t>0.02123 (0.03677)</t>
  </si>
  <si>
    <t>0.04031 (0.00000)</t>
  </si>
  <si>
    <t>0.02919 (0.00759)</t>
  </si>
  <si>
    <t>0.13647 (0.03756)</t>
  </si>
  <si>
    <t>0.00315 (0.00079)</t>
  </si>
  <si>
    <t>ytpQ</t>
  </si>
  <si>
    <t>conserved protein of unknown function (ironhomeostasis)</t>
  </si>
  <si>
    <t>0.03314 (0.04043)</t>
  </si>
  <si>
    <t>0.03011 (0.00568)</t>
  </si>
  <si>
    <t>0.13669 (0.02598)</t>
  </si>
  <si>
    <t>0.00291 (0.00069)</t>
  </si>
  <si>
    <t>ytpP</t>
  </si>
  <si>
    <t>putative thiol-disulfide oxidoreductase withthioredoxin domain</t>
  </si>
  <si>
    <t>0.05015 (0.06228)</t>
  </si>
  <si>
    <t>0.02648 (0.00668)</t>
  </si>
  <si>
    <t>0.12037 (0.03209)</t>
  </si>
  <si>
    <t>0.00589 (0.00154)</t>
  </si>
  <si>
    <t>BSU_29845</t>
  </si>
  <si>
    <t>hypothetical proteingene            3054746..3055192CDS             3054746..3055192computational evidences; Product type e: enzyme</t>
  </si>
  <si>
    <t>0.02047 (0.00396)</t>
  </si>
  <si>
    <t>0.01640 (0.00907)</t>
  </si>
  <si>
    <t>0.02187 (0.00369)</t>
  </si>
  <si>
    <t>ytzB</t>
  </si>
  <si>
    <t>0.02306 (0.04312)</t>
  </si>
  <si>
    <t>0.02434 (0.00739)</t>
  </si>
  <si>
    <t>0.09264 (0.03084)</t>
  </si>
  <si>
    <t>0.00494 (0.00119)</t>
  </si>
  <si>
    <t>trmB</t>
  </si>
  <si>
    <t>tRNA (guanine-N(7)-)-methyltransferase</t>
  </si>
  <si>
    <t>0.01895 (0.02308)</t>
  </si>
  <si>
    <t>0.27618 (0.00000)</t>
  </si>
  <si>
    <t>0.02400 (0.00771)</t>
  </si>
  <si>
    <t>0.11199 (0.03982)</t>
  </si>
  <si>
    <t>0.00334 (0.00061)</t>
  </si>
  <si>
    <t>ytzH</t>
  </si>
  <si>
    <t>0.04271 (0.05359)</t>
  </si>
  <si>
    <t>0.02234 (0.00356)</t>
  </si>
  <si>
    <t>0.10716 (0.01811)</t>
  </si>
  <si>
    <t>0.00229 (0.00066)</t>
  </si>
  <si>
    <t>ytmP</t>
  </si>
  <si>
    <t>putative kinase/phosphotransferase</t>
  </si>
  <si>
    <t>0.02065 (0.03468)</t>
  </si>
  <si>
    <t>0.02682 (0.00462)</t>
  </si>
  <si>
    <t>0.13102 (0.02394)</t>
  </si>
  <si>
    <t>0.00175 (0.00077)</t>
  </si>
  <si>
    <t>ytzE</t>
  </si>
  <si>
    <t>putative transcriptional regulator (DeoRfamily)</t>
  </si>
  <si>
    <t>yteV</t>
  </si>
  <si>
    <t>conserved sporulation-related protein</t>
  </si>
  <si>
    <t>0.02500 (0.00726)</t>
  </si>
  <si>
    <t>0.13098 (0.03965)</t>
  </si>
  <si>
    <t>rmgP</t>
  </si>
  <si>
    <t>permease for unsaturated rhamnogalacturonan</t>
  </si>
  <si>
    <t>0.04539 (0.01242)</t>
  </si>
  <si>
    <t>0.06050 (0.02161)</t>
  </si>
  <si>
    <t>0.02918 (0.00343)</t>
  </si>
  <si>
    <t>0.11521 (0.01466)</t>
  </si>
  <si>
    <t>0.00508 (0.00062)</t>
  </si>
  <si>
    <t>ytcP</t>
  </si>
  <si>
    <t>putative ABC transporter (permease)</t>
  </si>
  <si>
    <t>0.02474 (0.04908)</t>
  </si>
  <si>
    <t>0.02716 (0.00410)</t>
  </si>
  <si>
    <t>0.11659 (0.01853)</t>
  </si>
  <si>
    <t>0.00124 (0.00048)</t>
  </si>
  <si>
    <t>ytwF</t>
  </si>
  <si>
    <t>0.09963 (0.14912)</t>
  </si>
  <si>
    <t>0.02805 (0.00885)</t>
  </si>
  <si>
    <t>0.11561 (0.03845)</t>
  </si>
  <si>
    <t>0.01016 (0.00315)</t>
  </si>
  <si>
    <t>leuS</t>
  </si>
  <si>
    <t>leucyl-tRNA synthetase</t>
  </si>
  <si>
    <t>0.05136 (0.01534)</t>
  </si>
  <si>
    <t>0.03582 (0.03970)</t>
  </si>
  <si>
    <t>0.03528 (0.00536)</t>
  </si>
  <si>
    <t>0.15519 (0.02522)</t>
  </si>
  <si>
    <t>0.00560 (0.00083)</t>
  </si>
  <si>
    <t>ytvB</t>
  </si>
  <si>
    <t>putative conserved membrane protein</t>
  </si>
  <si>
    <t>ytrA</t>
  </si>
  <si>
    <t>transcriptional regulator (GntR family, cellwall antibiotics)</t>
  </si>
  <si>
    <t>0.12154 (0.04052)</t>
  </si>
  <si>
    <t>0.18265 (0.00000)</t>
  </si>
  <si>
    <t>0.02521 (0.00339)</t>
  </si>
  <si>
    <t>0.08106 (0.01197)</t>
  </si>
  <si>
    <t>0.01103 (0.00201)</t>
  </si>
  <si>
    <t>BSU_30466</t>
  </si>
  <si>
    <t>0.06209 (0.09313)</t>
  </si>
  <si>
    <t>0.24338 (0.00000)</t>
  </si>
  <si>
    <t>0.03106 (0.00519)</t>
  </si>
  <si>
    <t>0.10144 (0.01392)</t>
  </si>
  <si>
    <t>0.01544 (0.00367)</t>
  </si>
  <si>
    <t>ytzC</t>
  </si>
  <si>
    <t>0.12178 (0.19877)</t>
  </si>
  <si>
    <t>0.02716 (0.00723)</t>
  </si>
  <si>
    <t>0.10622 (0.02437)</t>
  </si>
  <si>
    <t>0.00942 (0.00385)</t>
  </si>
  <si>
    <t>ytoA</t>
  </si>
  <si>
    <t>putative enzyme of the carbonic anhydrasefamily</t>
  </si>
  <si>
    <t>0.11151 (0.13175)</t>
  </si>
  <si>
    <t>0.02827 (0.00892)</t>
  </si>
  <si>
    <t>0.09813 (0.03318)</t>
  </si>
  <si>
    <t>0.01026 (0.00285)</t>
  </si>
  <si>
    <t>asnB</t>
  </si>
  <si>
    <t>meso-diaminopimelic acid amidotransferase(asparagine synthetase)</t>
  </si>
  <si>
    <t>0.03524 (0.01875)</t>
  </si>
  <si>
    <t>0.00533 (0.00441)</t>
  </si>
  <si>
    <t>0.02516 (0.00375)</t>
  </si>
  <si>
    <t>0.12096 (0.01912)</t>
  </si>
  <si>
    <t>0.00155 (0.00027)</t>
  </si>
  <si>
    <t>metK</t>
  </si>
  <si>
    <t>S-adenosylmethionine synthetase</t>
  </si>
  <si>
    <t>0.01186 (0.02389)</t>
  </si>
  <si>
    <t>0.02425 (0.00447)</t>
  </si>
  <si>
    <t>0.11039 (0.02091)</t>
  </si>
  <si>
    <t>0.00044 (0.00017)</t>
  </si>
  <si>
    <t>ytmB</t>
  </si>
  <si>
    <t>0.43379 (0.28919)</t>
  </si>
  <si>
    <t>0.03122 (0.00478)</t>
  </si>
  <si>
    <t>0.12970 (0.02402)</t>
  </si>
  <si>
    <t>0.00658 (0.00104)</t>
  </si>
  <si>
    <t>ytmA</t>
  </si>
  <si>
    <t>putative esterase</t>
  </si>
  <si>
    <t>0.04117 (0.04100)</t>
  </si>
  <si>
    <t>0.03394 (0.00732)</t>
  </si>
  <si>
    <t>0.14234 (0.03282)</t>
  </si>
  <si>
    <t>0.00703 (0.00157)</t>
  </si>
  <si>
    <t>rppG</t>
  </si>
  <si>
    <t>nucleoside and RNA triphosphatephosphohydrolase</t>
  </si>
  <si>
    <t>0.02149 (0.03286)</t>
  </si>
  <si>
    <t>0.04581 (0.03951)</t>
  </si>
  <si>
    <t>0.02658 (0.00385)</t>
  </si>
  <si>
    <t>0.12273 (0.01788)</t>
  </si>
  <si>
    <t>0.00428 (0.00102)</t>
  </si>
  <si>
    <t>ytkC</t>
  </si>
  <si>
    <t>putative autolytic amidase</t>
  </si>
  <si>
    <t>0.37783 (0.17837)</t>
  </si>
  <si>
    <t>0.04760 (0.01572)</t>
  </si>
  <si>
    <t>0.02886 (0.00434)</t>
  </si>
  <si>
    <t>0.10279 (0.01954)</t>
  </si>
  <si>
    <t>0.00915 (0.00130)</t>
  </si>
  <si>
    <t>dps</t>
  </si>
  <si>
    <t>DNA-protecting protein, mini-ferritin</t>
  </si>
  <si>
    <t>0.05022 (0.05887)</t>
  </si>
  <si>
    <t>0.02657 (0.00436)</t>
  </si>
  <si>
    <t>0.12510 (0.02009)</t>
  </si>
  <si>
    <t>0.00356 (0.00085)</t>
  </si>
  <si>
    <t>luxS</t>
  </si>
  <si>
    <t>S-ribosylhomocysteine lyase</t>
  </si>
  <si>
    <t>0.02764 (0.04319)</t>
  </si>
  <si>
    <t>0.02293 (0.00372)</t>
  </si>
  <si>
    <t>0.11048 (0.01894)</t>
  </si>
  <si>
    <t>0.00109 (0.00042)</t>
  </si>
  <si>
    <t>rpmEB</t>
  </si>
  <si>
    <t>ribosomal protein L31</t>
  </si>
  <si>
    <t>0.03821 (0.00492)</t>
  </si>
  <si>
    <t>0.21648 (0.03021)</t>
  </si>
  <si>
    <t>ytzL</t>
  </si>
  <si>
    <t>menB</t>
  </si>
  <si>
    <t>dihydroxynapthoic acid synthetase</t>
  </si>
  <si>
    <t>0.02540 (0.00837)</t>
  </si>
  <si>
    <t>0.12263 (0.04145)</t>
  </si>
  <si>
    <t>floT</t>
  </si>
  <si>
    <t>flotillin lipid rafts scaffold protein</t>
  </si>
  <si>
    <t>0.02313 (0.01981)</t>
  </si>
  <si>
    <t>0.03397 (0.00732)</t>
  </si>
  <si>
    <t>0.15843 (0.03702)</t>
  </si>
  <si>
    <t>0.00341 (0.00075)</t>
  </si>
  <si>
    <t>yuaE</t>
  </si>
  <si>
    <t>0.09950 (0.20089)</t>
  </si>
  <si>
    <t>0.02675 (0.00869)</t>
  </si>
  <si>
    <t>0.10553 (0.03440)</t>
  </si>
  <si>
    <t>0.01036 (0.00357)</t>
  </si>
  <si>
    <t>yubF</t>
  </si>
  <si>
    <t>0.02759 (0.00390)</t>
  </si>
  <si>
    <t>0.13361 (0.02001)</t>
  </si>
  <si>
    <t>yugP</t>
  </si>
  <si>
    <t>putative metal-dependent protease/peptidase</t>
  </si>
  <si>
    <t>0.02984 (0.04814)</t>
  </si>
  <si>
    <t>0.03704 (0.04196)</t>
  </si>
  <si>
    <t>0.02296 (0.00410)</t>
  </si>
  <si>
    <t>0.08928 (0.01632)</t>
  </si>
  <si>
    <t>0.00317 (0.00055)</t>
  </si>
  <si>
    <t>mstX</t>
  </si>
  <si>
    <t>atypical membrane-integrating regulator ofbiofilm formation (Mistic protein)</t>
  </si>
  <si>
    <t>0.06088 (0.13076)</t>
  </si>
  <si>
    <t>0.02071 (0.00599)</t>
  </si>
  <si>
    <t>0.09170 (0.02441)</t>
  </si>
  <si>
    <t>0.00567 (0.00231)</t>
  </si>
  <si>
    <t>pgi</t>
  </si>
  <si>
    <t>glucose-6-phosphate isomerase</t>
  </si>
  <si>
    <t>0.00788 (0.01848)</t>
  </si>
  <si>
    <t>0.02864 (0.00771)</t>
  </si>
  <si>
    <t>0.13880 (0.03884)</t>
  </si>
  <si>
    <t>0.00096 (0.00039)</t>
  </si>
  <si>
    <t>yuzA</t>
  </si>
  <si>
    <t>yugI</t>
  </si>
  <si>
    <t>putative RNA degradation protein; putativephosphorylase or nucleotidyl transferase; general stressprotein</t>
  </si>
  <si>
    <t>0.27850 (0.00000)</t>
  </si>
  <si>
    <t>0.00718 (0.00119)</t>
  </si>
  <si>
    <t>0.02391 (0.00384)</t>
  </si>
  <si>
    <t>0.00263 (0.00063)</t>
  </si>
  <si>
    <t>yugH</t>
  </si>
  <si>
    <t>putative aspartate aminotransferase</t>
  </si>
  <si>
    <t>0.02101 (0.03100)</t>
  </si>
  <si>
    <t>0.03224 (0.00787)</t>
  </si>
  <si>
    <t>0.14498 (0.03708)</t>
  </si>
  <si>
    <t>0.00284 (0.00088)</t>
  </si>
  <si>
    <t>yugG</t>
  </si>
  <si>
    <t>putative transcriptional regulator (Lrp/AsnCfamily)</t>
  </si>
  <si>
    <t>0.02094 (0.00000)</t>
  </si>
  <si>
    <t>0.02610 (0.00436)</t>
  </si>
  <si>
    <t>0.12105 (0.02062)</t>
  </si>
  <si>
    <t>0.00156 (0.00037)</t>
  </si>
  <si>
    <t>yugE</t>
  </si>
  <si>
    <t>0.21050 (0.15766)</t>
  </si>
  <si>
    <t>0.02778 (0.00544)</t>
  </si>
  <si>
    <t>0.07109 (0.02012)</t>
  </si>
  <si>
    <t>0.01813 (0.00367)</t>
  </si>
  <si>
    <t>yuxJ</t>
  </si>
  <si>
    <t>putative exporter induced in acid stress</t>
  </si>
  <si>
    <t>0.09192 (0.01760)</t>
  </si>
  <si>
    <t>0.10364 (0.06819)</t>
  </si>
  <si>
    <t>0.02976 (0.00436)</t>
  </si>
  <si>
    <t>0.09968 (0.01530)</t>
  </si>
  <si>
    <t>0.00955 (0.00144)</t>
  </si>
  <si>
    <t>pbpD</t>
  </si>
  <si>
    <t>penicillin-binding protein 4</t>
  </si>
  <si>
    <t>0.03902 (0.08591)</t>
  </si>
  <si>
    <t>0.06197 (0.00000)</t>
  </si>
  <si>
    <t>0.03134 (0.00755)</t>
  </si>
  <si>
    <t>0.13341 (0.03216)</t>
  </si>
  <si>
    <t>0.00557 (0.00175)</t>
  </si>
  <si>
    <t>yuxK</t>
  </si>
  <si>
    <t>putative thiol-disulfide oxidoreductase</t>
  </si>
  <si>
    <t>0.09226 (0.07205)</t>
  </si>
  <si>
    <t>0.07166 (0.00000)</t>
  </si>
  <si>
    <t>0.03045 (0.00688)</t>
  </si>
  <si>
    <t>0.10971 (0.02738)</t>
  </si>
  <si>
    <t>0.01021 (0.00207)</t>
  </si>
  <si>
    <t>yufK</t>
  </si>
  <si>
    <t>0.05406 (0.10614)</t>
  </si>
  <si>
    <t>0.04758 (0.05818)</t>
  </si>
  <si>
    <t>0.02126 (0.00399)</t>
  </si>
  <si>
    <t>0.08020 (0.01516)</t>
  </si>
  <si>
    <t>0.00384 (0.00091)</t>
  </si>
  <si>
    <t>mrpB</t>
  </si>
  <si>
    <t>Na+/H+ antiporter complex</t>
  </si>
  <si>
    <t>0.03198 (0.06132)</t>
  </si>
  <si>
    <t>0.12827 (0.00000)</t>
  </si>
  <si>
    <t>0.02517 (0.00428)</t>
  </si>
  <si>
    <t>0.08146 (0.01284)</t>
  </si>
  <si>
    <t>0.00701 (0.00168)</t>
  </si>
  <si>
    <t>mrpC</t>
  </si>
  <si>
    <t>component of Na+/H+ antiporter</t>
  </si>
  <si>
    <t>0.01327 (0.00206)</t>
  </si>
  <si>
    <t>0.05973 (0.00940)</t>
  </si>
  <si>
    <t>mrpF</t>
  </si>
  <si>
    <t>efflux transporter for Na+ and cholate</t>
  </si>
  <si>
    <t>0.05634 (0.08195)</t>
  </si>
  <si>
    <t>0.04776 (0.04032)</t>
  </si>
  <si>
    <t>0.02695 (0.00471)</t>
  </si>
  <si>
    <t>0.09890 (0.01730)</t>
  </si>
  <si>
    <t>0.00480 (0.00118)</t>
  </si>
  <si>
    <t>comA</t>
  </si>
  <si>
    <t>two-component response quorum-sensing regulator</t>
  </si>
  <si>
    <t>0.01534 (0.00198)</t>
  </si>
  <si>
    <t>0.07336 (0.00972)</t>
  </si>
  <si>
    <t>degQ</t>
  </si>
  <si>
    <t>pleiotropic regulator</t>
  </si>
  <si>
    <t>BSU_31725</t>
  </si>
  <si>
    <t>hypothetical proteingene            3257693..3258061CDS             3257693..3258061PMID:16321932in the studied strain; PubMedId: 16321932; Product typecp: cell process</t>
  </si>
  <si>
    <t>0.23103 (0.18960)</t>
  </si>
  <si>
    <t>0.05139 (0.00866)</t>
  </si>
  <si>
    <t>0.08528 (0.01734)</t>
  </si>
  <si>
    <t>0.04477 (0.00936)</t>
  </si>
  <si>
    <t>pncB</t>
  </si>
  <si>
    <t>nicotinate phosphoribosyltransferase</t>
  </si>
  <si>
    <t>0.01504 (0.03500)</t>
  </si>
  <si>
    <t>0.03084 (0.00875)</t>
  </si>
  <si>
    <t>0.15390 (0.04483)</t>
  </si>
  <si>
    <t>0.00219 (0.00089)</t>
  </si>
  <si>
    <t>pncA</t>
  </si>
  <si>
    <t>nicotinamidase; NAD salvage pathway</t>
  </si>
  <si>
    <t>0.10607 (0.08085)</t>
  </si>
  <si>
    <t>0.10459 (0.11637)</t>
  </si>
  <si>
    <t>0.01913 (0.00302)</t>
  </si>
  <si>
    <t>0.06461 (0.01093)</t>
  </si>
  <si>
    <t>0.00708 (0.00116)</t>
  </si>
  <si>
    <t>yuzF</t>
  </si>
  <si>
    <t>0.04336 (0.05762)</t>
  </si>
  <si>
    <t>0.02165 (0.00335)</t>
  </si>
  <si>
    <t>0.08976 (0.01465)</t>
  </si>
  <si>
    <t>0.00228 (0.00088)</t>
  </si>
  <si>
    <t>yukD</t>
  </si>
  <si>
    <t>ESX secretion system YukD protein</t>
  </si>
  <si>
    <t>0.04463 (0.05603)</t>
  </si>
  <si>
    <t>0.40654 (0.00000)</t>
  </si>
  <si>
    <t>0.02883 (0.00481)</t>
  </si>
  <si>
    <t>0.09066 (0.01398)</t>
  </si>
  <si>
    <t>0.01362 (0.00246)</t>
  </si>
  <si>
    <t>yukE</t>
  </si>
  <si>
    <t>small WGX100 secreted protein (ESX-dependentsecretion)</t>
  </si>
  <si>
    <t>mbtH</t>
  </si>
  <si>
    <t>stimulator of DhbF tyrosine adenylationactivity</t>
  </si>
  <si>
    <t>0.13554 (0.10219)</t>
  </si>
  <si>
    <t>0.13341 (0.02470)</t>
  </si>
  <si>
    <t>0.02899 (0.00404)</t>
  </si>
  <si>
    <t>0.09673 (0.01571)</t>
  </si>
  <si>
    <t>0.01246 (0.00199)</t>
  </si>
  <si>
    <t>yuiB</t>
  </si>
  <si>
    <t>0.13084 (0.04637)</t>
  </si>
  <si>
    <t>0.41641 (0.10773)</t>
  </si>
  <si>
    <t>0.03648 (0.00327)</t>
  </si>
  <si>
    <t>0.10184 (0.01061)</t>
  </si>
  <si>
    <t>0.01846 (0.00248)</t>
  </si>
  <si>
    <t>yuiA</t>
  </si>
  <si>
    <t>0.12565 (0.02271)</t>
  </si>
  <si>
    <t>0.03783 (0.00640)</t>
  </si>
  <si>
    <t>0.12776 (0.02876)</t>
  </si>
  <si>
    <t>0.01409 (0.00193)</t>
  </si>
  <si>
    <t>trxBB</t>
  </si>
  <si>
    <t>ferredoxin-NADP+ reductase (flavodoxin)</t>
  </si>
  <si>
    <t>0.01111 (0.01379)</t>
  </si>
  <si>
    <t>0.02719 (0.00628)</t>
  </si>
  <si>
    <t>0.12771 (0.03283)</t>
  </si>
  <si>
    <t>0.00131 (0.00031)</t>
  </si>
  <si>
    <t>guaC</t>
  </si>
  <si>
    <t>GMP reductase (NADP-dependent)</t>
  </si>
  <si>
    <t>0.04604 (0.02462)</t>
  </si>
  <si>
    <t>0.03344 (0.00506)</t>
  </si>
  <si>
    <t>0.14409 (0.02671)</t>
  </si>
  <si>
    <t>0.00557 (0.00097)</t>
  </si>
  <si>
    <t>paiB</t>
  </si>
  <si>
    <t>transcriptional regulator (regulates paiAexpression)</t>
  </si>
  <si>
    <t>0.27617 (0.33273)</t>
  </si>
  <si>
    <t>0.02528 (0.00579)</t>
  </si>
  <si>
    <t>0.06907 (0.02178)</t>
  </si>
  <si>
    <t>0.01552 (0.00240)</t>
  </si>
  <si>
    <t>sufA</t>
  </si>
  <si>
    <t>sulfur carrier chaperone involved in Fe-Scluster assembly</t>
  </si>
  <si>
    <t>yutK</t>
  </si>
  <si>
    <t>putative Na+(H+)/nucleoside cotransporter</t>
  </si>
  <si>
    <t>0.02962 (0.05406)</t>
  </si>
  <si>
    <t>0.02805 (0.00854)</t>
  </si>
  <si>
    <t>0.11405 (0.03571)</t>
  </si>
  <si>
    <t>0.00332 (0.00108)</t>
  </si>
  <si>
    <t>yuzB</t>
  </si>
  <si>
    <t>0.01923 (0.00459)</t>
  </si>
  <si>
    <t>0.09755 (0.02429)</t>
  </si>
  <si>
    <t>yutJ</t>
  </si>
  <si>
    <t>putative NADH dehydrogenase</t>
  </si>
  <si>
    <t>0.05948 (0.03448)</t>
  </si>
  <si>
    <t>0.05990 (0.07832)</t>
  </si>
  <si>
    <t>0.02732 (0.00486)</t>
  </si>
  <si>
    <t>0.10634 (0.01975)</t>
  </si>
  <si>
    <t>0.00616 (0.00108)</t>
  </si>
  <si>
    <t>yuzD</t>
  </si>
  <si>
    <t>putative sulfur oxido-reduction managementenzyme</t>
  </si>
  <si>
    <t>0.23381 (0.11162)</t>
  </si>
  <si>
    <t>0.03708 (0.04007)</t>
  </si>
  <si>
    <t>0.03302 (0.00411)</t>
  </si>
  <si>
    <t>0.11960 (0.01949)</t>
  </si>
  <si>
    <t>0.01253 (0.00147)</t>
  </si>
  <si>
    <t>yutI</t>
  </si>
  <si>
    <t>putative iron-sulfur scaffold protein</t>
  </si>
  <si>
    <t>hom</t>
  </si>
  <si>
    <t>homoserine dehydrogenase</t>
  </si>
  <si>
    <t>yutG</t>
  </si>
  <si>
    <t>putative phosphatidylglycerophosphatase</t>
  </si>
  <si>
    <t>0.10548 (0.06118)</t>
  </si>
  <si>
    <t>0.05508 (0.06080)</t>
  </si>
  <si>
    <t>0.03313 (0.00576)</t>
  </si>
  <si>
    <t>0.12896 (0.02252)</t>
  </si>
  <si>
    <t>0.00891 (0.00186)</t>
  </si>
  <si>
    <t>yutD</t>
  </si>
  <si>
    <t>0.04838 (0.06522)</t>
  </si>
  <si>
    <t>0.05908 (0.00000)</t>
  </si>
  <si>
    <t>0.02198 (0.00386)</t>
  </si>
  <si>
    <t>0.09592 (0.01626)</t>
  </si>
  <si>
    <t>0.00536 (0.00093)</t>
  </si>
  <si>
    <t>lipA</t>
  </si>
  <si>
    <t>lipoyl synthase (lipoic acid synthetase)</t>
  </si>
  <si>
    <t>0.03322 (0.00429)</t>
  </si>
  <si>
    <t>0.16860 (0.02358)</t>
  </si>
  <si>
    <t>yunF</t>
  </si>
  <si>
    <t>0.03194 (0.03045)</t>
  </si>
  <si>
    <t>0.01295 (0.01503)</t>
  </si>
  <si>
    <t>0.02600 (0.00327)</t>
  </si>
  <si>
    <t>0.12633 (0.01716)</t>
  </si>
  <si>
    <t>0.00284 (0.00054)</t>
  </si>
  <si>
    <t>frlM</t>
  </si>
  <si>
    <t>fructose-amino acid permease</t>
  </si>
  <si>
    <t>0.09607 (0.02236)</t>
  </si>
  <si>
    <t>0.02745 (0.03060)</t>
  </si>
  <si>
    <t>0.03422 (0.00543)</t>
  </si>
  <si>
    <t>0.13938 (0.02408)</t>
  </si>
  <si>
    <t>0.00672 (0.00104)</t>
  </si>
  <si>
    <t>frlN</t>
  </si>
  <si>
    <t>0.01779 (0.03481)</t>
  </si>
  <si>
    <t>0.01952 (0.02280)</t>
  </si>
  <si>
    <t>0.02877 (0.00518)</t>
  </si>
  <si>
    <t>0.12845 (0.02406)</t>
  </si>
  <si>
    <t>0.00239 (0.00042)</t>
  </si>
  <si>
    <t>frlB</t>
  </si>
  <si>
    <t>fructosamine-6-P deglycase</t>
  </si>
  <si>
    <t>0.10545 (0.04849)</t>
  </si>
  <si>
    <t>0.04962 (0.02379)</t>
  </si>
  <si>
    <t>0.02663 (0.00444)</t>
  </si>
  <si>
    <t>0.10489 (0.01949)</t>
  </si>
  <si>
    <t>0.00610 (0.00076)</t>
  </si>
  <si>
    <t>sufB</t>
  </si>
  <si>
    <t>FeS cluster formation scaffold protein</t>
  </si>
  <si>
    <t>0.00930 (0.01730)</t>
  </si>
  <si>
    <t>0.01555 (0.00155)</t>
  </si>
  <si>
    <t>0.07293 (0.00747)</t>
  </si>
  <si>
    <t>0.00037 (0.00014)</t>
  </si>
  <si>
    <t>sufU</t>
  </si>
  <si>
    <t>iron-sulfur cluster assembly sulfur-transferprotein (Zn(2+)-dependent)</t>
  </si>
  <si>
    <t>0.01769 (0.00286)</t>
  </si>
  <si>
    <t>0.09002 (0.01526)</t>
  </si>
  <si>
    <t>sufS</t>
  </si>
  <si>
    <t>cysteine desulfurase</t>
  </si>
  <si>
    <t>0.04488 (0.02002)</t>
  </si>
  <si>
    <t>0.04464 (0.05871)</t>
  </si>
  <si>
    <t>0.02479 (0.00407)</t>
  </si>
  <si>
    <t>0.09956 (0.01670)</t>
  </si>
  <si>
    <t>0.00431 (0.00082)</t>
  </si>
  <si>
    <t>sufD</t>
  </si>
  <si>
    <t>Fe-S cluster assembly protein SufD</t>
  </si>
  <si>
    <t>0.03860 (0.02061)</t>
  </si>
  <si>
    <t>0.03077 (0.04068)</t>
  </si>
  <si>
    <t>0.02410 (0.00381)</t>
  </si>
  <si>
    <t>0.10228 (0.01740)</t>
  </si>
  <si>
    <t>0.00289 (0.00036)</t>
  </si>
  <si>
    <t>sufC</t>
  </si>
  <si>
    <t>sulfur mobilizing ABC protein, ATPase</t>
  </si>
  <si>
    <t>0.03595 (0.03018)</t>
  </si>
  <si>
    <t>0.01967 (0.00299)</t>
  </si>
  <si>
    <t>0.09312 (0.01544)</t>
  </si>
  <si>
    <t>yuzK</t>
  </si>
  <si>
    <t>putative toxin of a toxin antitoxin system</t>
  </si>
  <si>
    <t>metQ</t>
  </si>
  <si>
    <t>methionine ABC transporter, substrate bindinglipoprotein</t>
  </si>
  <si>
    <t>0.02205 (0.04098)</t>
  </si>
  <si>
    <t>0.05732 (0.07344)</t>
  </si>
  <si>
    <t>0.02263 (0.00416)</t>
  </si>
  <si>
    <t>0.09281 (0.01678)</t>
  </si>
  <si>
    <t>0.00441 (0.00106)</t>
  </si>
  <si>
    <t>metN</t>
  </si>
  <si>
    <t>methionine ABC transporter (ATP-bindingprotein)</t>
  </si>
  <si>
    <t>0.01066 (0.01964)</t>
  </si>
  <si>
    <t>0.05722 (0.04869)</t>
  </si>
  <si>
    <t>0.03236 (0.00575)</t>
  </si>
  <si>
    <t>0.14025 (0.02518)</t>
  </si>
  <si>
    <t>0.00546 (0.00118)</t>
  </si>
  <si>
    <t>yusD</t>
  </si>
  <si>
    <t>0.05708 (0.09004)</t>
  </si>
  <si>
    <t>0.02680 (0.00714)</t>
  </si>
  <si>
    <t>0.11181 (0.02839)</t>
  </si>
  <si>
    <t>0.00568 (0.00232)</t>
  </si>
  <si>
    <t>yusE</t>
  </si>
  <si>
    <t>yusG</t>
  </si>
  <si>
    <t>gcvH</t>
  </si>
  <si>
    <t>glycine cleavage system protein H (lipoylacceptor protein)</t>
  </si>
  <si>
    <t>0.02100 (0.00350)</t>
  </si>
  <si>
    <t>0.10359 (0.01794)</t>
  </si>
  <si>
    <t>yusI</t>
  </si>
  <si>
    <t>putative oxidoreductase with thioredoxin domainand regulator domain</t>
  </si>
  <si>
    <t>0.02712 (0.00509)</t>
  </si>
  <si>
    <t>0.15190 (0.02981)</t>
  </si>
  <si>
    <t>yuzL</t>
  </si>
  <si>
    <t>0.82461 (1.27084)</t>
  </si>
  <si>
    <t>0.01528 (0.00237)</t>
  </si>
  <si>
    <t>0.03291 (0.00580)</t>
  </si>
  <si>
    <t>0.01078 (0.00279)</t>
  </si>
  <si>
    <t>yuzM</t>
  </si>
  <si>
    <t>0.07515 (0.11600)</t>
  </si>
  <si>
    <t>0.11216 (0.00000)</t>
  </si>
  <si>
    <t>0.01578 (0.00298)</t>
  </si>
  <si>
    <t>0.06188 (0.01463)</t>
  </si>
  <si>
    <t>0.00594 (0.00103)</t>
  </si>
  <si>
    <t>yusN</t>
  </si>
  <si>
    <t>putative spore coat-like protein</t>
  </si>
  <si>
    <t>0.09876 (0.13550)</t>
  </si>
  <si>
    <t>0.02477 (0.00467)</t>
  </si>
  <si>
    <t>0.12546 (0.02709)</t>
  </si>
  <si>
    <t>0.00269 (0.00049)</t>
  </si>
  <si>
    <t>yusU</t>
  </si>
  <si>
    <t>0.03139 (0.04914)</t>
  </si>
  <si>
    <t>0.25037 (0.00000)</t>
  </si>
  <si>
    <t>0.02987 (0.00444)</t>
  </si>
  <si>
    <t>0.11053 (0.01290)</t>
  </si>
  <si>
    <t>0.01138 (0.00279)</t>
  </si>
  <si>
    <t>feuV</t>
  </si>
  <si>
    <t>iron(III)-siderophore transporter (ATP bindingcomponent)</t>
  </si>
  <si>
    <t>0.03156 (0.02488)</t>
  </si>
  <si>
    <t>0.01151 (0.01209)</t>
  </si>
  <si>
    <t>0.02715 (0.00466)</t>
  </si>
  <si>
    <t>0.11883 (0.02154)</t>
  </si>
  <si>
    <t>0.00254 (0.00046)</t>
  </si>
  <si>
    <t>mrgA</t>
  </si>
  <si>
    <t>metalloregulation DNA-binding stress protein</t>
  </si>
  <si>
    <t>0.08305 (0.07760)</t>
  </si>
  <si>
    <t>0.09490 (0.08398)</t>
  </si>
  <si>
    <t>0.02982 (0.00537)</t>
  </si>
  <si>
    <t>0.11067 (0.02233)</t>
  </si>
  <si>
    <t>0.01020 (0.00181)</t>
  </si>
  <si>
    <t>cssR</t>
  </si>
  <si>
    <t>folding stress-sensitive two-component responseregulator</t>
  </si>
  <si>
    <t>0.03296 (0.07814)</t>
  </si>
  <si>
    <t>0.02395 (0.00660)</t>
  </si>
  <si>
    <t>0.10154 (0.02765)</t>
  </si>
  <si>
    <t>0.00292 (0.00119)</t>
  </si>
  <si>
    <t>spxO</t>
  </si>
  <si>
    <t>regulator of SpxA degradation</t>
  </si>
  <si>
    <t>yuxN</t>
  </si>
  <si>
    <t>0.12465 (0.07231)</t>
  </si>
  <si>
    <t>0.07681 (0.06653)</t>
  </si>
  <si>
    <t>0.02726 (0.00522)</t>
  </si>
  <si>
    <t>0.10303 (0.02136)</t>
  </si>
  <si>
    <t>0.00858 (0.00144)</t>
  </si>
  <si>
    <t>fumC</t>
  </si>
  <si>
    <t>fumarate hydratase</t>
  </si>
  <si>
    <t>0.00776 (0.01252)</t>
  </si>
  <si>
    <t>0.01433 (0.01833)</t>
  </si>
  <si>
    <t>0.02670 (0.00470)</t>
  </si>
  <si>
    <t>0.12827 (0.02309)</t>
  </si>
  <si>
    <t>0.00149 (0.00035)</t>
  </si>
  <si>
    <t>yvzF</t>
  </si>
  <si>
    <t>0.28883 (0.11241)</t>
  </si>
  <si>
    <t>0.02951 (0.00445)</t>
  </si>
  <si>
    <t>0.11097 (0.02085)</t>
  </si>
  <si>
    <t>0.00856 (0.00136)</t>
  </si>
  <si>
    <t>liaI</t>
  </si>
  <si>
    <t>membrane anchor for the phage-shock protein Ahomolog LiaH</t>
  </si>
  <si>
    <t>sspJ</t>
  </si>
  <si>
    <t>pgoN</t>
  </si>
  <si>
    <t>promiscuous glyoxal/methylglyoxal reductase</t>
  </si>
  <si>
    <t>0.04219 (0.03048)</t>
  </si>
  <si>
    <t>0.02758 (0.00506)</t>
  </si>
  <si>
    <t>0.12466 (0.02556)</t>
  </si>
  <si>
    <t>0.00462 (0.00081)</t>
  </si>
  <si>
    <t>yvgO</t>
  </si>
  <si>
    <t>exported stress induced factor</t>
  </si>
  <si>
    <t>0.09370 (0.09102)</t>
  </si>
  <si>
    <t>0.15033 (0.00000)</t>
  </si>
  <si>
    <t>0.02917 (0.00715)</t>
  </si>
  <si>
    <t>0.10528 (0.02855)</t>
  </si>
  <si>
    <t>0.00913 (0.00201)</t>
  </si>
  <si>
    <t>copZ</t>
  </si>
  <si>
    <t>copper insertion chaperone and transportercomponent</t>
  </si>
  <si>
    <t>0.05275 (0.09885)</t>
  </si>
  <si>
    <t>0.03068 (0.00727)</t>
  </si>
  <si>
    <t>0.13105 (0.02904)</t>
  </si>
  <si>
    <t>0.00642 (0.00262)</t>
  </si>
  <si>
    <t>csoR</t>
  </si>
  <si>
    <t>repressor of copper utilisation proteins-Cu(I)</t>
  </si>
  <si>
    <t>0.03355 (0.05807)</t>
  </si>
  <si>
    <t>0.03410 (0.00570)</t>
  </si>
  <si>
    <t>0.17703 (0.02815)</t>
  </si>
  <si>
    <t>0.00414 (0.00169)</t>
  </si>
  <si>
    <t>yvaG</t>
  </si>
  <si>
    <t>putative oxidoreductase</t>
  </si>
  <si>
    <t>0.03641 (0.03108)</t>
  </si>
  <si>
    <t>0.08192 (0.09722)</t>
  </si>
  <si>
    <t>0.03295 (0.00431)</t>
  </si>
  <si>
    <t>0.13154 (0.01663)</t>
  </si>
  <si>
    <t>0.00632 (0.00133)</t>
  </si>
  <si>
    <t>smpB</t>
  </si>
  <si>
    <t>tmRNA-binding protein</t>
  </si>
  <si>
    <t>0.01944 (0.00289)</t>
  </si>
  <si>
    <t>0.09388 (0.01451)</t>
  </si>
  <si>
    <t>rnr</t>
  </si>
  <si>
    <t>ribonuclease R</t>
  </si>
  <si>
    <t>0.01688 (0.01298)</t>
  </si>
  <si>
    <t>0.01820 (0.02151)</t>
  </si>
  <si>
    <t>0.03547 (0.00523)</t>
  </si>
  <si>
    <t>0.17186 (0.02631)</t>
  </si>
  <si>
    <t>0.00298 (0.00060)</t>
  </si>
  <si>
    <t>estA</t>
  </si>
  <si>
    <t>carboxylesterase</t>
  </si>
  <si>
    <t>0.01848 (0.03608)</t>
  </si>
  <si>
    <t>0.01162 (0.00000)</t>
  </si>
  <si>
    <t>0.02737 (0.00533)</t>
  </si>
  <si>
    <t>0.13365 (0.02668)</t>
  </si>
  <si>
    <t>0.00174 (0.00043)</t>
  </si>
  <si>
    <t>secG</t>
  </si>
  <si>
    <t>0.01608 (0.00353)</t>
  </si>
  <si>
    <t>0.06654 (0.01492)</t>
  </si>
  <si>
    <t>yvzC</t>
  </si>
  <si>
    <t>putative phage-like transcriptional regulator</t>
  </si>
  <si>
    <t>0.14565 (0.20597)</t>
  </si>
  <si>
    <t>0.01818 (0.00251)</t>
  </si>
  <si>
    <t>0.07203 (0.01118)</t>
  </si>
  <si>
    <t>0.00338 (0.00065)</t>
  </si>
  <si>
    <t>rghRA</t>
  </si>
  <si>
    <t>0.02206 (0.03652)</t>
  </si>
  <si>
    <t>0.03483 (0.00604)</t>
  </si>
  <si>
    <t>0.16795 (0.03115)</t>
  </si>
  <si>
    <t>0.00161 (0.00060)</t>
  </si>
  <si>
    <t>catR</t>
  </si>
  <si>
    <t>transcriptional regulator of catecholdioxygenase</t>
  </si>
  <si>
    <t>0.07085 (0.00000)</t>
  </si>
  <si>
    <t>0.02675 (0.00409)</t>
  </si>
  <si>
    <t>0.11900 (0.01850)</t>
  </si>
  <si>
    <t>0.00267 (0.00063)</t>
  </si>
  <si>
    <t>opcR</t>
  </si>
  <si>
    <t>negative transcriptional regulator of cholineuptake systems</t>
  </si>
  <si>
    <t>0.08424 (0.12227)</t>
  </si>
  <si>
    <t>0.02320 (0.00551)</t>
  </si>
  <si>
    <t>0.09131 (0.02044)</t>
  </si>
  <si>
    <t>0.00700 (0.00227)</t>
  </si>
  <si>
    <t>eno</t>
  </si>
  <si>
    <t>enolase</t>
  </si>
  <si>
    <t>0.01382 (0.02987)</t>
  </si>
  <si>
    <t>0.11606 (0.00000)</t>
  </si>
  <si>
    <t>0.01853 (0.00365)</t>
  </si>
  <si>
    <t>0.06725 (0.01277)</t>
  </si>
  <si>
    <t>0.00469 (0.00116)</t>
  </si>
  <si>
    <t>pgm</t>
  </si>
  <si>
    <t>phosphoglycerate mutase</t>
  </si>
  <si>
    <t>0.03765 (0.03486)</t>
  </si>
  <si>
    <t>0.05167 (0.04071)</t>
  </si>
  <si>
    <t>0.03320 (0.00555)</t>
  </si>
  <si>
    <t>0.13828 (0.02333)</t>
  </si>
  <si>
    <t>0.00598 (0.00119)</t>
  </si>
  <si>
    <t>tpiA</t>
  </si>
  <si>
    <t>triose phosphate isomerase</t>
  </si>
  <si>
    <t>0.11004 (0.09215)</t>
  </si>
  <si>
    <t>0.03213 (0.03665)</t>
  </si>
  <si>
    <t>0.01344 (0.00231)</t>
  </si>
  <si>
    <t>0.05179 (0.00966)</t>
  </si>
  <si>
    <t>0.00274 (0.00050)</t>
  </si>
  <si>
    <t>pgk</t>
  </si>
  <si>
    <t>phosphoglycerate kinase</t>
  </si>
  <si>
    <t>0.04039 (0.07037)</t>
  </si>
  <si>
    <t>0.05605 (0.05548)</t>
  </si>
  <si>
    <t>0.01464 (0.00231)</t>
  </si>
  <si>
    <t>0.05551 (0.00896)</t>
  </si>
  <si>
    <t>0.00288 (0.00049)</t>
  </si>
  <si>
    <t>gapA</t>
  </si>
  <si>
    <t>glyceraldehyde-3-phosphate dehydrogenase(NAD-dependent, glycolytic)</t>
  </si>
  <si>
    <t>0.00697 (0.00112)</t>
  </si>
  <si>
    <t>0.02976 (0.00483)</t>
  </si>
  <si>
    <t>cggR</t>
  </si>
  <si>
    <t>transcriptional regulator of gapA</t>
  </si>
  <si>
    <t>0.07375 (0.03501)</t>
  </si>
  <si>
    <t>0.01529 (0.00252)</t>
  </si>
  <si>
    <t>0.06513 (0.01158)</t>
  </si>
  <si>
    <t>0.00153 (0.00024)</t>
  </si>
  <si>
    <t>yvfG</t>
  </si>
  <si>
    <t>0.03148 (0.00392)</t>
  </si>
  <si>
    <t>0.16781 (0.02263)</t>
  </si>
  <si>
    <t>epsL</t>
  </si>
  <si>
    <t>putative phosphotransferase involved inextracellular matrix synthesis</t>
  </si>
  <si>
    <t>epsB</t>
  </si>
  <si>
    <t>protein tyrosine kinase involved in biofilmmatrix formation</t>
  </si>
  <si>
    <t>0.02855 (0.04782)</t>
  </si>
  <si>
    <t>0.07584 (0.00000)</t>
  </si>
  <si>
    <t>0.03524 (0.00560)</t>
  </si>
  <si>
    <t>0.13781 (0.02155)</t>
  </si>
  <si>
    <t>0.00651 (0.00094)</t>
  </si>
  <si>
    <t>epsA</t>
  </si>
  <si>
    <t>modulator of protein tyrosine kinase EpsBinvolved in biofilm matrix formation</t>
  </si>
  <si>
    <t>0.08457 (0.07448)</t>
  </si>
  <si>
    <t>0.07915 (0.02674)</t>
  </si>
  <si>
    <t>0.03390 (0.00440)</t>
  </si>
  <si>
    <t>0.13166 (0.01900)</t>
  </si>
  <si>
    <t>0.00995 (0.00139)</t>
  </si>
  <si>
    <t>sacB</t>
  </si>
  <si>
    <t>levansucrase; levanase (moonlighting)</t>
  </si>
  <si>
    <t>0.03260 (0.02904)</t>
  </si>
  <si>
    <t>0.03368 (0.00711)</t>
  </si>
  <si>
    <t>0.03608 (0.00423)</t>
  </si>
  <si>
    <t>0.16034 (0.01867)</t>
  </si>
  <si>
    <t>0.00547 (0.00100)</t>
  </si>
  <si>
    <t>yvdC</t>
  </si>
  <si>
    <t>putative pyrophosphohydrolase</t>
  </si>
  <si>
    <t>0.06430 (0.05773)</t>
  </si>
  <si>
    <t>0.02716 (0.00000)</t>
  </si>
  <si>
    <t>0.03750 (0.00608)</t>
  </si>
  <si>
    <t>0.17462 (0.03338)</t>
  </si>
  <si>
    <t>0.00737 (0.00104)</t>
  </si>
  <si>
    <t>yvzJ</t>
  </si>
  <si>
    <t>0.39105 (0.33884)</t>
  </si>
  <si>
    <t>0.02013 (0.00310)</t>
  </si>
  <si>
    <t>0.04736 (0.00983)</t>
  </si>
  <si>
    <t>0.01267 (0.00213)</t>
  </si>
  <si>
    <t>crh</t>
  </si>
  <si>
    <t>catabolite repression HPr-like protein</t>
  </si>
  <si>
    <t>whiA</t>
  </si>
  <si>
    <t>putative morphogen</t>
  </si>
  <si>
    <t>0.00918 (0.00954)</t>
  </si>
  <si>
    <t>0.02690 (0.00428)</t>
  </si>
  <si>
    <t>0.12792 (0.02100)</t>
  </si>
  <si>
    <t>0.00082 (0.00020)</t>
  </si>
  <si>
    <t>mgfK</t>
  </si>
  <si>
    <t>gluconeogenesis morphogenetic factor (UDP-sugarbinding)</t>
  </si>
  <si>
    <t>0.04836 (0.04962)</t>
  </si>
  <si>
    <t>0.02408 (0.02913)</t>
  </si>
  <si>
    <t>0.03386 (0.00495)</t>
  </si>
  <si>
    <t>0.14371 (0.02299)</t>
  </si>
  <si>
    <t>0.00497 (0.00102)</t>
  </si>
  <si>
    <t>yvcJ</t>
  </si>
  <si>
    <t>GTPase possibly involved in regulator sRNAdegradation</t>
  </si>
  <si>
    <t>0.02914 (0.06073)</t>
  </si>
  <si>
    <t>0.03070 (0.00767)</t>
  </si>
  <si>
    <t>0.13982 (0.03477)</t>
  </si>
  <si>
    <t>0.00367 (0.00150)</t>
  </si>
  <si>
    <t>trxB</t>
  </si>
  <si>
    <t>thioredoxin reductase</t>
  </si>
  <si>
    <t>0.00689 (0.01158)</t>
  </si>
  <si>
    <t>0.02978 (0.00000)</t>
  </si>
  <si>
    <t>0.02954 (0.00645)</t>
  </si>
  <si>
    <t>0.13552 (0.03175)</t>
  </si>
  <si>
    <t>0.00161 (0.00039)</t>
  </si>
  <si>
    <t>yvcD</t>
  </si>
  <si>
    <t>0.03683 (0.04317)</t>
  </si>
  <si>
    <t>0.07274 (0.00000)</t>
  </si>
  <si>
    <t>0.02732 (0.00729)</t>
  </si>
  <si>
    <t>0.11771 (0.03471)</t>
  </si>
  <si>
    <t>0.00462 (0.00071)</t>
  </si>
  <si>
    <t>csbA</t>
  </si>
  <si>
    <t>0.08299 (0.11979)</t>
  </si>
  <si>
    <t>0.02266 (0.00379)</t>
  </si>
  <si>
    <t>0.08006 (0.01484)</t>
  </si>
  <si>
    <t>0.00492 (0.00144)</t>
  </si>
  <si>
    <t>ftsX</t>
  </si>
  <si>
    <t>cell-division ABC transporter</t>
  </si>
  <si>
    <t>0.05197 (0.02785)</t>
  </si>
  <si>
    <t>0.05453 (0.07052)</t>
  </si>
  <si>
    <t>0.02883 (0.00496)</t>
  </si>
  <si>
    <t>0.11498 (0.02018)</t>
  </si>
  <si>
    <t>0.00591 (0.00113)</t>
  </si>
  <si>
    <t>ftsE</t>
  </si>
  <si>
    <t>cell-division signal transducer (ATP-bindingprotein)</t>
  </si>
  <si>
    <t>0.05034 (0.05116)</t>
  </si>
  <si>
    <t>0.03114 (0.00457)</t>
  </si>
  <si>
    <t>0.13772 (0.01996)</t>
  </si>
  <si>
    <t>0.00343 (0.00082)</t>
  </si>
  <si>
    <t>secA</t>
  </si>
  <si>
    <t>translocase binding subunit (ATPase)</t>
  </si>
  <si>
    <t>0.03805 (0.07818)</t>
  </si>
  <si>
    <t>0.02933 (0.00815)</t>
  </si>
  <si>
    <t>0.13216 (0.03674)</t>
  </si>
  <si>
    <t>0.00436 (0.00164)</t>
  </si>
  <si>
    <t>hpf</t>
  </si>
  <si>
    <t>ribosome-associated sigma 54 modulation protein;ribosome dimerisation factor</t>
  </si>
  <si>
    <t>0.01833 (0.02330)</t>
  </si>
  <si>
    <t>0.17146 (0.00000)</t>
  </si>
  <si>
    <t>0.02469 (0.00412)</t>
  </si>
  <si>
    <t>0.09831 (0.01530)</t>
  </si>
  <si>
    <t>0.00711 (0.00134)</t>
  </si>
  <si>
    <t>fliS</t>
  </si>
  <si>
    <t>flagellar assembly protein FliS</t>
  </si>
  <si>
    <t>0.03501 (0.02326)</t>
  </si>
  <si>
    <t>0.09179 (0.00000)</t>
  </si>
  <si>
    <t>0.03634 (0.00269)</t>
  </si>
  <si>
    <t>0.16175 (0.01659)</t>
  </si>
  <si>
    <t>0.00591 (0.00091)</t>
  </si>
  <si>
    <t>csrA</t>
  </si>
  <si>
    <t>carbon storage regulator</t>
  </si>
  <si>
    <t>0.15945 (0.08730)</t>
  </si>
  <si>
    <t>0.03333 (0.00307)</t>
  </si>
  <si>
    <t>0.12964 (0.01421)</t>
  </si>
  <si>
    <t>0.00934 (0.00170)</t>
  </si>
  <si>
    <t>fliW</t>
  </si>
  <si>
    <t>assembly factor of the flagellum</t>
  </si>
  <si>
    <t>0.02033 (0.03727)</t>
  </si>
  <si>
    <t>0.05799 (0.06171)</t>
  </si>
  <si>
    <t>0.03380 (0.00584)</t>
  </si>
  <si>
    <t>0.15366 (0.02649)</t>
  </si>
  <si>
    <t>0.00655 (0.00157)</t>
  </si>
  <si>
    <t>flgM</t>
  </si>
  <si>
    <t>anti-sigma factor repressor ofsigma(D)-dependent transcription</t>
  </si>
  <si>
    <t>0.37432 (0.43223)</t>
  </si>
  <si>
    <t>0.19363 (0.00000)</t>
  </si>
  <si>
    <t>0.03093 (0.00634)</t>
  </si>
  <si>
    <t>0.07989 (0.01847)</t>
  </si>
  <si>
    <t>0.02014 (0.00387)</t>
  </si>
  <si>
    <t>degU</t>
  </si>
  <si>
    <t>0.01747 (0.00289)</t>
  </si>
  <si>
    <t>0.08240 (0.01396)</t>
  </si>
  <si>
    <t>degS</t>
  </si>
  <si>
    <t>two-component sensor histidine kinase [DegU]</t>
  </si>
  <si>
    <t>0.03696 (0.03488)</t>
  </si>
  <si>
    <t>0.02606 (0.00499)</t>
  </si>
  <si>
    <t>0.13061 (0.02606)</t>
  </si>
  <si>
    <t>0.00133 (0.00034)</t>
  </si>
  <si>
    <t>yvyE</t>
  </si>
  <si>
    <t>putative translation regulator</t>
  </si>
  <si>
    <t>0.05438 (0.08551)</t>
  </si>
  <si>
    <t>0.02919 (0.00697)</t>
  </si>
  <si>
    <t>0.12802 (0.03043)</t>
  </si>
  <si>
    <t>0.00590 (0.00192)</t>
  </si>
  <si>
    <t>ribZB</t>
  </si>
  <si>
    <t>5-amino-6-ribitylamino-2,4(1H,3H)-pyrimidinedione 5'-phosphate phosphatase (promiscuousactivity)</t>
  </si>
  <si>
    <t>0.09931 (0.08816)</t>
  </si>
  <si>
    <t>0.03450 (0.00753)</t>
  </si>
  <si>
    <t>0.12774 (0.02903)</t>
  </si>
  <si>
    <t>0.01166 (0.00283)</t>
  </si>
  <si>
    <t>edmS</t>
  </si>
  <si>
    <t>factor required extrachromosomal elementsmaintenance</t>
  </si>
  <si>
    <t>0.12157 (0.19025)</t>
  </si>
  <si>
    <t>0.02828 (0.00508)</t>
  </si>
  <si>
    <t>0.12196 (0.01164)</t>
  </si>
  <si>
    <t>0.01113 (0.00454)</t>
  </si>
  <si>
    <t>capC</t>
  </si>
  <si>
    <t>capsular polyglutamate amide ligase/translocasesubunit</t>
  </si>
  <si>
    <t>0.02803 (0.04771)</t>
  </si>
  <si>
    <t>0.01834 (0.00245)</t>
  </si>
  <si>
    <t>0.07219 (0.01068)</t>
  </si>
  <si>
    <t>0.00121 (0.00047)</t>
  </si>
  <si>
    <t>capB</t>
  </si>
  <si>
    <t>capsular polyglutamate synthetase (ATP-dependentamide ligase)</t>
  </si>
  <si>
    <t>0.01147 (0.02362)</t>
  </si>
  <si>
    <t>0.02314 (0.02794)</t>
  </si>
  <si>
    <t>0.02171 (0.00384)</t>
  </si>
  <si>
    <t>0.09797 (0.01782)</t>
  </si>
  <si>
    <t>0.00176 (0.00031)</t>
  </si>
  <si>
    <t>alsD</t>
  </si>
  <si>
    <t>alpha-acetolactate decarboxylase</t>
  </si>
  <si>
    <t>0.02882 (0.02618)</t>
  </si>
  <si>
    <t>0.03517 (0.03334)</t>
  </si>
  <si>
    <t>0.03490 (0.00477)</t>
  </si>
  <si>
    <t>0.15746 (0.02271)</t>
  </si>
  <si>
    <t>0.00507 (0.00093)</t>
  </si>
  <si>
    <t>ywqI</t>
  </si>
  <si>
    <t>tkmA</t>
  </si>
  <si>
    <t>modulator of PtkA protein tyrosine kinaseactivity; modulation of biofilm formation</t>
  </si>
  <si>
    <t>0.10390 (0.15926)</t>
  </si>
  <si>
    <t>0.02285 (0.00683)</t>
  </si>
  <si>
    <t>0.08132 (0.02399)</t>
  </si>
  <si>
    <t>0.00707 (0.00243)</t>
  </si>
  <si>
    <t>ywzD</t>
  </si>
  <si>
    <t>ssbB</t>
  </si>
  <si>
    <t>single-strand DNA-binding protein</t>
  </si>
  <si>
    <t>0.07774 (0.05864)</t>
  </si>
  <si>
    <t>0.06029 (0.05884)</t>
  </si>
  <si>
    <t>0.03215 (0.00528)</t>
  </si>
  <si>
    <t>0.12057 (0.02117)</t>
  </si>
  <si>
    <t>0.00783 (0.00147)</t>
  </si>
  <si>
    <t>ywpF</t>
  </si>
  <si>
    <t>0.13517 (0.15569)</t>
  </si>
  <si>
    <t>0.21473 (0.00000)</t>
  </si>
  <si>
    <t>0.03062 (0.00539)</t>
  </si>
  <si>
    <t>0.09367 (0.01588)</t>
  </si>
  <si>
    <t>0.01537 (0.00357)</t>
  </si>
  <si>
    <t>fabZ</t>
  </si>
  <si>
    <t>beta-hydroxyacyl-[acyl carrier protein]dehydratase</t>
  </si>
  <si>
    <t>flhP</t>
  </si>
  <si>
    <t>flagellar hook-basal body accessory protein</t>
  </si>
  <si>
    <t>0.03830 (0.05173)</t>
  </si>
  <si>
    <t>0.02520 (0.00813)</t>
  </si>
  <si>
    <t>0.10870 (0.03635)</t>
  </si>
  <si>
    <t>0.00403 (0.00125)</t>
  </si>
  <si>
    <t>mbl</t>
  </si>
  <si>
    <t>MreB-like morphogen</t>
  </si>
  <si>
    <t>0.02580 (0.03341)</t>
  </si>
  <si>
    <t>0.02172 (0.00399)</t>
  </si>
  <si>
    <t>0.09331 (0.01741)</t>
  </si>
  <si>
    <t>0.00158 (0.00041)</t>
  </si>
  <si>
    <t>spoIIID</t>
  </si>
  <si>
    <t>transcriptional regulator (stage IIIsporulation)</t>
  </si>
  <si>
    <t>usd</t>
  </si>
  <si>
    <t>putative factor required for translation ofspoIIID</t>
  </si>
  <si>
    <t>ywoH</t>
  </si>
  <si>
    <t>0.02414 (0.04631)</t>
  </si>
  <si>
    <t>0.04372 (0.04502)</t>
  </si>
  <si>
    <t>0.02141 (0.00296)</t>
  </si>
  <si>
    <t>0.09588 (0.01272)</t>
  </si>
  <si>
    <t>0.00310 (0.00076)</t>
  </si>
  <si>
    <t>glnK</t>
  </si>
  <si>
    <t>nitrogen-regulated PII-like regulator protein</t>
  </si>
  <si>
    <t>0.02657 (0.00852)</t>
  </si>
  <si>
    <t>0.13148 (0.04358)</t>
  </si>
  <si>
    <t>ywnC</t>
  </si>
  <si>
    <t>0.09922 (0.09561)</t>
  </si>
  <si>
    <t>0.02641 (0.00932)</t>
  </si>
  <si>
    <t>0.09870 (0.03704)</t>
  </si>
  <si>
    <t>0.00888 (0.00275)</t>
  </si>
  <si>
    <t>ureA</t>
  </si>
  <si>
    <t>urease (gamma subunit)</t>
  </si>
  <si>
    <t>0.01775 (0.02922)</t>
  </si>
  <si>
    <t>0.03122 (0.00700)</t>
  </si>
  <si>
    <t>0.14177 (0.03606)</t>
  </si>
  <si>
    <t>fdhD</t>
  </si>
  <si>
    <t>protein sulfur transferase involved inmolybdenum cofactor synthesis</t>
  </si>
  <si>
    <t>0.02947 (0.03955)</t>
  </si>
  <si>
    <t>0.29719 (0.00000)</t>
  </si>
  <si>
    <t>0.02703 (0.00863)</t>
  </si>
  <si>
    <t>0.11717 (0.04026)</t>
  </si>
  <si>
    <t>0.00444 (0.00102)</t>
  </si>
  <si>
    <t>murAA</t>
  </si>
  <si>
    <t>UDP-N-acetylglucosamine1-carboxyvinyltransferase</t>
  </si>
  <si>
    <t>0.02949 (0.06075)</t>
  </si>
  <si>
    <t>0.01788 (0.00867)</t>
  </si>
  <si>
    <t>0.02240 (0.00412)</t>
  </si>
  <si>
    <t>0.09517 (0.01833)</t>
  </si>
  <si>
    <t>0.00201 (0.00040)</t>
  </si>
  <si>
    <t>ywmB</t>
  </si>
  <si>
    <t>0.56429 (0.14629)</t>
  </si>
  <si>
    <t>0.13251 (0.09370)</t>
  </si>
  <si>
    <t>0.03062 (0.00426)</t>
  </si>
  <si>
    <t>0.08387 (0.01680)</t>
  </si>
  <si>
    <t>0.01841 (0.00165)</t>
  </si>
  <si>
    <t>atpC</t>
  </si>
  <si>
    <t>ATP synthase (subunit epsilon, F1 subunit)</t>
  </si>
  <si>
    <t>0.10595 (0.16332)</t>
  </si>
  <si>
    <t>0.06795 (0.07786)</t>
  </si>
  <si>
    <t>0.02071 (0.00396)</t>
  </si>
  <si>
    <t>0.07338 (0.01457)</t>
  </si>
  <si>
    <t>0.00536 (0.00094)</t>
  </si>
  <si>
    <t>atpD</t>
  </si>
  <si>
    <t>ATP synthase (subunit beta, component F1)</t>
  </si>
  <si>
    <t>0.01153 (0.02239)</t>
  </si>
  <si>
    <t>0.03581 (0.00000)</t>
  </si>
  <si>
    <t>0.02340 (0.00429)</t>
  </si>
  <si>
    <t>0.09731 (0.01816)</t>
  </si>
  <si>
    <t>0.00260 (0.00051)</t>
  </si>
  <si>
    <t>atpG</t>
  </si>
  <si>
    <t>ATP synthase (subunit gamma, component F1)</t>
  </si>
  <si>
    <t>0.01348 (0.02073)</t>
  </si>
  <si>
    <t>0.03832 (0.00000)</t>
  </si>
  <si>
    <t>0.02575 (0.00389)</t>
  </si>
  <si>
    <t>0.11051 (0.01696)</t>
  </si>
  <si>
    <t>0.00278 (0.00047)</t>
  </si>
  <si>
    <t>atpA</t>
  </si>
  <si>
    <t>ATP synthase (subunit alpha, component F1)</t>
  </si>
  <si>
    <t>0.03505 (0.01159)</t>
  </si>
  <si>
    <t>0.01017 (0.01196)</t>
  </si>
  <si>
    <t>0.02039 (0.00311)</t>
  </si>
  <si>
    <t>0.08330 (0.01321)</t>
  </si>
  <si>
    <t>0.00142 (0.00026)</t>
  </si>
  <si>
    <t>atpH</t>
  </si>
  <si>
    <t>ATP synthase (subunit delta, component F1)</t>
  </si>
  <si>
    <t>0.13125 (0.04361)</t>
  </si>
  <si>
    <t>0.11944 (0.13955)</t>
  </si>
  <si>
    <t>0.03002 (0.00383)</t>
  </si>
  <si>
    <t>0.09637 (0.01279)</t>
  </si>
  <si>
    <t>0.01169 (0.00173)</t>
  </si>
  <si>
    <t>atpF</t>
  </si>
  <si>
    <t>ATP synthase (subunit b, component F0)</t>
  </si>
  <si>
    <t>0.14215 (0.10051)</t>
  </si>
  <si>
    <t>0.28429 (0.40205)</t>
  </si>
  <si>
    <t>0.00471 (0.00079)</t>
  </si>
  <si>
    <t>0.01250 (0.00227)</t>
  </si>
  <si>
    <t>0.00253 (0.00044)</t>
  </si>
  <si>
    <t>atpE</t>
  </si>
  <si>
    <t>ATP synthase (subunit c, component F0)</t>
  </si>
  <si>
    <t>atpB</t>
  </si>
  <si>
    <t>ATP synthase (subunit a, component F0)</t>
  </si>
  <si>
    <t>0.02960 (0.00000)</t>
  </si>
  <si>
    <t>0.02355 (0.00585)</t>
  </si>
  <si>
    <t>0.09781 (0.02432)</t>
  </si>
  <si>
    <t>atpI</t>
  </si>
  <si>
    <t>ATP synthase (subunit i)</t>
  </si>
  <si>
    <t>0.10155 (0.07995)</t>
  </si>
  <si>
    <t>0.03274 (0.03065)</t>
  </si>
  <si>
    <t>0.01995 (0.00386)</t>
  </si>
  <si>
    <t>0.07908 (0.01551)</t>
  </si>
  <si>
    <t>0.00345 (0.00084)</t>
  </si>
  <si>
    <t>glyA</t>
  </si>
  <si>
    <t>serine hydroxymethyltransferase</t>
  </si>
  <si>
    <t>0.04685 (0.01883)</t>
  </si>
  <si>
    <t>0.01573 (0.00895)</t>
  </si>
  <si>
    <t>0.02963 (0.00499)</t>
  </si>
  <si>
    <t>0.12904 (0.02356)</t>
  </si>
  <si>
    <t>0.00337 (0.00036)</t>
  </si>
  <si>
    <t>prpB</t>
  </si>
  <si>
    <t>protein-arginine(tyrosine moonlighting)phosphatase (oxidative stress)</t>
  </si>
  <si>
    <t>0.34418 (0.36832)</t>
  </si>
  <si>
    <t>0.02796 (0.00662)</t>
  </si>
  <si>
    <t>0.06713 (0.01531)</t>
  </si>
  <si>
    <t>0.01772 (0.00495)</t>
  </si>
  <si>
    <t>prfA</t>
  </si>
  <si>
    <t>peptide chain release factor 1</t>
  </si>
  <si>
    <t>0.02340 (0.04493)</t>
  </si>
  <si>
    <t>0.02556 (0.00416)</t>
  </si>
  <si>
    <t>0.11972 (0.02032)</t>
  </si>
  <si>
    <t>0.00097 (0.00038)</t>
  </si>
  <si>
    <t>maeA</t>
  </si>
  <si>
    <t>NAD-dependent malic enzyme (conversion of malateinto pyruvate)</t>
  </si>
  <si>
    <t>0.03980 (0.01223)</t>
  </si>
  <si>
    <t>0.03379 (0.03837)</t>
  </si>
  <si>
    <t>0.02829 (0.00492)</t>
  </si>
  <si>
    <t>0.11917 (0.02147)</t>
  </si>
  <si>
    <t>0.00398 (0.00073)</t>
  </si>
  <si>
    <t>rpmEA</t>
  </si>
  <si>
    <t>rho</t>
  </si>
  <si>
    <t>transcriptional terminator Rho</t>
  </si>
  <si>
    <t>0.02926 (0.00548)</t>
  </si>
  <si>
    <t>0.14456 (0.02807)</t>
  </si>
  <si>
    <t>BSU_37089</t>
  </si>
  <si>
    <t>glpX</t>
  </si>
  <si>
    <t>fructose 1,6-bisphosphatase class II</t>
  </si>
  <si>
    <t>0.02665 (0.00783)</t>
  </si>
  <si>
    <t>0.12684 (0.03866)</t>
  </si>
  <si>
    <t>murAB</t>
  </si>
  <si>
    <t>0.00763 (0.01415)</t>
  </si>
  <si>
    <t>0.00646 (0.00806)</t>
  </si>
  <si>
    <t>0.03271 (0.00535)</t>
  </si>
  <si>
    <t>0.15158 (0.02581)</t>
  </si>
  <si>
    <t>0.00133 (0.00038)</t>
  </si>
  <si>
    <t>tal</t>
  </si>
  <si>
    <t>transaldolase</t>
  </si>
  <si>
    <t>0.03044 (0.05863)</t>
  </si>
  <si>
    <t>0.06364 (0.08118)</t>
  </si>
  <si>
    <t>0.02704 (0.00552)</t>
  </si>
  <si>
    <t>0.10616 (0.02161)</t>
  </si>
  <si>
    <t>0.00579 (0.00140)</t>
  </si>
  <si>
    <t>fbaA</t>
  </si>
  <si>
    <t>fructose-1,6-bisphosphate aldolase</t>
  </si>
  <si>
    <t>0.07706 (0.05771)</t>
  </si>
  <si>
    <t>0.07692 (0.00000)</t>
  </si>
  <si>
    <t>0.01263 (0.00146)</t>
  </si>
  <si>
    <t>0.04373 (0.00456)</t>
  </si>
  <si>
    <t>0.00339 (0.00072)</t>
  </si>
  <si>
    <t>spo0F</t>
  </si>
  <si>
    <t>two-component response regulator of sporulationinitiation</t>
  </si>
  <si>
    <t>0.02304 (0.00795)</t>
  </si>
  <si>
    <t>0.12253 (0.04320)</t>
  </si>
  <si>
    <t>ywjG</t>
  </si>
  <si>
    <t>0.12364 (0.09413)</t>
  </si>
  <si>
    <t>0.02890 (0.00611)</t>
  </si>
  <si>
    <t>0.09393 (0.02539)</t>
  </si>
  <si>
    <t>0.01143 (0.00131)</t>
  </si>
  <si>
    <t>rpoE</t>
  </si>
  <si>
    <t>RNA polymerase (delta subunit) andtranscriptional repressor</t>
  </si>
  <si>
    <t>0.12326 (0.14850)</t>
  </si>
  <si>
    <t>0.02745 (0.00701)</t>
  </si>
  <si>
    <t>0.10130 (0.02772)</t>
  </si>
  <si>
    <t>0.01226 (0.00302)</t>
  </si>
  <si>
    <t>ywiB</t>
  </si>
  <si>
    <t>sboA</t>
  </si>
  <si>
    <t>subtilosin A</t>
  </si>
  <si>
    <t>albB</t>
  </si>
  <si>
    <t>membrane component involved in subtilosinproduction</t>
  </si>
  <si>
    <t>rapF</t>
  </si>
  <si>
    <t>response regulator aspartate phosphataseanti-activator of ComA</t>
  </si>
  <si>
    <t>0.10693 (0.14680)</t>
  </si>
  <si>
    <t>0.10606 (0.00000)</t>
  </si>
  <si>
    <t>0.02566 (0.00632)</t>
  </si>
  <si>
    <t>0.09454 (0.02770)</t>
  </si>
  <si>
    <t>0.00950 (0.00152)</t>
  </si>
  <si>
    <t>phrF</t>
  </si>
  <si>
    <t>secreted regulator of the activity ofphosphatase RapF</t>
  </si>
  <si>
    <t>speE</t>
  </si>
  <si>
    <t>spermidine synthase; polyamine metabolism</t>
  </si>
  <si>
    <t>0.01333 (0.02458)</t>
  </si>
  <si>
    <t>0.02778 (0.00505)</t>
  </si>
  <si>
    <t>0.13344 (0.02451)</t>
  </si>
  <si>
    <t>0.00155 (0.00063)</t>
  </si>
  <si>
    <t>hmtB</t>
  </si>
  <si>
    <t>2-hydroxymuconate tautomerase (promiscuous)</t>
  </si>
  <si>
    <t>ywgA</t>
  </si>
  <si>
    <t>0.01897 (0.03069)</t>
  </si>
  <si>
    <t>0.07552 (0.08125)</t>
  </si>
  <si>
    <t>0.02289 (0.00323)</t>
  </si>
  <si>
    <t>0.09935 (0.01417)</t>
  </si>
  <si>
    <t>0.00410 (0.00072)</t>
  </si>
  <si>
    <t>ywfO</t>
  </si>
  <si>
    <t>putative metal-dependent nucleotide(pyro)phosphohydrolase</t>
  </si>
  <si>
    <t>0.06885 (0.02586)</t>
  </si>
  <si>
    <t>0.01399 (0.00307)</t>
  </si>
  <si>
    <t>0.02810 (0.00398)</t>
  </si>
  <si>
    <t>0.12264 (0.01938)</t>
  </si>
  <si>
    <t>0.00408 (0.00046)</t>
  </si>
  <si>
    <t>ywzC</t>
  </si>
  <si>
    <t>0.01276 (0.00247)</t>
  </si>
  <si>
    <t>0.06077 (0.01222)</t>
  </si>
  <si>
    <t>pta</t>
  </si>
  <si>
    <t>phosphotransacetylase</t>
  </si>
  <si>
    <t>0.04726 (0.01756)</t>
  </si>
  <si>
    <t>0.05152 (0.05215)</t>
  </si>
  <si>
    <t>0.02394 (0.00346)</t>
  </si>
  <si>
    <t>0.09510 (0.01465)</t>
  </si>
  <si>
    <t>0.00459 (0.00069)</t>
  </si>
  <si>
    <t>bacA</t>
  </si>
  <si>
    <t>prephenate decarboxylase</t>
  </si>
  <si>
    <t>0.03940 (0.08213)</t>
  </si>
  <si>
    <t>0.02533 (0.00901)</t>
  </si>
  <si>
    <t>0.11225 (0.03986)</t>
  </si>
  <si>
    <t>0.00423 (0.00173)</t>
  </si>
  <si>
    <t>spsA</t>
  </si>
  <si>
    <t>spore coat dTDP-glycosyltransferase</t>
  </si>
  <si>
    <t>0.12077 (0.12300)</t>
  </si>
  <si>
    <t>0.06314 (0.02687)</t>
  </si>
  <si>
    <t>0.03346 (0.00538)</t>
  </si>
  <si>
    <t>0.12672 (0.02167)</t>
  </si>
  <si>
    <t>0.01079 (0.00173)</t>
  </si>
  <si>
    <t>pdxK</t>
  </si>
  <si>
    <t>pyridoxine, pyridoxal, and pyridoxamine kinase</t>
  </si>
  <si>
    <t>0.02618 (0.00789)</t>
  </si>
  <si>
    <t>0.01359 (0.00000)</t>
  </si>
  <si>
    <t>0.03936 (0.00537)</t>
  </si>
  <si>
    <t>0.17760 (0.02692)</t>
  </si>
  <si>
    <t>0.00350 (0.00045)</t>
  </si>
  <si>
    <t>sacT</t>
  </si>
  <si>
    <t>transcriptional antiterminator of sacAPexpression</t>
  </si>
  <si>
    <t>0.07567 (0.06154)</t>
  </si>
  <si>
    <t>0.04740 (0.00000)</t>
  </si>
  <si>
    <t>0.02093 (0.00378)</t>
  </si>
  <si>
    <t>0.08470 (0.01586)</t>
  </si>
  <si>
    <t>0.00514 (0.00107)</t>
  </si>
  <si>
    <t>ywcI</t>
  </si>
  <si>
    <t>0.02056 (0.00380)</t>
  </si>
  <si>
    <t>0.09755 (0.01852)</t>
  </si>
  <si>
    <t>ywcE</t>
  </si>
  <si>
    <t>holin-like protein required for proper sporemorphogenesis and germination</t>
  </si>
  <si>
    <t>0.02452 (0.00434)</t>
  </si>
  <si>
    <t>0.11864 (0.02164)</t>
  </si>
  <si>
    <t>qoxD</t>
  </si>
  <si>
    <t>cytochrome aa3-600 quinol oxidase (subunit IV)</t>
  </si>
  <si>
    <t>0.12159 (0.00000)</t>
  </si>
  <si>
    <t>0.03136 (0.00687)</t>
  </si>
  <si>
    <t>0.11778 (0.02432)</t>
  </si>
  <si>
    <t>0.00935 (0.00220)</t>
  </si>
  <si>
    <t>qoxC</t>
  </si>
  <si>
    <t>cytochrome aa3-600 quinol oxidase (subunit III)</t>
  </si>
  <si>
    <t>0.04300 (0.06583)</t>
  </si>
  <si>
    <t>0.09802 (0.11196)</t>
  </si>
  <si>
    <t>0.01683 (0.00303)</t>
  </si>
  <si>
    <t>0.05984 (0.01014)</t>
  </si>
  <si>
    <t>0.00471 (0.00112)</t>
  </si>
  <si>
    <t>qoxB</t>
  </si>
  <si>
    <t>cytochrome aa3-600 quinol oxidase (subunit I)</t>
  </si>
  <si>
    <t>0.01592 (0.03012)</t>
  </si>
  <si>
    <t>0.02251 (0.02992)</t>
  </si>
  <si>
    <t>0.02686 (0.00519)</t>
  </si>
  <si>
    <t>0.12381 (0.02427)</t>
  </si>
  <si>
    <t>0.00252 (0.00060)</t>
  </si>
  <si>
    <t>qoxA</t>
  </si>
  <si>
    <t>cytochrome aa3-600 quinol oxidase (subunit II)</t>
  </si>
  <si>
    <t>0.03022 (0.05402)</t>
  </si>
  <si>
    <t>0.04368 (0.05735)</t>
  </si>
  <si>
    <t>0.02627 (0.00527)</t>
  </si>
  <si>
    <t>0.11210 (0.02242)</t>
  </si>
  <si>
    <t>0.00432 (0.00102)</t>
  </si>
  <si>
    <t>cidA</t>
  </si>
  <si>
    <t>metabolic regulator of murein hydrolases</t>
  </si>
  <si>
    <t>0.03389 (0.04371)</t>
  </si>
  <si>
    <t>0.06039 (0.00000)</t>
  </si>
  <si>
    <t>0.02257 (0.00401)</t>
  </si>
  <si>
    <t>0.08776 (0.01541)</t>
  </si>
  <si>
    <t>0.00400 (0.00070)</t>
  </si>
  <si>
    <t>cidB</t>
  </si>
  <si>
    <t>metabolic regulator controlling activity ofmurein hydrolases</t>
  </si>
  <si>
    <t>0.07339 (0.02495)</t>
  </si>
  <si>
    <t>0.02172 (0.02159)</t>
  </si>
  <si>
    <t>0.03378 (0.00328)</t>
  </si>
  <si>
    <t>0.12297 (0.01256)</t>
  </si>
  <si>
    <t>0.00527 (0.00096)</t>
  </si>
  <si>
    <t>sacY</t>
  </si>
  <si>
    <t>transcriptional antiterminator</t>
  </si>
  <si>
    <t>0.07507 (0.05157)</t>
  </si>
  <si>
    <t>0.04280 (0.02771)</t>
  </si>
  <si>
    <t>0.03583 (0.00535)</t>
  </si>
  <si>
    <t>0.16010 (0.02819)</t>
  </si>
  <si>
    <t>0.00819 (0.00112)</t>
  </si>
  <si>
    <t>relQ</t>
  </si>
  <si>
    <t>0.01456 (0.03476)</t>
  </si>
  <si>
    <t>0.02672 (0.00789)</t>
  </si>
  <si>
    <t>0.14286 (0.04304)</t>
  </si>
  <si>
    <t>0.00200 (0.00082)</t>
  </si>
  <si>
    <t>menA</t>
  </si>
  <si>
    <t>1,4-dihydroxy-2-naphthoateoctaprenyltransferase</t>
  </si>
  <si>
    <t>0.02336 (0.01878)</t>
  </si>
  <si>
    <t>0.05088 (0.02624)</t>
  </si>
  <si>
    <t>0.02905 (0.00300)</t>
  </si>
  <si>
    <t>0.11635 (0.01243)</t>
  </si>
  <si>
    <t>0.00426 (0.00070)</t>
  </si>
  <si>
    <t>dltB</t>
  </si>
  <si>
    <t>putative D-alanine transferase from DCP toundecaprenylphosphate for lipoteichoic acid and wallteichoic acid</t>
  </si>
  <si>
    <t>0.07258 (0.02756)</t>
  </si>
  <si>
    <t>0.00586 (0.00705)</t>
  </si>
  <si>
    <t>0.02768 (0.00563)</t>
  </si>
  <si>
    <t>0.13097 (0.02801)</t>
  </si>
  <si>
    <t>0.00197 (0.00030)</t>
  </si>
  <si>
    <t>dltC</t>
  </si>
  <si>
    <t>D-alanyl carrier protein</t>
  </si>
  <si>
    <t>dltE</t>
  </si>
  <si>
    <t>0.09466 (0.09947)</t>
  </si>
  <si>
    <t>0.03086 (0.00728)</t>
  </si>
  <si>
    <t>0.11421 (0.03103)</t>
  </si>
  <si>
    <t>0.00952 (0.00157)</t>
  </si>
  <si>
    <t>ilvK</t>
  </si>
  <si>
    <t>branched-chain amino acid aminotransferase</t>
  </si>
  <si>
    <t>0.04106 (0.01667)</t>
  </si>
  <si>
    <t>0.03319 (0.03276)</t>
  </si>
  <si>
    <t>0.02836 (0.00327)</t>
  </si>
  <si>
    <t>0.11711 (0.01406)</t>
  </si>
  <si>
    <t>0.00457 (0.00070)</t>
  </si>
  <si>
    <t>licA</t>
  </si>
  <si>
    <t>phosphotransferase system (PTS)lichenan-specific enzyme IIA component</t>
  </si>
  <si>
    <t>0.05321 (0.03991)</t>
  </si>
  <si>
    <t>0.03182 (0.00900)</t>
  </si>
  <si>
    <t>0.14683 (0.04797)</t>
  </si>
  <si>
    <t>0.00767 (0.00128)</t>
  </si>
  <si>
    <t>licB</t>
  </si>
  <si>
    <t>phosphotransferase system (PTS)lichenan-specific enzyme IIB component</t>
  </si>
  <si>
    <t>0.02196 (0.02972)</t>
  </si>
  <si>
    <t>0.03072 (0.00549)</t>
  </si>
  <si>
    <t>0.14380 (0.02607)</t>
  </si>
  <si>
    <t>0.00171 (0.00066)</t>
  </si>
  <si>
    <t>yxzF</t>
  </si>
  <si>
    <t>yxlE</t>
  </si>
  <si>
    <t>negative regulator of sigma-Y activity</t>
  </si>
  <si>
    <t>0.08604 (0.08813)</t>
  </si>
  <si>
    <t>0.02867 (0.00502)</t>
  </si>
  <si>
    <t>0.12063 (0.02559)</t>
  </si>
  <si>
    <t>0.00688 (0.00163)</t>
  </si>
  <si>
    <t>cydB</t>
  </si>
  <si>
    <t>cytochrome bb' ubiquinol oxidase (subunit II)</t>
  </si>
  <si>
    <t>0.01919 (0.01576)</t>
  </si>
  <si>
    <t>0.03786 (0.02205)</t>
  </si>
  <si>
    <t>0.03166 (0.00474)</t>
  </si>
  <si>
    <t>0.13360 (0.02046)</t>
  </si>
  <si>
    <t>0.00390 (0.00078)</t>
  </si>
  <si>
    <t>cydA</t>
  </si>
  <si>
    <t>cytochrome bb' ubiquinol oxidase (subunit I)</t>
  </si>
  <si>
    <t>0.02232 (0.03114)</t>
  </si>
  <si>
    <t>0.03395 (0.00598)</t>
  </si>
  <si>
    <t>0.15978 (0.02861)</t>
  </si>
  <si>
    <t>0.00322 (0.00108)</t>
  </si>
  <si>
    <t>yxkC</t>
  </si>
  <si>
    <t>0.01969 (0.02689)</t>
  </si>
  <si>
    <t>0.03667 (0.00000)</t>
  </si>
  <si>
    <t>0.02545 (0.00447)</t>
  </si>
  <si>
    <t>0.10808 (0.01949)</t>
  </si>
  <si>
    <t>0.00284 (0.00049)</t>
  </si>
  <si>
    <t>yxjG</t>
  </si>
  <si>
    <t>putative methyltetrahydrofolatemethyltransferase (biofilm formation)</t>
  </si>
  <si>
    <t>0.06871 (0.00490)</t>
  </si>
  <si>
    <t>0.02653 (0.01443)</t>
  </si>
  <si>
    <t>0.03801 (0.00520)</t>
  </si>
  <si>
    <t>0.16721 (0.02616)</t>
  </si>
  <si>
    <t>0.00685 (0.00058)</t>
  </si>
  <si>
    <t>nupG</t>
  </si>
  <si>
    <t>purine nucleoside transporter</t>
  </si>
  <si>
    <t>0.01401 (0.01707)</t>
  </si>
  <si>
    <t>0.05091 (0.00000)</t>
  </si>
  <si>
    <t>0.02995 (0.00685)</t>
  </si>
  <si>
    <t>0.13484 (0.03393)</t>
  </si>
  <si>
    <t>0.00220 (0.00026)</t>
  </si>
  <si>
    <t>yxzJ</t>
  </si>
  <si>
    <t>0.39797 (0.27092)</t>
  </si>
  <si>
    <t>0.48529 (0.34315)</t>
  </si>
  <si>
    <t>0.03876 (0.00452)</t>
  </si>
  <si>
    <t>0.07530 (0.01493)</t>
  </si>
  <si>
    <t>0.03167 (0.00310)</t>
  </si>
  <si>
    <t>wapA</t>
  </si>
  <si>
    <t>cell wall-associated tRNA nuclease precursor;intercellular growth inhibitor</t>
  </si>
  <si>
    <t>0.05584 (0.01612)</t>
  </si>
  <si>
    <t>0.02314 (0.00000)</t>
  </si>
  <si>
    <t>0.04015 (0.00462)</t>
  </si>
  <si>
    <t>0.16519 (0.02048)</t>
  </si>
  <si>
    <t>0.00839 (0.00112)</t>
  </si>
  <si>
    <t>bglH</t>
  </si>
  <si>
    <t>aryl-phospho-beta-d-glucosidase</t>
  </si>
  <si>
    <t>0.05210 (0.03006)</t>
  </si>
  <si>
    <t>0.04916 (0.00000)</t>
  </si>
  <si>
    <t>0.02932 (0.00422)</t>
  </si>
  <si>
    <t>0.12058 (0.01792)</t>
  </si>
  <si>
    <t>0.00599 (0.00094)</t>
  </si>
  <si>
    <t>yxiC</t>
  </si>
  <si>
    <t>yxiB</t>
  </si>
  <si>
    <t>0.11334 (0.09072)</t>
  </si>
  <si>
    <t>0.11393 (0.00000)</t>
  </si>
  <si>
    <t>0.01377 (0.00251)</t>
  </si>
  <si>
    <t>0.05091 (0.01093)</t>
  </si>
  <si>
    <t>0.00568 (0.00104)</t>
  </si>
  <si>
    <t>hutP</t>
  </si>
  <si>
    <t>0.03003 (0.00471)</t>
  </si>
  <si>
    <t>0.13391 (0.02245)</t>
  </si>
  <si>
    <t>hutU</t>
  </si>
  <si>
    <t>urocanase</t>
  </si>
  <si>
    <t>0.03135 (0.04465)</t>
  </si>
  <si>
    <t>0.03341 (0.00000)</t>
  </si>
  <si>
    <t>0.03080 (0.00715)</t>
  </si>
  <si>
    <t>0.13238 (0.03202)</t>
  </si>
  <si>
    <t>0.00422 (0.00112)</t>
  </si>
  <si>
    <t>yxeO</t>
  </si>
  <si>
    <t>putative ABC transporter (ATP-binding protein)</t>
  </si>
  <si>
    <t>0.03635 (0.01180)</t>
  </si>
  <si>
    <t>0.05809 (0.05644)</t>
  </si>
  <si>
    <t>0.03280 (0.00435)</t>
  </si>
  <si>
    <t>0.13544 (0.01873)</t>
  </si>
  <si>
    <t>0.00595 (0.00090)</t>
  </si>
  <si>
    <t>yxeN</t>
  </si>
  <si>
    <t>0.03089 (0.01228)</t>
  </si>
  <si>
    <t>0.04082 (0.03969)</t>
  </si>
  <si>
    <t>0.03988 (0.00392)</t>
  </si>
  <si>
    <t>0.16634 (0.01680)</t>
  </si>
  <si>
    <t>0.00552 (0.00096)</t>
  </si>
  <si>
    <t>hadM</t>
  </si>
  <si>
    <t>sugar-phosphate hydrolase (promiscuous)</t>
  </si>
  <si>
    <t>0.04437 (0.01130)</t>
  </si>
  <si>
    <t>0.09497 (0.06092)</t>
  </si>
  <si>
    <t>0.03753 (0.00422)</t>
  </si>
  <si>
    <t>0.14886 (0.01697)</t>
  </si>
  <si>
    <t>0.00904 (0.00140)</t>
  </si>
  <si>
    <t>cotNE</t>
  </si>
  <si>
    <t>inner spore coat protein</t>
  </si>
  <si>
    <t>yxeD</t>
  </si>
  <si>
    <t>0.11167 (0.03307)</t>
  </si>
  <si>
    <t>0.01875 (0.02248)</t>
  </si>
  <si>
    <t>0.03419 (0.00492)</t>
  </si>
  <si>
    <t>0.17446 (0.03157)</t>
  </si>
  <si>
    <t>0.00774 (0.00067)</t>
  </si>
  <si>
    <t>yxeC</t>
  </si>
  <si>
    <t>putative integral membrane protein of unknownfunction</t>
  </si>
  <si>
    <t>0.03658 (0.08714)</t>
  </si>
  <si>
    <t>0.02020 (0.00413)</t>
  </si>
  <si>
    <t>0.09331 (0.01825)</t>
  </si>
  <si>
    <t>0.00257 (0.00100)</t>
  </si>
  <si>
    <t>frxB</t>
  </si>
  <si>
    <t>desferrioxamine-and ferrichrome-bindingtransporter lipoprotein (shuttle system)</t>
  </si>
  <si>
    <t>0.07251 (0.06743)</t>
  </si>
  <si>
    <t>0.02483 (0.00631)</t>
  </si>
  <si>
    <t>0.10219 (0.02754)</t>
  </si>
  <si>
    <t>0.00602 (0.00144)</t>
  </si>
  <si>
    <t>yxeA</t>
  </si>
  <si>
    <t>0.19724 (0.15388)</t>
  </si>
  <si>
    <t>0.06766 (0.00000)</t>
  </si>
  <si>
    <t>0.02029 (0.00225)</t>
  </si>
  <si>
    <t>0.06432 (0.01053)</t>
  </si>
  <si>
    <t>0.00897 (0.00132)</t>
  </si>
  <si>
    <t>tpeM</t>
  </si>
  <si>
    <t>ABC transporter (permease); efflux of cationicpeptides</t>
  </si>
  <si>
    <t>0.10931 (0.05953)</t>
  </si>
  <si>
    <t>0.13354 (0.06396)</t>
  </si>
  <si>
    <t>0.02947 (0.00404)</t>
  </si>
  <si>
    <t>0.09816 (0.01329)</t>
  </si>
  <si>
    <t>0.01087 (0.00186)</t>
  </si>
  <si>
    <t>tpeL</t>
  </si>
  <si>
    <t>ABC transporter (ATP-binding protein); efflux ofcationic peptides</t>
  </si>
  <si>
    <t>0.02499 (0.01462)</t>
  </si>
  <si>
    <t>0.21517 (0.00000)</t>
  </si>
  <si>
    <t>0.02551 (0.00293)</t>
  </si>
  <si>
    <t>0.08999 (0.00818)</t>
  </si>
  <si>
    <t>0.00740 (0.00169)</t>
  </si>
  <si>
    <t>tpeK</t>
  </si>
  <si>
    <t>two-component sensor histidine kinase [YxdJ]</t>
  </si>
  <si>
    <t>0.11963 (0.06919)</t>
  </si>
  <si>
    <t>0.15236 (0.00000)</t>
  </si>
  <si>
    <t>0.02000 (0.00299)</t>
  </si>
  <si>
    <t>0.06348 (0.00970)</t>
  </si>
  <si>
    <t>0.00764 (0.00134)</t>
  </si>
  <si>
    <t>tpeJ</t>
  </si>
  <si>
    <t>two-component response regulator [TpeK(YxdK)]</t>
  </si>
  <si>
    <t>0.05920 (0.12132)</t>
  </si>
  <si>
    <t>0.02135 (0.00754)</t>
  </si>
  <si>
    <t>0.08540 (0.02967)</t>
  </si>
  <si>
    <t>0.00475 (0.00194)</t>
  </si>
  <si>
    <t>iolJ</t>
  </si>
  <si>
    <t>2-deoxy-5-keto-D-gluconic acid 6-phosphatealdolase</t>
  </si>
  <si>
    <t>0.12347 (0.22411)</t>
  </si>
  <si>
    <t>0.08348 (0.01606)</t>
  </si>
  <si>
    <t>0.02483 (0.00420)</t>
  </si>
  <si>
    <t>0.08750 (0.01369)</t>
  </si>
  <si>
    <t>0.00798 (0.00196)</t>
  </si>
  <si>
    <t>iolI</t>
  </si>
  <si>
    <t>inosose isomerase</t>
  </si>
  <si>
    <t>0.03764 (0.02358)</t>
  </si>
  <si>
    <t>0.06830 (0.00000)</t>
  </si>
  <si>
    <t>0.02978 (0.00516)</t>
  </si>
  <si>
    <t>0.13213 (0.02619)</t>
  </si>
  <si>
    <t>0.00512 (0.00059)</t>
  </si>
  <si>
    <t>iolH</t>
  </si>
  <si>
    <t>putative sugar-phosphate epimerase/isomerase</t>
  </si>
  <si>
    <t>0.01302 (0.00492)</t>
  </si>
  <si>
    <t>0.01318 (0.01022)</t>
  </si>
  <si>
    <t>0.04002 (0.00354)</t>
  </si>
  <si>
    <t>0.20084 (0.01975)</t>
  </si>
  <si>
    <t>0.00324 (0.00050)</t>
  </si>
  <si>
    <t>iolC</t>
  </si>
  <si>
    <t>2-deoxy-5-keto-D-gluconic acid kinase</t>
  </si>
  <si>
    <t>0.04818 (0.01082)</t>
  </si>
  <si>
    <t>0.07946 (0.02676)</t>
  </si>
  <si>
    <t>0.03395 (0.00340)</t>
  </si>
  <si>
    <t>0.13274 (0.01438)</t>
  </si>
  <si>
    <t>0.00754 (0.00090)</t>
  </si>
  <si>
    <t>iolR</t>
  </si>
  <si>
    <t>transcriptional regulator of the iol operon(DeoR family)</t>
  </si>
  <si>
    <t>0.02223 (0.05124)</t>
  </si>
  <si>
    <t>0.02722 (0.00791)</t>
  </si>
  <si>
    <t>0.12589 (0.03690)</t>
  </si>
  <si>
    <t>0.00259 (0.00106)</t>
  </si>
  <si>
    <t>iolS</t>
  </si>
  <si>
    <t>0.02187 (0.02873)</t>
  </si>
  <si>
    <t>0.02769 (0.00705)</t>
  </si>
  <si>
    <t>0.12945 (0.03448)</t>
  </si>
  <si>
    <t>0.00278 (0.00080)</t>
  </si>
  <si>
    <t>qdoR</t>
  </si>
  <si>
    <t>transcriptional regulator of qdoI</t>
  </si>
  <si>
    <t>0.12293 (0.07711)</t>
  </si>
  <si>
    <t>0.18558 (0.21213)</t>
  </si>
  <si>
    <t>0.03106 (0.00478)</t>
  </si>
  <si>
    <t>0.09644 (0.01456)</t>
  </si>
  <si>
    <t>0.01456 (0.00259)</t>
  </si>
  <si>
    <t>yxaD</t>
  </si>
  <si>
    <t>0.02772 (0.01766)</t>
  </si>
  <si>
    <t>0.10305 (0.00000)</t>
  </si>
  <si>
    <t>0.04186 (0.00589)</t>
  </si>
  <si>
    <t>0.17606 (0.02389)</t>
  </si>
  <si>
    <t>0.00915 (0.00114)</t>
  </si>
  <si>
    <t>ahpC</t>
  </si>
  <si>
    <t>alkyl hydroperoxide reductase (small subunit)</t>
  </si>
  <si>
    <t>0.05156 (0.04521)</t>
  </si>
  <si>
    <t>0.14004 (0.15579)</t>
  </si>
  <si>
    <t>0.02139 (0.00363)</t>
  </si>
  <si>
    <t>0.07457 (0.01180)</t>
  </si>
  <si>
    <t>0.00740 (0.00166)</t>
  </si>
  <si>
    <t>ahpF</t>
  </si>
  <si>
    <t>alkyl hydroperoxide reductase (large subunit)</t>
  </si>
  <si>
    <t>0.04768 (0.03813)</t>
  </si>
  <si>
    <t>0.02429 (0.02410)</t>
  </si>
  <si>
    <t>0.03406 (0.00486)</t>
  </si>
  <si>
    <t>0.14458 (0.02085)</t>
  </si>
  <si>
    <t>0.00520 (0.00108)</t>
  </si>
  <si>
    <t>fbp</t>
  </si>
  <si>
    <t>fructose-1,6-bisphosphatase</t>
  </si>
  <si>
    <t>0.01248 (0.00460)</t>
  </si>
  <si>
    <t>0.05401 (0.00463)</t>
  </si>
  <si>
    <t>0.04009 (0.00209)</t>
  </si>
  <si>
    <t>0.18850 (0.00983)</t>
  </si>
  <si>
    <t>0.00409 (0.00063)</t>
  </si>
  <si>
    <t>rlmH</t>
  </si>
  <si>
    <t>23S rRNA(pseudouridine1915-N3)-methyltransferase</t>
  </si>
  <si>
    <t>0.01079 (0.01628)</t>
  </si>
  <si>
    <t>0.09573 (0.00000)</t>
  </si>
  <si>
    <t>0.03059 (0.00184)</t>
  </si>
  <si>
    <t>0.13640 (0.00946)</t>
  </si>
  <si>
    <t>0.00319 (0.00055)</t>
  </si>
  <si>
    <t>yyzF</t>
  </si>
  <si>
    <t>0.06488 (0.05803)</t>
  </si>
  <si>
    <t>0.01885 (0.00474)</t>
  </si>
  <si>
    <t>0.07982 (0.01906)</t>
  </si>
  <si>
    <t>0.00380 (0.00155)</t>
  </si>
  <si>
    <t>walJ</t>
  </si>
  <si>
    <t>putative hydrolase</t>
  </si>
  <si>
    <t>walK</t>
  </si>
  <si>
    <t>two-component sensor histidine kinase [YycG]</t>
  </si>
  <si>
    <t>0.01662 (0.03539)</t>
  </si>
  <si>
    <t>0.02682 (0.00755)</t>
  </si>
  <si>
    <t>0.12857 (0.03676)</t>
  </si>
  <si>
    <t>0.00211 (0.00086)</t>
  </si>
  <si>
    <t>walR</t>
  </si>
  <si>
    <t>two-component response regulator [YycF]</t>
  </si>
  <si>
    <t>0.02468 (0.00384)</t>
  </si>
  <si>
    <t>0.12140 (0.01946)</t>
  </si>
  <si>
    <t>purA</t>
  </si>
  <si>
    <t>adenylosuccinate synthetase</t>
  </si>
  <si>
    <t>0.02389 (0.01410)</t>
  </si>
  <si>
    <t>0.02624 (0.03513)</t>
  </si>
  <si>
    <t>0.03000 (0.00536)</t>
  </si>
  <si>
    <t>0.12786 (0.02354)</t>
  </si>
  <si>
    <t>0.00308 (0.00056)</t>
  </si>
  <si>
    <t>dnaC</t>
  </si>
  <si>
    <t>replicative DNA helicase</t>
  </si>
  <si>
    <t>0.02007 (0.01138)</t>
  </si>
  <si>
    <t>0.00521 (0.00642)</t>
  </si>
  <si>
    <t>0.03142 (0.00577)</t>
  </si>
  <si>
    <t>0.14784 (0.02855)</t>
  </si>
  <si>
    <t>0.00134 (0.00024)</t>
  </si>
  <si>
    <t>yycC</t>
  </si>
  <si>
    <t>rplI</t>
  </si>
  <si>
    <t>ribosomal protein L9</t>
  </si>
  <si>
    <t>0.01440 (0.03299)</t>
  </si>
  <si>
    <t>0.02740 (0.00653)</t>
  </si>
  <si>
    <t>0.13471 (0.03295)</t>
  </si>
  <si>
    <t>0.00145 (0.00059)</t>
  </si>
  <si>
    <t>gdpP</t>
  </si>
  <si>
    <t>phosphodiesterase acting on cyclicdinucleotides</t>
  </si>
  <si>
    <t>0.01310 (0.02574)</t>
  </si>
  <si>
    <t>0.02168 (0.02662)</t>
  </si>
  <si>
    <t>0.03005 (0.00563)</t>
  </si>
  <si>
    <t>0.13503 (0.02576)</t>
  </si>
  <si>
    <t>yybS</t>
  </si>
  <si>
    <t>0.22158 (0.11304)</t>
  </si>
  <si>
    <t>0.18065 (0.23356)</t>
  </si>
  <si>
    <t>0.03269 (0.00597)</t>
  </si>
  <si>
    <t>0.09025 (0.01747)</t>
  </si>
  <si>
    <t>0.01746 (0.00311)</t>
  </si>
  <si>
    <t>yyzH</t>
  </si>
  <si>
    <t>ppaC</t>
  </si>
  <si>
    <t>inorganic pyrophosphatase (Mn2+-dependent)</t>
  </si>
  <si>
    <t>0.01689 (0.04348)</t>
  </si>
  <si>
    <t>0.02715 (0.00904)</t>
  </si>
  <si>
    <t>0.12971 (0.04378)</t>
  </si>
  <si>
    <t>0.00210 (0.00086)</t>
  </si>
  <si>
    <t>rpsR</t>
  </si>
  <si>
    <t>ribosomal protein S18</t>
  </si>
  <si>
    <t>0.01055 (0.00165)</t>
  </si>
  <si>
    <t>0.04381 (0.00702)</t>
  </si>
  <si>
    <t>ssbA</t>
  </si>
  <si>
    <t>0.04825 (0.06045)</t>
  </si>
  <si>
    <t>0.00937 (0.00154)</t>
  </si>
  <si>
    <t>0.03815 (0.00580)</t>
  </si>
  <si>
    <t>rpsF</t>
  </si>
  <si>
    <t>ribosomal protein S6 (BS9)</t>
  </si>
  <si>
    <t>yyzM</t>
  </si>
  <si>
    <t>parB</t>
  </si>
  <si>
    <t>site-specific DNA-binding protein</t>
  </si>
  <si>
    <t>0.04440 (0.04606)</t>
  </si>
  <si>
    <t>0.03025 (0.00757)</t>
  </si>
  <si>
    <t>0.13018 (0.03583)</t>
  </si>
  <si>
    <t>0.00540 (0.00095)</t>
  </si>
  <si>
    <t>parA</t>
  </si>
  <si>
    <t>chromosome partitioning protein; transcriptionalregulator</t>
  </si>
  <si>
    <t>nocA</t>
  </si>
  <si>
    <t>DNA-binding protein Spo0J-like</t>
  </si>
  <si>
    <t>0.02805 (0.05145)</t>
  </si>
  <si>
    <t>0.02383 (0.03098)</t>
  </si>
  <si>
    <t>0.02214 (0.00429)</t>
  </si>
  <si>
    <t>0.10086 (0.02013)</t>
  </si>
  <si>
    <t>0.00242 (0.00042)</t>
  </si>
  <si>
    <t>rsmG</t>
  </si>
  <si>
    <t>7-methylguanosine methyltransferase (16S rRNA,nucleotide G527)</t>
  </si>
  <si>
    <t>0.03611 (0.03294)</t>
  </si>
  <si>
    <t>0.04403 (0.01982)</t>
  </si>
  <si>
    <t>0.03835 (0.00570)</t>
  </si>
  <si>
    <t>0.16823 (0.02731)</t>
  </si>
  <si>
    <t>0.00636 (0.00094)</t>
  </si>
  <si>
    <t>trmF</t>
  </si>
  <si>
    <t>tRNA uridine 5-carboxymethylaminomethylmodification enzyme</t>
  </si>
  <si>
    <t>0.02025 (0.02235)</t>
  </si>
  <si>
    <t>0.03009 (0.00431)</t>
  </si>
  <si>
    <t>0.13476 (0.02014)</t>
  </si>
  <si>
    <t>0.00133 (0.00030)</t>
  </si>
  <si>
    <t>mnmE</t>
  </si>
  <si>
    <t>tRNA modification GTPase and tRNA-U345-formylation enzyme</t>
  </si>
  <si>
    <t>0.03039 (0.03137)</t>
  </si>
  <si>
    <t>0.01949 (0.02330)</t>
  </si>
  <si>
    <t>0.03094 (0.00463)</t>
  </si>
  <si>
    <t>0.13449 (0.02168)</t>
  </si>
  <si>
    <t>0.00324 (0.00059)</t>
  </si>
  <si>
    <t>oxaAA</t>
  </si>
  <si>
    <t>Sec-independent factor for membrane protein</t>
  </si>
  <si>
    <t>0.04133 (0.07908)</t>
  </si>
  <si>
    <t>0.03245 (0.00933)</t>
  </si>
  <si>
    <t>0.02095 (0.00321)</t>
  </si>
  <si>
    <t>0.09582 (0.01579)</t>
  </si>
  <si>
    <t>0.00260 (0.00041)</t>
  </si>
  <si>
    <t>rnpA</t>
  </si>
  <si>
    <t>protein component of ribonuclease P (RNase P)(substrate specificity)</t>
  </si>
  <si>
    <t>0.18346 (0.12400)</t>
  </si>
  <si>
    <t>0.02538 (0.00531)</t>
  </si>
  <si>
    <t>0.11422 (0.02750)</t>
  </si>
  <si>
    <t>0.00369 (0.00062)</t>
  </si>
  <si>
    <t>rpmH</t>
  </si>
  <si>
    <t>ribosomal protein L34</t>
  </si>
  <si>
    <t>Convergent</t>
  </si>
  <si>
    <t>Parallel</t>
  </si>
  <si>
    <t>Coincidental</t>
  </si>
  <si>
    <t>Gene</t>
  </si>
  <si>
    <t>Orientation</t>
  </si>
  <si>
    <t>Start</t>
  </si>
  <si>
    <t>End</t>
  </si>
  <si>
    <t>HO</t>
  </si>
  <si>
    <t>CD</t>
  </si>
  <si>
    <t>All HO Genes</t>
  </si>
  <si>
    <t>200 AA+ HO</t>
  </si>
  <si>
    <t>All CD Genes</t>
  </si>
  <si>
    <t>200 AA+ CD</t>
  </si>
  <si>
    <t>Nonsyn</t>
  </si>
  <si>
    <t>HSmut</t>
  </si>
  <si>
    <t>Length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</si>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</sst>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5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62"/>
  <sheetViews>
    <sheetView topLeftCell="A1025" workbookViewId="0">
      <selection activeCell="A848" sqref="A848:XFD1062"/>
    </sheetView>
  </sheetViews>
  <sheetFormatPr baseColWidth="10" defaultColWidth="8.83203125" defaultRowHeight="15"/>
  <cols>
    <col min="10" max="10" width="45.5" customWidth="1"/>
  </cols>
  <sheetData>
    <row r="1" spans="1:57">
      <c r="E1" t="s">
        <v>0</v>
      </c>
      <c r="N1" t="s">
        <v>1</v>
      </c>
      <c r="X1" t="s">
        <v>2</v>
      </c>
      <c r="AL1" t="s">
        <v>3</v>
      </c>
      <c r="AV1" t="s">
        <v>4</v>
      </c>
    </row>
    <row r="2" spans="1:57">
      <c r="A2" t="s">
        <v>5754</v>
      </c>
      <c r="B2" t="s">
        <v>5755</v>
      </c>
      <c r="C2" t="s">
        <v>5756</v>
      </c>
      <c r="D2" t="s">
        <v>5</v>
      </c>
      <c r="E2" t="s">
        <v>6</v>
      </c>
      <c r="F2" t="s">
        <v>5758</v>
      </c>
      <c r="G2" t="s">
        <v>7</v>
      </c>
      <c r="H2" t="s">
        <v>5759</v>
      </c>
      <c r="I2" t="s">
        <v>5760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</row>
    <row r="3" spans="1:57">
      <c r="A3">
        <v>0</v>
      </c>
      <c r="B3">
        <v>2</v>
      </c>
      <c r="C3">
        <v>0</v>
      </c>
      <c r="D3">
        <v>1957</v>
      </c>
      <c r="E3" t="s">
        <v>2833</v>
      </c>
      <c r="F3" t="s">
        <v>5762</v>
      </c>
      <c r="G3" t="s">
        <v>62</v>
      </c>
      <c r="H3">
        <v>2054602</v>
      </c>
      <c r="I3">
        <v>2055240</v>
      </c>
      <c r="J3" t="s">
        <v>2834</v>
      </c>
      <c r="K3">
        <v>213</v>
      </c>
      <c r="L3" t="s">
        <v>83</v>
      </c>
      <c r="M3">
        <v>4</v>
      </c>
      <c r="N3" t="str">
        <f>HYPERLINK("Gene1957-zp_tree_all.dnd", "Gene1957-tree")</f>
        <v>Gene1957-tree</v>
      </c>
      <c r="O3">
        <v>1</v>
      </c>
      <c r="P3">
        <v>3</v>
      </c>
      <c r="Q3">
        <v>1</v>
      </c>
      <c r="R3">
        <v>3</v>
      </c>
      <c r="S3">
        <v>0.75</v>
      </c>
      <c r="T3" t="s">
        <v>61</v>
      </c>
      <c r="U3" t="s">
        <v>84</v>
      </c>
      <c r="V3" t="s">
        <v>62</v>
      </c>
      <c r="W3" t="s">
        <v>62</v>
      </c>
      <c r="X3">
        <v>1</v>
      </c>
      <c r="Y3">
        <v>2</v>
      </c>
      <c r="Z3">
        <v>6</v>
      </c>
      <c r="AA3">
        <v>0.25</v>
      </c>
      <c r="AB3">
        <v>0</v>
      </c>
      <c r="AC3">
        <v>0</v>
      </c>
      <c r="AD3">
        <v>0</v>
      </c>
      <c r="AE3">
        <v>0</v>
      </c>
      <c r="AF3">
        <v>0</v>
      </c>
      <c r="AG3">
        <v>2</v>
      </c>
      <c r="AH3">
        <v>0</v>
      </c>
      <c r="AI3">
        <v>2</v>
      </c>
      <c r="AJ3">
        <v>6</v>
      </c>
      <c r="AK3">
        <v>0.25</v>
      </c>
      <c r="AL3">
        <v>4</v>
      </c>
      <c r="AM3">
        <v>1</v>
      </c>
      <c r="AN3">
        <v>25</v>
      </c>
      <c r="AO3">
        <v>8</v>
      </c>
      <c r="AP3">
        <v>7</v>
      </c>
      <c r="AQ3">
        <v>1</v>
      </c>
      <c r="AR3" t="s">
        <v>2835</v>
      </c>
      <c r="AS3" t="s">
        <v>2836</v>
      </c>
      <c r="AT3">
        <v>1.1859999999999999</v>
      </c>
      <c r="AU3" t="s">
        <v>65</v>
      </c>
      <c r="AV3">
        <v>32</v>
      </c>
      <c r="AW3">
        <v>9</v>
      </c>
      <c r="AX3" t="s">
        <v>2837</v>
      </c>
      <c r="AY3" t="s">
        <v>2838</v>
      </c>
      <c r="AZ3" t="s">
        <v>2839</v>
      </c>
      <c r="BA3">
        <v>7.8640000000000002E-2</v>
      </c>
      <c r="BB3">
        <v>1</v>
      </c>
      <c r="BC3" t="s">
        <v>69</v>
      </c>
      <c r="BD3">
        <v>0.28000000000000003</v>
      </c>
      <c r="BE3">
        <v>-0.248</v>
      </c>
    </row>
    <row r="4" spans="1:57">
      <c r="A4">
        <v>0</v>
      </c>
      <c r="B4">
        <v>0</v>
      </c>
      <c r="C4">
        <v>0</v>
      </c>
      <c r="D4">
        <v>2002</v>
      </c>
      <c r="E4" t="s">
        <v>2847</v>
      </c>
      <c r="F4" t="s">
        <v>5762</v>
      </c>
      <c r="G4" t="s">
        <v>62</v>
      </c>
      <c r="H4">
        <v>2096353</v>
      </c>
      <c r="I4">
        <v>2096976</v>
      </c>
      <c r="J4" t="s">
        <v>2848</v>
      </c>
      <c r="K4">
        <v>208</v>
      </c>
      <c r="L4" t="s">
        <v>59</v>
      </c>
      <c r="M4">
        <v>5</v>
      </c>
      <c r="N4" t="str">
        <f>HYPERLINK("Gene2002-zp_tree_all.dnd", "Gene2002-tree")</f>
        <v>Gene2002-tree</v>
      </c>
    </row>
    <row r="5" spans="1:57">
      <c r="A5">
        <v>0</v>
      </c>
      <c r="B5">
        <v>0</v>
      </c>
      <c r="C5">
        <v>0</v>
      </c>
      <c r="D5">
        <v>2009</v>
      </c>
      <c r="E5" t="s">
        <v>2849</v>
      </c>
      <c r="F5" t="s">
        <v>5762</v>
      </c>
      <c r="G5" t="s">
        <v>62</v>
      </c>
      <c r="H5">
        <v>2099449</v>
      </c>
      <c r="I5">
        <v>2099790</v>
      </c>
      <c r="J5" t="s">
        <v>2850</v>
      </c>
      <c r="K5">
        <v>114</v>
      </c>
      <c r="L5" t="s">
        <v>59</v>
      </c>
      <c r="M5">
        <v>5</v>
      </c>
      <c r="N5" t="str">
        <f>HYPERLINK("Gene2009-zp_tree_all.dnd", "Gene2009-tree")</f>
        <v>Gene2009-tree</v>
      </c>
      <c r="O5">
        <v>5</v>
      </c>
      <c r="P5">
        <v>0</v>
      </c>
      <c r="Q5">
        <v>5</v>
      </c>
      <c r="R5">
        <v>0</v>
      </c>
      <c r="S5">
        <v>0</v>
      </c>
      <c r="T5" t="s">
        <v>98</v>
      </c>
      <c r="U5" t="s">
        <v>62</v>
      </c>
      <c r="V5" t="s">
        <v>62</v>
      </c>
      <c r="W5" t="s">
        <v>62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3</v>
      </c>
      <c r="AM5">
        <v>1</v>
      </c>
      <c r="AN5">
        <v>5</v>
      </c>
      <c r="AO5">
        <v>0</v>
      </c>
      <c r="AP5">
        <v>9</v>
      </c>
      <c r="AQ5">
        <v>0</v>
      </c>
      <c r="AR5" t="s">
        <v>64</v>
      </c>
      <c r="AS5" t="s">
        <v>64</v>
      </c>
      <c r="AT5">
        <v>0</v>
      </c>
      <c r="AU5" t="s">
        <v>65</v>
      </c>
      <c r="AV5">
        <v>14</v>
      </c>
      <c r="AW5">
        <v>0</v>
      </c>
      <c r="AX5" t="s">
        <v>2851</v>
      </c>
      <c r="AY5" t="s">
        <v>2852</v>
      </c>
      <c r="AZ5" t="s">
        <v>64</v>
      </c>
      <c r="BA5">
        <v>0</v>
      </c>
      <c r="BB5">
        <v>1</v>
      </c>
      <c r="BC5" t="s">
        <v>69</v>
      </c>
      <c r="BD5">
        <v>0.73799999999999999</v>
      </c>
      <c r="BE5">
        <v>0.73799999999999999</v>
      </c>
    </row>
    <row r="6" spans="1:57">
      <c r="A6">
        <v>0</v>
      </c>
      <c r="B6">
        <v>0</v>
      </c>
      <c r="C6">
        <v>0</v>
      </c>
      <c r="D6">
        <v>2017</v>
      </c>
      <c r="E6" t="s">
        <v>2853</v>
      </c>
      <c r="F6" t="s">
        <v>5762</v>
      </c>
      <c r="G6" t="s">
        <v>62</v>
      </c>
      <c r="H6">
        <v>2108777</v>
      </c>
      <c r="I6">
        <v>2111608</v>
      </c>
      <c r="J6" t="s">
        <v>2854</v>
      </c>
      <c r="K6">
        <v>944</v>
      </c>
      <c r="L6" t="s">
        <v>112</v>
      </c>
      <c r="M6">
        <v>4</v>
      </c>
      <c r="N6" t="str">
        <f>HYPERLINK("Gene2017-zp_tree_all.dnd", "Gene2017-tree")</f>
        <v>Gene2017-tree</v>
      </c>
    </row>
    <row r="7" spans="1:57">
      <c r="A7">
        <v>0</v>
      </c>
      <c r="B7">
        <v>0</v>
      </c>
      <c r="C7">
        <v>0</v>
      </c>
      <c r="D7">
        <v>2026</v>
      </c>
      <c r="E7" t="s">
        <v>2855</v>
      </c>
      <c r="F7" t="s">
        <v>5762</v>
      </c>
      <c r="G7" t="s">
        <v>62</v>
      </c>
      <c r="H7">
        <v>2121644</v>
      </c>
      <c r="I7">
        <v>2122306</v>
      </c>
      <c r="J7" t="s">
        <v>2856</v>
      </c>
      <c r="K7">
        <v>221</v>
      </c>
      <c r="L7" t="s">
        <v>59</v>
      </c>
      <c r="M7">
        <v>5</v>
      </c>
      <c r="N7" t="str">
        <f>HYPERLINK("Gene2026-zp_tree_all.dnd", "Gene2026-tree")</f>
        <v>Gene2026-tree</v>
      </c>
      <c r="O7">
        <v>5</v>
      </c>
      <c r="P7">
        <v>0</v>
      </c>
      <c r="Q7">
        <v>5</v>
      </c>
      <c r="R7">
        <v>0</v>
      </c>
      <c r="S7">
        <v>0</v>
      </c>
      <c r="T7" t="s">
        <v>98</v>
      </c>
      <c r="U7" t="s">
        <v>62</v>
      </c>
      <c r="V7" t="s">
        <v>62</v>
      </c>
      <c r="W7" t="s">
        <v>62</v>
      </c>
      <c r="X7">
        <v>0</v>
      </c>
      <c r="Y7">
        <v>0</v>
      </c>
      <c r="Z7">
        <v>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5</v>
      </c>
      <c r="AM7">
        <v>2</v>
      </c>
      <c r="AN7">
        <v>22</v>
      </c>
      <c r="AO7">
        <v>0</v>
      </c>
      <c r="AP7">
        <v>20</v>
      </c>
      <c r="AQ7">
        <v>2</v>
      </c>
      <c r="AR7" t="s">
        <v>64</v>
      </c>
      <c r="AS7" t="s">
        <v>2857</v>
      </c>
      <c r="AT7">
        <v>0.85</v>
      </c>
      <c r="AU7" t="s">
        <v>65</v>
      </c>
      <c r="AV7">
        <v>42</v>
      </c>
      <c r="AW7">
        <v>2</v>
      </c>
      <c r="AX7" t="s">
        <v>2858</v>
      </c>
      <c r="AY7" t="s">
        <v>2859</v>
      </c>
      <c r="AZ7" t="s">
        <v>2860</v>
      </c>
      <c r="BA7">
        <v>1.6789999999999999E-2</v>
      </c>
      <c r="BB7">
        <v>1</v>
      </c>
      <c r="BC7" t="s">
        <v>69</v>
      </c>
      <c r="BD7">
        <v>0.61899999999999999</v>
      </c>
      <c r="BE7">
        <v>0.27500000000000002</v>
      </c>
    </row>
    <row r="8" spans="1:57">
      <c r="A8">
        <v>0</v>
      </c>
      <c r="B8">
        <v>0</v>
      </c>
      <c r="C8">
        <v>0</v>
      </c>
      <c r="D8">
        <v>2027</v>
      </c>
      <c r="E8" t="s">
        <v>2861</v>
      </c>
      <c r="F8" t="s">
        <v>5762</v>
      </c>
      <c r="G8" t="s">
        <v>62</v>
      </c>
      <c r="H8">
        <v>2122328</v>
      </c>
      <c r="I8">
        <v>2122675</v>
      </c>
      <c r="J8" t="s">
        <v>2862</v>
      </c>
      <c r="K8">
        <v>116</v>
      </c>
      <c r="L8" t="s">
        <v>112</v>
      </c>
      <c r="M8">
        <v>4</v>
      </c>
      <c r="N8" t="str">
        <f>HYPERLINK("Gene2027-zp_tree_all.dnd", "Gene2027-tree")</f>
        <v>Gene2027-tree</v>
      </c>
      <c r="O8">
        <v>2</v>
      </c>
      <c r="P8">
        <v>2</v>
      </c>
      <c r="Q8">
        <v>2</v>
      </c>
      <c r="R8">
        <v>2</v>
      </c>
      <c r="S8">
        <v>0.5</v>
      </c>
      <c r="T8" t="s">
        <v>135</v>
      </c>
      <c r="U8" t="s">
        <v>135</v>
      </c>
      <c r="V8" t="s">
        <v>62</v>
      </c>
      <c r="W8" t="s">
        <v>62</v>
      </c>
      <c r="X8">
        <v>0</v>
      </c>
      <c r="Y8">
        <v>0</v>
      </c>
      <c r="Z8">
        <v>4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4</v>
      </c>
      <c r="AK8">
        <v>0</v>
      </c>
      <c r="AL8">
        <v>4</v>
      </c>
      <c r="AM8">
        <v>1</v>
      </c>
      <c r="AN8">
        <v>18</v>
      </c>
      <c r="AO8">
        <v>4</v>
      </c>
      <c r="AP8">
        <v>1</v>
      </c>
      <c r="AQ8">
        <v>0</v>
      </c>
      <c r="AR8" t="s">
        <v>2863</v>
      </c>
      <c r="AS8" t="s">
        <v>64</v>
      </c>
      <c r="AT8">
        <v>0.87</v>
      </c>
      <c r="AU8" t="s">
        <v>65</v>
      </c>
      <c r="AV8">
        <v>19</v>
      </c>
      <c r="AW8">
        <v>4</v>
      </c>
      <c r="AX8" t="s">
        <v>2864</v>
      </c>
      <c r="AY8" t="s">
        <v>2865</v>
      </c>
      <c r="AZ8" t="s">
        <v>2866</v>
      </c>
      <c r="BA8">
        <v>6.2260000000000003E-2</v>
      </c>
      <c r="BB8">
        <v>1</v>
      </c>
      <c r="BC8" t="s">
        <v>69</v>
      </c>
      <c r="BD8">
        <v>8.5000000000000006E-2</v>
      </c>
      <c r="BE8">
        <v>-0.85399999999999998</v>
      </c>
    </row>
    <row r="9" spans="1:57">
      <c r="A9">
        <v>0</v>
      </c>
      <c r="B9">
        <v>0</v>
      </c>
      <c r="C9">
        <v>0</v>
      </c>
      <c r="D9">
        <v>2028</v>
      </c>
      <c r="E9" t="s">
        <v>2867</v>
      </c>
      <c r="F9" t="s">
        <v>5762</v>
      </c>
      <c r="G9" t="s">
        <v>62</v>
      </c>
      <c r="H9">
        <v>2122675</v>
      </c>
      <c r="I9">
        <v>2122950</v>
      </c>
      <c r="J9" t="s">
        <v>118</v>
      </c>
      <c r="K9">
        <v>92</v>
      </c>
      <c r="L9" t="s">
        <v>59</v>
      </c>
      <c r="M9">
        <v>5</v>
      </c>
      <c r="N9" t="str">
        <f>HYPERLINK("Gene2028-zp_tree_all.dnd", "Gene2028-tree")</f>
        <v>Gene2028-tree</v>
      </c>
    </row>
    <row r="10" spans="1:57">
      <c r="A10">
        <v>0</v>
      </c>
      <c r="B10">
        <v>0</v>
      </c>
      <c r="C10">
        <v>0</v>
      </c>
      <c r="D10">
        <v>2034</v>
      </c>
      <c r="E10" t="s">
        <v>2868</v>
      </c>
      <c r="F10" t="s">
        <v>5762</v>
      </c>
      <c r="G10" t="s">
        <v>62</v>
      </c>
      <c r="H10">
        <v>2127348</v>
      </c>
      <c r="I10">
        <v>2127683</v>
      </c>
      <c r="J10" t="s">
        <v>2869</v>
      </c>
      <c r="K10">
        <v>112</v>
      </c>
      <c r="L10" t="s">
        <v>83</v>
      </c>
      <c r="M10">
        <v>4</v>
      </c>
      <c r="N10" t="str">
        <f>HYPERLINK("Gene2034-zp_tree_all.dnd", "Gene2034-tree")</f>
        <v>Gene2034-tree</v>
      </c>
      <c r="O10">
        <v>3</v>
      </c>
      <c r="P10">
        <v>1</v>
      </c>
      <c r="Q10">
        <v>3</v>
      </c>
      <c r="R10">
        <v>1</v>
      </c>
      <c r="S10">
        <v>0.25</v>
      </c>
      <c r="T10" t="s">
        <v>84</v>
      </c>
      <c r="U10" t="s">
        <v>61</v>
      </c>
      <c r="V10" t="s">
        <v>62</v>
      </c>
      <c r="W10" t="s">
        <v>62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2</v>
      </c>
      <c r="AM10">
        <v>1</v>
      </c>
      <c r="AN10">
        <v>13</v>
      </c>
      <c r="AO10">
        <v>2</v>
      </c>
      <c r="AP10">
        <v>1</v>
      </c>
      <c r="AQ10">
        <v>0</v>
      </c>
      <c r="AR10" t="s">
        <v>2870</v>
      </c>
      <c r="AS10" t="s">
        <v>64</v>
      </c>
      <c r="AT10">
        <v>0.81100000000000005</v>
      </c>
      <c r="AU10" t="s">
        <v>65</v>
      </c>
      <c r="AV10">
        <v>14</v>
      </c>
      <c r="AW10">
        <v>2</v>
      </c>
      <c r="AX10" t="s">
        <v>2871</v>
      </c>
      <c r="AY10" t="s">
        <v>2872</v>
      </c>
      <c r="AZ10" t="s">
        <v>2873</v>
      </c>
      <c r="BA10">
        <v>3.4880000000000001E-2</v>
      </c>
      <c r="BB10">
        <v>1</v>
      </c>
      <c r="BC10" t="s">
        <v>69</v>
      </c>
      <c r="BD10">
        <v>-0.433</v>
      </c>
      <c r="BE10">
        <v>-1.054</v>
      </c>
    </row>
    <row r="11" spans="1:57">
      <c r="A11">
        <v>0</v>
      </c>
      <c r="B11">
        <v>0</v>
      </c>
      <c r="C11">
        <v>0</v>
      </c>
      <c r="D11">
        <v>2043</v>
      </c>
      <c r="E11" t="s">
        <v>2884</v>
      </c>
      <c r="F11" t="s">
        <v>5762</v>
      </c>
      <c r="G11" t="s">
        <v>62</v>
      </c>
      <c r="H11">
        <v>2134569</v>
      </c>
      <c r="I11">
        <v>2135387</v>
      </c>
      <c r="J11" t="s">
        <v>2885</v>
      </c>
      <c r="K11">
        <v>273</v>
      </c>
      <c r="L11" t="s">
        <v>59</v>
      </c>
      <c r="M11">
        <v>5</v>
      </c>
      <c r="N11" t="str">
        <f>HYPERLINK("Gene2043-zp_tree_all.dnd", "Gene2043-tree")</f>
        <v>Gene2043-tree</v>
      </c>
      <c r="O11">
        <v>0</v>
      </c>
      <c r="P11">
        <v>5</v>
      </c>
      <c r="Q11">
        <v>0</v>
      </c>
      <c r="R11">
        <v>5</v>
      </c>
      <c r="S11">
        <v>1</v>
      </c>
      <c r="T11" t="s">
        <v>62</v>
      </c>
      <c r="U11" t="s">
        <v>98</v>
      </c>
      <c r="V11" t="s">
        <v>62</v>
      </c>
      <c r="W11" t="s">
        <v>62</v>
      </c>
      <c r="X11">
        <v>0</v>
      </c>
      <c r="Y11">
        <v>0</v>
      </c>
      <c r="Z11">
        <v>13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6</v>
      </c>
      <c r="AK11">
        <v>0</v>
      </c>
      <c r="AL11">
        <v>4</v>
      </c>
      <c r="AM11">
        <v>2</v>
      </c>
      <c r="AN11">
        <v>24</v>
      </c>
      <c r="AO11">
        <v>6</v>
      </c>
      <c r="AP11">
        <v>22</v>
      </c>
      <c r="AQ11">
        <v>7</v>
      </c>
      <c r="AR11" t="s">
        <v>2886</v>
      </c>
      <c r="AS11" t="s">
        <v>2887</v>
      </c>
      <c r="AT11">
        <v>0.40300000000000002</v>
      </c>
      <c r="AU11" t="s">
        <v>65</v>
      </c>
      <c r="AV11">
        <v>46</v>
      </c>
      <c r="AW11">
        <v>13</v>
      </c>
      <c r="AX11" t="s">
        <v>2888</v>
      </c>
      <c r="AY11" t="s">
        <v>2889</v>
      </c>
      <c r="AZ11" t="s">
        <v>2890</v>
      </c>
      <c r="BA11">
        <v>7.2690000000000005E-2</v>
      </c>
      <c r="BB11">
        <v>1</v>
      </c>
      <c r="BC11" t="s">
        <v>69</v>
      </c>
      <c r="BD11">
        <v>0.45300000000000001</v>
      </c>
      <c r="BE11">
        <v>0.23200000000000001</v>
      </c>
    </row>
    <row r="12" spans="1:57">
      <c r="A12">
        <v>0</v>
      </c>
      <c r="B12">
        <v>0</v>
      </c>
      <c r="C12">
        <v>0</v>
      </c>
      <c r="D12">
        <v>2044</v>
      </c>
      <c r="E12" t="s">
        <v>2891</v>
      </c>
      <c r="F12" t="s">
        <v>5762</v>
      </c>
      <c r="G12" t="s">
        <v>62</v>
      </c>
      <c r="H12">
        <v>2135473</v>
      </c>
      <c r="I12">
        <v>2136171</v>
      </c>
      <c r="J12" t="s">
        <v>2892</v>
      </c>
      <c r="K12">
        <v>233</v>
      </c>
      <c r="L12" t="s">
        <v>59</v>
      </c>
      <c r="M12">
        <v>5</v>
      </c>
      <c r="N12" t="str">
        <f>HYPERLINK("Gene2044-zp_tree_all.dnd", "Gene2044-tree")</f>
        <v>Gene2044-tree</v>
      </c>
      <c r="O12">
        <v>2</v>
      </c>
      <c r="P12">
        <v>3</v>
      </c>
      <c r="Q12">
        <v>2</v>
      </c>
      <c r="R12">
        <v>3</v>
      </c>
      <c r="S12">
        <v>0.6</v>
      </c>
      <c r="T12" t="s">
        <v>135</v>
      </c>
      <c r="U12" t="s">
        <v>84</v>
      </c>
      <c r="V12" t="s">
        <v>62</v>
      </c>
      <c r="W12" t="s">
        <v>62</v>
      </c>
      <c r="X12">
        <v>0</v>
      </c>
      <c r="Y12">
        <v>0</v>
      </c>
      <c r="Z12">
        <v>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3</v>
      </c>
      <c r="AK12">
        <v>0</v>
      </c>
      <c r="AL12">
        <v>5</v>
      </c>
      <c r="AM12">
        <v>2</v>
      </c>
      <c r="AN12">
        <v>31</v>
      </c>
      <c r="AO12">
        <v>3</v>
      </c>
      <c r="AP12">
        <v>15</v>
      </c>
      <c r="AQ12">
        <v>0</v>
      </c>
      <c r="AR12" t="s">
        <v>2893</v>
      </c>
      <c r="AS12" t="s">
        <v>64</v>
      </c>
      <c r="AT12">
        <v>1.835</v>
      </c>
      <c r="AU12" t="s">
        <v>65</v>
      </c>
      <c r="AV12">
        <v>46</v>
      </c>
      <c r="AW12">
        <v>3</v>
      </c>
      <c r="AX12" t="s">
        <v>2894</v>
      </c>
      <c r="AY12" t="s">
        <v>2895</v>
      </c>
      <c r="AZ12" t="s">
        <v>2896</v>
      </c>
      <c r="BA12">
        <v>1.5879999999999998E-2</v>
      </c>
      <c r="BB12">
        <v>1</v>
      </c>
      <c r="BC12" t="s">
        <v>69</v>
      </c>
      <c r="BD12">
        <v>-9.6000000000000002E-2</v>
      </c>
      <c r="BE12">
        <v>-0.23200000000000001</v>
      </c>
    </row>
    <row r="13" spans="1:57">
      <c r="A13">
        <v>0</v>
      </c>
      <c r="B13">
        <v>0</v>
      </c>
      <c r="C13">
        <v>0</v>
      </c>
      <c r="D13">
        <v>2046</v>
      </c>
      <c r="E13" t="s">
        <v>2897</v>
      </c>
      <c r="F13" t="s">
        <v>5762</v>
      </c>
      <c r="G13" t="s">
        <v>62</v>
      </c>
      <c r="H13">
        <v>2136541</v>
      </c>
      <c r="I13">
        <v>2136852</v>
      </c>
      <c r="J13" t="s">
        <v>2898</v>
      </c>
      <c r="K13">
        <v>104</v>
      </c>
      <c r="L13" t="s">
        <v>112</v>
      </c>
      <c r="M13">
        <v>4</v>
      </c>
      <c r="N13" t="str">
        <f>HYPERLINK("Gene2046-zp_tree_all.dnd", "Gene2046-tree")</f>
        <v>Gene2046-tree</v>
      </c>
      <c r="O13">
        <v>3</v>
      </c>
      <c r="P13">
        <v>1</v>
      </c>
      <c r="Q13">
        <v>3</v>
      </c>
      <c r="R13">
        <v>1</v>
      </c>
      <c r="S13">
        <v>0.25</v>
      </c>
      <c r="T13" t="s">
        <v>84</v>
      </c>
      <c r="U13" t="s">
        <v>61</v>
      </c>
      <c r="V13" t="s">
        <v>62</v>
      </c>
      <c r="W13" t="s">
        <v>62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3</v>
      </c>
      <c r="AM13">
        <v>1</v>
      </c>
      <c r="AN13">
        <v>13</v>
      </c>
      <c r="AO13">
        <v>1</v>
      </c>
      <c r="AP13">
        <v>1</v>
      </c>
      <c r="AQ13">
        <v>0</v>
      </c>
      <c r="AR13" t="s">
        <v>2899</v>
      </c>
      <c r="AS13" t="s">
        <v>64</v>
      </c>
      <c r="AT13">
        <v>0.59299999999999997</v>
      </c>
      <c r="AU13" t="s">
        <v>65</v>
      </c>
      <c r="AV13">
        <v>14</v>
      </c>
      <c r="AW13">
        <v>1</v>
      </c>
      <c r="AX13" t="s">
        <v>2900</v>
      </c>
      <c r="AY13" t="s">
        <v>2901</v>
      </c>
      <c r="AZ13" t="s">
        <v>2902</v>
      </c>
      <c r="BA13">
        <v>1.9009999999999999E-2</v>
      </c>
      <c r="BB13">
        <v>1</v>
      </c>
      <c r="BC13" t="s">
        <v>69</v>
      </c>
      <c r="BD13">
        <v>-0.64</v>
      </c>
      <c r="BE13">
        <v>-0.64</v>
      </c>
    </row>
    <row r="14" spans="1:57">
      <c r="A14">
        <v>0</v>
      </c>
      <c r="B14">
        <v>0</v>
      </c>
      <c r="C14">
        <v>0</v>
      </c>
      <c r="D14">
        <v>2048</v>
      </c>
      <c r="E14" t="s">
        <v>2903</v>
      </c>
      <c r="F14" t="s">
        <v>5762</v>
      </c>
      <c r="G14" t="s">
        <v>62</v>
      </c>
      <c r="H14">
        <v>2137605</v>
      </c>
      <c r="I14">
        <v>2137778</v>
      </c>
      <c r="J14" t="s">
        <v>170</v>
      </c>
      <c r="K14">
        <v>58</v>
      </c>
      <c r="L14" t="s">
        <v>59</v>
      </c>
      <c r="M14">
        <v>5</v>
      </c>
      <c r="N14" t="str">
        <f>HYPERLINK("Gene2048-zp_tree_all.dnd", "Gene2048-tree")</f>
        <v>Gene2048-tree</v>
      </c>
    </row>
    <row r="15" spans="1:57">
      <c r="A15">
        <v>0</v>
      </c>
      <c r="B15">
        <v>0</v>
      </c>
      <c r="C15">
        <v>0</v>
      </c>
      <c r="D15">
        <v>2050</v>
      </c>
      <c r="E15" t="s">
        <v>2909</v>
      </c>
      <c r="F15" t="s">
        <v>5762</v>
      </c>
      <c r="G15" t="s">
        <v>62</v>
      </c>
      <c r="H15">
        <v>2138040</v>
      </c>
      <c r="I15">
        <v>2138717</v>
      </c>
      <c r="J15" t="s">
        <v>170</v>
      </c>
      <c r="K15">
        <v>226</v>
      </c>
      <c r="L15" t="s">
        <v>59</v>
      </c>
      <c r="M15">
        <v>5</v>
      </c>
      <c r="N15" t="str">
        <f>HYPERLINK("Gene2050-zp_tree_all.dnd", "Gene2050-tree")</f>
        <v>Gene2050-tree</v>
      </c>
      <c r="O15">
        <v>3</v>
      </c>
      <c r="P15">
        <v>2</v>
      </c>
      <c r="Q15">
        <v>3</v>
      </c>
      <c r="R15">
        <v>2</v>
      </c>
      <c r="S15">
        <v>0.4</v>
      </c>
      <c r="T15" t="s">
        <v>84</v>
      </c>
      <c r="U15" t="s">
        <v>135</v>
      </c>
      <c r="V15" t="s">
        <v>62</v>
      </c>
      <c r="W15" t="s">
        <v>62</v>
      </c>
      <c r="X15">
        <v>0</v>
      </c>
      <c r="Y15">
        <v>0</v>
      </c>
      <c r="Z15">
        <v>5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4</v>
      </c>
      <c r="AK15">
        <v>0</v>
      </c>
      <c r="AL15">
        <v>5</v>
      </c>
      <c r="AM15">
        <v>2</v>
      </c>
      <c r="AN15">
        <v>8</v>
      </c>
      <c r="AO15">
        <v>4</v>
      </c>
      <c r="AP15">
        <v>22</v>
      </c>
      <c r="AQ15">
        <v>1</v>
      </c>
      <c r="AR15" t="s">
        <v>2910</v>
      </c>
      <c r="AS15" t="s">
        <v>2911</v>
      </c>
      <c r="AT15">
        <v>0.85699999999999998</v>
      </c>
      <c r="AU15" t="s">
        <v>65</v>
      </c>
      <c r="AV15">
        <v>30</v>
      </c>
      <c r="AW15">
        <v>5</v>
      </c>
      <c r="AX15" t="s">
        <v>2912</v>
      </c>
      <c r="AY15" t="s">
        <v>2913</v>
      </c>
      <c r="AZ15" t="s">
        <v>2914</v>
      </c>
      <c r="BA15">
        <v>3.4470000000000001E-2</v>
      </c>
      <c r="BB15">
        <v>1</v>
      </c>
      <c r="BC15" t="s">
        <v>69</v>
      </c>
      <c r="BD15">
        <v>1.0429999999999999</v>
      </c>
      <c r="BE15">
        <v>0.60399999999999998</v>
      </c>
    </row>
    <row r="16" spans="1:57">
      <c r="A16">
        <v>0</v>
      </c>
      <c r="B16">
        <v>0</v>
      </c>
      <c r="C16">
        <v>0</v>
      </c>
      <c r="D16">
        <v>2260</v>
      </c>
      <c r="E16" t="s">
        <v>2915</v>
      </c>
      <c r="F16" t="s">
        <v>5762</v>
      </c>
      <c r="G16" t="s">
        <v>62</v>
      </c>
      <c r="H16">
        <v>2287532</v>
      </c>
      <c r="I16">
        <v>2288062</v>
      </c>
      <c r="J16" t="s">
        <v>2916</v>
      </c>
      <c r="K16">
        <v>177</v>
      </c>
      <c r="L16" t="s">
        <v>112</v>
      </c>
      <c r="M16">
        <v>4</v>
      </c>
      <c r="N16" t="str">
        <f>HYPERLINK("Gene2260-zp_tree_all.dnd", "Gene2260-tree")</f>
        <v>Gene2260-tree</v>
      </c>
      <c r="O16">
        <v>2</v>
      </c>
      <c r="P16">
        <v>2</v>
      </c>
      <c r="Q16">
        <v>2</v>
      </c>
      <c r="R16">
        <v>2</v>
      </c>
      <c r="S16">
        <v>0.5</v>
      </c>
      <c r="T16" t="s">
        <v>135</v>
      </c>
      <c r="U16" t="s">
        <v>135</v>
      </c>
      <c r="V16" t="s">
        <v>62</v>
      </c>
      <c r="W16" t="s">
        <v>62</v>
      </c>
      <c r="X16">
        <v>0</v>
      </c>
      <c r="Y16">
        <v>0</v>
      </c>
      <c r="Z16">
        <v>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</v>
      </c>
      <c r="AK16">
        <v>0</v>
      </c>
      <c r="AL16">
        <v>4</v>
      </c>
      <c r="AM16">
        <v>1</v>
      </c>
      <c r="AN16">
        <v>25</v>
      </c>
      <c r="AO16">
        <v>2</v>
      </c>
      <c r="AP16">
        <v>1</v>
      </c>
      <c r="AQ16">
        <v>0</v>
      </c>
      <c r="AR16" t="s">
        <v>2917</v>
      </c>
      <c r="AS16" t="s">
        <v>64</v>
      </c>
      <c r="AT16">
        <v>0.877</v>
      </c>
      <c r="AU16" t="s">
        <v>65</v>
      </c>
      <c r="AV16">
        <v>26</v>
      </c>
      <c r="AW16">
        <v>2</v>
      </c>
      <c r="AX16" t="s">
        <v>2918</v>
      </c>
      <c r="AY16" t="s">
        <v>2919</v>
      </c>
      <c r="AZ16" t="s">
        <v>2920</v>
      </c>
      <c r="BA16">
        <v>1.9970000000000002E-2</v>
      </c>
      <c r="BB16">
        <v>1</v>
      </c>
      <c r="BC16" t="s">
        <v>69</v>
      </c>
      <c r="BD16">
        <v>-0.375</v>
      </c>
      <c r="BE16">
        <v>-0.73799999999999999</v>
      </c>
    </row>
    <row r="17" spans="1:57">
      <c r="A17">
        <v>0</v>
      </c>
      <c r="B17">
        <v>0</v>
      </c>
      <c r="C17">
        <v>0</v>
      </c>
      <c r="D17">
        <v>2263</v>
      </c>
      <c r="E17" t="s">
        <v>2926</v>
      </c>
      <c r="F17" t="s">
        <v>5762</v>
      </c>
      <c r="G17" t="s">
        <v>62</v>
      </c>
      <c r="H17">
        <v>2290081</v>
      </c>
      <c r="I17">
        <v>2290272</v>
      </c>
      <c r="J17" t="s">
        <v>170</v>
      </c>
      <c r="K17">
        <v>64</v>
      </c>
      <c r="L17" t="s">
        <v>83</v>
      </c>
      <c r="M17">
        <v>4</v>
      </c>
      <c r="N17" t="str">
        <f>HYPERLINK("Gene2263-zp_tree_all.dnd", "Gene2263-tree")</f>
        <v>Gene2263-tree</v>
      </c>
    </row>
    <row r="18" spans="1:57">
      <c r="A18">
        <v>0</v>
      </c>
      <c r="B18">
        <v>0</v>
      </c>
      <c r="C18">
        <v>2</v>
      </c>
      <c r="D18">
        <v>2267</v>
      </c>
      <c r="E18" t="s">
        <v>2927</v>
      </c>
      <c r="F18" t="s">
        <v>5762</v>
      </c>
      <c r="G18" t="s">
        <v>62</v>
      </c>
      <c r="H18">
        <v>2292435</v>
      </c>
      <c r="I18">
        <v>2292683</v>
      </c>
      <c r="J18" t="s">
        <v>170</v>
      </c>
      <c r="K18">
        <v>83</v>
      </c>
      <c r="L18" t="s">
        <v>59</v>
      </c>
      <c r="M18">
        <v>5</v>
      </c>
      <c r="N18" t="str">
        <f>HYPERLINK("Gene2267-zp_tree_all.dnd", "Gene2267-tree")</f>
        <v>Gene2267-tree</v>
      </c>
      <c r="O18">
        <v>2</v>
      </c>
      <c r="P18">
        <v>2</v>
      </c>
      <c r="Q18">
        <v>2</v>
      </c>
      <c r="R18">
        <v>2</v>
      </c>
      <c r="S18">
        <v>0.5</v>
      </c>
      <c r="T18" t="s">
        <v>135</v>
      </c>
      <c r="U18" t="s">
        <v>135</v>
      </c>
      <c r="V18" t="s">
        <v>62</v>
      </c>
      <c r="W18" t="s">
        <v>62</v>
      </c>
      <c r="X18">
        <v>1</v>
      </c>
      <c r="Y18">
        <v>2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2</v>
      </c>
      <c r="AI18">
        <v>2</v>
      </c>
      <c r="AJ18">
        <v>0</v>
      </c>
      <c r="AK18">
        <v>1</v>
      </c>
      <c r="AL18">
        <v>3</v>
      </c>
      <c r="AM18">
        <v>1</v>
      </c>
      <c r="AN18">
        <v>2</v>
      </c>
      <c r="AO18">
        <v>2</v>
      </c>
      <c r="AP18">
        <v>1</v>
      </c>
      <c r="AQ18">
        <v>0</v>
      </c>
      <c r="AR18" t="s">
        <v>2928</v>
      </c>
      <c r="AS18" t="s">
        <v>64</v>
      </c>
      <c r="AT18">
        <v>1.732</v>
      </c>
      <c r="AU18" t="s">
        <v>65</v>
      </c>
      <c r="AV18">
        <v>3</v>
      </c>
      <c r="AW18">
        <v>2</v>
      </c>
      <c r="AX18" t="s">
        <v>2929</v>
      </c>
      <c r="AY18" t="s">
        <v>2930</v>
      </c>
      <c r="AZ18" t="s">
        <v>2931</v>
      </c>
      <c r="BA18">
        <v>0.14358000000000001</v>
      </c>
      <c r="BB18">
        <v>1</v>
      </c>
      <c r="BC18" t="s">
        <v>69</v>
      </c>
      <c r="BD18">
        <v>0.56200000000000006</v>
      </c>
      <c r="BE18">
        <v>0.56200000000000006</v>
      </c>
    </row>
    <row r="19" spans="1:57">
      <c r="A19">
        <v>0</v>
      </c>
      <c r="B19">
        <v>0</v>
      </c>
      <c r="C19">
        <v>0</v>
      </c>
      <c r="D19">
        <v>2268</v>
      </c>
      <c r="E19" t="s">
        <v>2932</v>
      </c>
      <c r="F19" t="s">
        <v>5762</v>
      </c>
      <c r="G19" t="s">
        <v>62</v>
      </c>
      <c r="H19">
        <v>2292772</v>
      </c>
      <c r="I19">
        <v>2294037</v>
      </c>
      <c r="J19" t="s">
        <v>2933</v>
      </c>
      <c r="K19">
        <v>422</v>
      </c>
      <c r="L19" t="s">
        <v>59</v>
      </c>
      <c r="M19">
        <v>5</v>
      </c>
      <c r="N19" t="str">
        <f>HYPERLINK("Gene2268-zp_tree_all.dnd", "Gene2268-tree")</f>
        <v>Gene2268-tree</v>
      </c>
      <c r="O19">
        <v>0</v>
      </c>
      <c r="P19">
        <v>5</v>
      </c>
      <c r="Q19">
        <v>0</v>
      </c>
      <c r="R19">
        <v>5</v>
      </c>
      <c r="S19">
        <v>1</v>
      </c>
      <c r="T19" t="s">
        <v>62</v>
      </c>
      <c r="U19" t="s">
        <v>98</v>
      </c>
      <c r="V19" t="s">
        <v>62</v>
      </c>
      <c r="W19" t="s">
        <v>62</v>
      </c>
      <c r="X19">
        <v>0</v>
      </c>
      <c r="Y19">
        <v>0</v>
      </c>
      <c r="Z19">
        <v>12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7</v>
      </c>
      <c r="AK19">
        <v>0</v>
      </c>
      <c r="AL19">
        <v>5</v>
      </c>
      <c r="AM19">
        <v>2</v>
      </c>
      <c r="AN19">
        <v>37</v>
      </c>
      <c r="AO19">
        <v>7</v>
      </c>
      <c r="AP19">
        <v>38</v>
      </c>
      <c r="AQ19">
        <v>6</v>
      </c>
      <c r="AR19" t="s">
        <v>2934</v>
      </c>
      <c r="AS19" t="s">
        <v>2935</v>
      </c>
      <c r="AT19">
        <v>0.67300000000000004</v>
      </c>
      <c r="AU19" t="s">
        <v>65</v>
      </c>
      <c r="AV19">
        <v>75</v>
      </c>
      <c r="AW19">
        <v>13</v>
      </c>
      <c r="AX19" t="s">
        <v>2936</v>
      </c>
      <c r="AY19" t="s">
        <v>2937</v>
      </c>
      <c r="AZ19" t="s">
        <v>2938</v>
      </c>
      <c r="BA19">
        <v>4.7840000000000001E-2</v>
      </c>
      <c r="BB19">
        <v>1</v>
      </c>
      <c r="BC19" t="s">
        <v>69</v>
      </c>
      <c r="BD19">
        <v>0.78200000000000003</v>
      </c>
      <c r="BE19">
        <v>0.316</v>
      </c>
    </row>
    <row r="20" spans="1:57">
      <c r="A20">
        <v>0</v>
      </c>
      <c r="B20">
        <v>0</v>
      </c>
      <c r="C20">
        <v>0</v>
      </c>
      <c r="D20">
        <v>2277</v>
      </c>
      <c r="E20" t="s">
        <v>2939</v>
      </c>
      <c r="F20" t="s">
        <v>5762</v>
      </c>
      <c r="G20" t="s">
        <v>62</v>
      </c>
      <c r="H20">
        <v>2300224</v>
      </c>
      <c r="I20">
        <v>2300655</v>
      </c>
      <c r="J20" t="s">
        <v>2940</v>
      </c>
      <c r="K20">
        <v>144</v>
      </c>
      <c r="L20" t="s">
        <v>83</v>
      </c>
      <c r="M20">
        <v>4</v>
      </c>
      <c r="N20" t="str">
        <f>HYPERLINK("Gene2277-zp_tree_all.dnd", "Gene2277-tree")</f>
        <v>Gene2277-tree</v>
      </c>
    </row>
    <row r="21" spans="1:57">
      <c r="A21">
        <v>0</v>
      </c>
      <c r="B21">
        <v>0</v>
      </c>
      <c r="C21">
        <v>0</v>
      </c>
      <c r="D21">
        <v>2287</v>
      </c>
      <c r="E21" t="s">
        <v>2954</v>
      </c>
      <c r="F21" t="s">
        <v>5762</v>
      </c>
      <c r="G21" t="s">
        <v>62</v>
      </c>
      <c r="H21">
        <v>2308795</v>
      </c>
      <c r="I21">
        <v>2308974</v>
      </c>
      <c r="J21" t="s">
        <v>118</v>
      </c>
      <c r="K21">
        <v>60</v>
      </c>
      <c r="L21" t="s">
        <v>59</v>
      </c>
      <c r="M21">
        <v>5</v>
      </c>
      <c r="N21" t="str">
        <f>HYPERLINK("Gene2287-zp_tree_all.dnd", "Gene2287-tree")</f>
        <v>Gene2287-tree</v>
      </c>
      <c r="O21">
        <v>3</v>
      </c>
      <c r="P21">
        <v>2</v>
      </c>
      <c r="Q21">
        <v>3</v>
      </c>
      <c r="R21">
        <v>2</v>
      </c>
      <c r="S21">
        <v>0.4</v>
      </c>
      <c r="T21" t="s">
        <v>84</v>
      </c>
      <c r="U21" t="s">
        <v>135</v>
      </c>
      <c r="V21" t="s">
        <v>62</v>
      </c>
      <c r="W21" t="s">
        <v>62</v>
      </c>
      <c r="X21">
        <v>0</v>
      </c>
      <c r="Y21">
        <v>0</v>
      </c>
      <c r="Z21">
        <v>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2</v>
      </c>
      <c r="AK21">
        <v>0</v>
      </c>
      <c r="AL21">
        <v>3</v>
      </c>
      <c r="AM21">
        <v>1</v>
      </c>
      <c r="AN21">
        <v>4</v>
      </c>
      <c r="AO21">
        <v>1</v>
      </c>
      <c r="AP21">
        <v>2</v>
      </c>
      <c r="AQ21">
        <v>2</v>
      </c>
      <c r="AR21" t="s">
        <v>2955</v>
      </c>
      <c r="AS21" t="s">
        <v>2956</v>
      </c>
      <c r="AT21">
        <v>2.419</v>
      </c>
      <c r="AU21" t="s">
        <v>65</v>
      </c>
      <c r="AV21">
        <v>6</v>
      </c>
      <c r="AW21">
        <v>3</v>
      </c>
      <c r="AX21" t="s">
        <v>2957</v>
      </c>
      <c r="AY21" t="s">
        <v>2958</v>
      </c>
      <c r="AZ21" t="s">
        <v>2959</v>
      </c>
      <c r="BA21">
        <v>0.12909999999999999</v>
      </c>
      <c r="BB21">
        <v>0.96899999999999997</v>
      </c>
      <c r="BC21" t="s">
        <v>69</v>
      </c>
      <c r="BD21">
        <v>0.13200000000000001</v>
      </c>
      <c r="BE21">
        <v>0.13200000000000001</v>
      </c>
    </row>
    <row r="22" spans="1:57">
      <c r="A22">
        <v>0</v>
      </c>
      <c r="B22">
        <v>0</v>
      </c>
      <c r="C22">
        <v>0</v>
      </c>
      <c r="D22">
        <v>2293</v>
      </c>
      <c r="E22" t="s">
        <v>2968</v>
      </c>
      <c r="F22" t="s">
        <v>5762</v>
      </c>
      <c r="G22" t="s">
        <v>62</v>
      </c>
      <c r="H22">
        <v>2311989</v>
      </c>
      <c r="I22">
        <v>2312132</v>
      </c>
      <c r="J22" t="s">
        <v>1082</v>
      </c>
      <c r="K22">
        <v>48</v>
      </c>
      <c r="L22" t="s">
        <v>59</v>
      </c>
      <c r="M22">
        <v>5</v>
      </c>
      <c r="N22" t="str">
        <f>HYPERLINK("Gene2293-zp_tree_all.dnd", "Gene2293-tree")</f>
        <v>Gene2293-tree</v>
      </c>
      <c r="O22">
        <v>4</v>
      </c>
      <c r="P22">
        <v>0</v>
      </c>
      <c r="Q22">
        <v>4</v>
      </c>
      <c r="R22">
        <v>0</v>
      </c>
      <c r="S22">
        <v>0</v>
      </c>
      <c r="T22" t="s">
        <v>60</v>
      </c>
      <c r="U22" t="s">
        <v>62</v>
      </c>
      <c r="V22" t="s">
        <v>62</v>
      </c>
      <c r="W22" t="s">
        <v>62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2</v>
      </c>
      <c r="AM22">
        <v>1</v>
      </c>
      <c r="AN22">
        <v>3</v>
      </c>
      <c r="AO22">
        <v>0</v>
      </c>
      <c r="AP22">
        <v>2</v>
      </c>
      <c r="AQ22">
        <v>0</v>
      </c>
      <c r="AR22" t="s">
        <v>64</v>
      </c>
      <c r="AS22" t="s">
        <v>64</v>
      </c>
      <c r="AT22">
        <v>0</v>
      </c>
      <c r="AU22" t="s">
        <v>65</v>
      </c>
      <c r="AV22">
        <v>5</v>
      </c>
      <c r="AW22">
        <v>0</v>
      </c>
      <c r="AX22" t="s">
        <v>2969</v>
      </c>
      <c r="AY22" t="s">
        <v>2970</v>
      </c>
      <c r="AZ22" t="s">
        <v>64</v>
      </c>
      <c r="BA22">
        <v>0</v>
      </c>
      <c r="BB22">
        <v>1</v>
      </c>
      <c r="BC22" t="s">
        <v>69</v>
      </c>
      <c r="BD22">
        <v>0</v>
      </c>
      <c r="BE22">
        <v>0</v>
      </c>
    </row>
    <row r="23" spans="1:57">
      <c r="A23">
        <v>0</v>
      </c>
      <c r="B23">
        <v>0</v>
      </c>
      <c r="C23">
        <v>0</v>
      </c>
      <c r="D23">
        <v>2296</v>
      </c>
      <c r="E23" t="s">
        <v>2971</v>
      </c>
      <c r="F23" t="s">
        <v>5762</v>
      </c>
      <c r="G23" t="s">
        <v>62</v>
      </c>
      <c r="H23">
        <v>2316289</v>
      </c>
      <c r="I23">
        <v>2316375</v>
      </c>
      <c r="J23" t="s">
        <v>917</v>
      </c>
      <c r="K23">
        <v>29</v>
      </c>
      <c r="L23" t="s">
        <v>59</v>
      </c>
      <c r="M23">
        <v>5</v>
      </c>
      <c r="N23" t="str">
        <f>HYPERLINK("Gene2296-zp_tree_all.dnd", "Gene2296-tree")</f>
        <v>Gene2296-tree</v>
      </c>
    </row>
    <row r="24" spans="1:57">
      <c r="A24">
        <v>0</v>
      </c>
      <c r="B24">
        <v>0</v>
      </c>
      <c r="C24">
        <v>0</v>
      </c>
      <c r="D24">
        <v>2312</v>
      </c>
      <c r="E24" t="s">
        <v>2975</v>
      </c>
      <c r="F24" t="s">
        <v>5762</v>
      </c>
      <c r="G24" t="s">
        <v>62</v>
      </c>
      <c r="H24">
        <v>2331782</v>
      </c>
      <c r="I24">
        <v>2332075</v>
      </c>
      <c r="J24" t="s">
        <v>2976</v>
      </c>
      <c r="K24">
        <v>98</v>
      </c>
      <c r="L24" t="s">
        <v>59</v>
      </c>
      <c r="M24">
        <v>5</v>
      </c>
      <c r="N24" t="str">
        <f>HYPERLINK("Gene2312-zp_tree_all.dnd", "Gene2312-tree")</f>
        <v>Gene2312-tree</v>
      </c>
    </row>
    <row r="25" spans="1:57">
      <c r="A25">
        <v>0</v>
      </c>
      <c r="B25">
        <v>0</v>
      </c>
      <c r="C25">
        <v>0</v>
      </c>
      <c r="D25">
        <v>2314</v>
      </c>
      <c r="E25" t="s">
        <v>2977</v>
      </c>
      <c r="F25" t="s">
        <v>5762</v>
      </c>
      <c r="G25" t="s">
        <v>62</v>
      </c>
      <c r="H25">
        <v>2332787</v>
      </c>
      <c r="I25">
        <v>2333011</v>
      </c>
      <c r="J25" t="s">
        <v>2978</v>
      </c>
      <c r="K25">
        <v>75</v>
      </c>
      <c r="L25" t="s">
        <v>59</v>
      </c>
      <c r="M25">
        <v>5</v>
      </c>
      <c r="N25" t="str">
        <f>HYPERLINK("Gene2314-zp_tree_all.dnd", "Gene2314-tree")</f>
        <v>Gene2314-tree</v>
      </c>
    </row>
    <row r="26" spans="1:57">
      <c r="A26">
        <v>0</v>
      </c>
      <c r="B26">
        <v>0</v>
      </c>
      <c r="C26">
        <v>0</v>
      </c>
      <c r="D26">
        <v>2315</v>
      </c>
      <c r="E26" t="s">
        <v>2979</v>
      </c>
      <c r="F26" t="s">
        <v>5762</v>
      </c>
      <c r="G26" t="s">
        <v>62</v>
      </c>
      <c r="H26">
        <v>2333098</v>
      </c>
      <c r="I26">
        <v>2333223</v>
      </c>
      <c r="J26" t="s">
        <v>2980</v>
      </c>
      <c r="K26">
        <v>42</v>
      </c>
      <c r="L26" t="s">
        <v>59</v>
      </c>
      <c r="M26">
        <v>5</v>
      </c>
      <c r="N26" t="str">
        <f>HYPERLINK("Gene2315-zp_tree_all.dnd", "Gene2315-tree")</f>
        <v>Gene2315-tree</v>
      </c>
    </row>
    <row r="27" spans="1:57">
      <c r="A27">
        <v>0</v>
      </c>
      <c r="B27">
        <v>0</v>
      </c>
      <c r="C27">
        <v>0</v>
      </c>
      <c r="D27">
        <v>2330</v>
      </c>
      <c r="E27" t="s">
        <v>2991</v>
      </c>
      <c r="F27" t="s">
        <v>5762</v>
      </c>
      <c r="G27" t="s">
        <v>62</v>
      </c>
      <c r="H27">
        <v>2346227</v>
      </c>
      <c r="I27">
        <v>2347516</v>
      </c>
      <c r="J27" t="s">
        <v>2992</v>
      </c>
      <c r="K27">
        <v>430</v>
      </c>
      <c r="L27" t="s">
        <v>59</v>
      </c>
      <c r="M27">
        <v>5</v>
      </c>
      <c r="N27" t="str">
        <f>HYPERLINK("Gene2330-zp_tree_all.dnd", "Gene2330-tree")</f>
        <v>Gene2330-tree</v>
      </c>
      <c r="O27">
        <v>4</v>
      </c>
      <c r="P27">
        <v>1</v>
      </c>
      <c r="Q27">
        <v>4</v>
      </c>
      <c r="R27">
        <v>1</v>
      </c>
      <c r="S27">
        <v>0.2</v>
      </c>
      <c r="T27" t="s">
        <v>60</v>
      </c>
      <c r="U27" t="s">
        <v>61</v>
      </c>
      <c r="V27" t="s">
        <v>62</v>
      </c>
      <c r="W27" t="s">
        <v>62</v>
      </c>
      <c r="X27">
        <v>0</v>
      </c>
      <c r="Y27">
        <v>0</v>
      </c>
      <c r="Z27">
        <v>8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3</v>
      </c>
      <c r="AK27">
        <v>0</v>
      </c>
      <c r="AL27">
        <v>5</v>
      </c>
      <c r="AM27">
        <v>2</v>
      </c>
      <c r="AN27">
        <v>29</v>
      </c>
      <c r="AO27">
        <v>3</v>
      </c>
      <c r="AP27">
        <v>43</v>
      </c>
      <c r="AQ27">
        <v>5</v>
      </c>
      <c r="AR27" t="s">
        <v>2993</v>
      </c>
      <c r="AS27" t="s">
        <v>2994</v>
      </c>
      <c r="AT27">
        <v>1.4999999999999999E-2</v>
      </c>
      <c r="AU27" t="s">
        <v>65</v>
      </c>
      <c r="AV27">
        <v>72</v>
      </c>
      <c r="AW27">
        <v>8</v>
      </c>
      <c r="AX27" t="s">
        <v>2995</v>
      </c>
      <c r="AY27" t="s">
        <v>2996</v>
      </c>
      <c r="AZ27" t="s">
        <v>2997</v>
      </c>
      <c r="BA27">
        <v>2.9700000000000001E-2</v>
      </c>
      <c r="BB27">
        <v>1</v>
      </c>
      <c r="BC27" t="s">
        <v>69</v>
      </c>
      <c r="BD27">
        <v>0.80800000000000005</v>
      </c>
      <c r="BE27">
        <v>0.624</v>
      </c>
    </row>
    <row r="28" spans="1:57">
      <c r="A28">
        <v>0</v>
      </c>
      <c r="B28">
        <v>0</v>
      </c>
      <c r="C28">
        <v>0</v>
      </c>
      <c r="D28">
        <v>2332</v>
      </c>
      <c r="E28" t="s">
        <v>2998</v>
      </c>
      <c r="F28" t="s">
        <v>5762</v>
      </c>
      <c r="G28" t="s">
        <v>62</v>
      </c>
      <c r="H28">
        <v>2348867</v>
      </c>
      <c r="I28">
        <v>2349349</v>
      </c>
      <c r="J28" t="s">
        <v>2999</v>
      </c>
      <c r="K28">
        <v>161</v>
      </c>
      <c r="L28" t="s">
        <v>59</v>
      </c>
      <c r="M28">
        <v>5</v>
      </c>
      <c r="N28" t="str">
        <f>HYPERLINK("Gene2332-zp_tree_all.dnd", "Gene2332-tree")</f>
        <v>Gene2332-tree</v>
      </c>
      <c r="O28">
        <v>1</v>
      </c>
      <c r="P28">
        <v>4</v>
      </c>
      <c r="Q28">
        <v>1</v>
      </c>
      <c r="R28">
        <v>3</v>
      </c>
      <c r="S28">
        <v>0.75</v>
      </c>
      <c r="T28" t="s">
        <v>61</v>
      </c>
      <c r="U28" t="s">
        <v>119</v>
      </c>
      <c r="V28">
        <v>5</v>
      </c>
      <c r="W28" t="s">
        <v>286</v>
      </c>
      <c r="X28">
        <v>0</v>
      </c>
      <c r="Y28">
        <v>0</v>
      </c>
      <c r="Z28">
        <v>6</v>
      </c>
      <c r="AA28">
        <v>0</v>
      </c>
      <c r="AB28">
        <v>0</v>
      </c>
      <c r="AC28">
        <v>0</v>
      </c>
      <c r="AD28">
        <v>0</v>
      </c>
      <c r="AE28">
        <v>3</v>
      </c>
      <c r="AF28">
        <v>0</v>
      </c>
      <c r="AG28">
        <v>0</v>
      </c>
      <c r="AH28">
        <v>0</v>
      </c>
      <c r="AI28">
        <v>0</v>
      </c>
      <c r="AJ28">
        <v>3</v>
      </c>
      <c r="AK28">
        <v>0</v>
      </c>
      <c r="AL28">
        <v>4</v>
      </c>
      <c r="AM28">
        <v>1</v>
      </c>
      <c r="AN28">
        <v>4</v>
      </c>
      <c r="AO28">
        <v>3</v>
      </c>
      <c r="AP28">
        <v>10</v>
      </c>
      <c r="AQ28">
        <v>3</v>
      </c>
      <c r="AR28" t="s">
        <v>3000</v>
      </c>
      <c r="AS28" t="s">
        <v>3001</v>
      </c>
      <c r="AT28">
        <v>1.4830000000000001</v>
      </c>
      <c r="AU28" t="s">
        <v>65</v>
      </c>
      <c r="AV28">
        <v>14</v>
      </c>
      <c r="AW28">
        <v>6</v>
      </c>
      <c r="AX28" t="s">
        <v>3002</v>
      </c>
      <c r="AY28" t="s">
        <v>3003</v>
      </c>
      <c r="AZ28" t="s">
        <v>3004</v>
      </c>
      <c r="BA28">
        <v>0.11071</v>
      </c>
      <c r="BB28">
        <v>1</v>
      </c>
      <c r="BC28" t="s">
        <v>69</v>
      </c>
      <c r="BD28">
        <v>0.92400000000000004</v>
      </c>
      <c r="BE28">
        <v>0.92400000000000004</v>
      </c>
    </row>
    <row r="29" spans="1:57">
      <c r="A29">
        <v>0</v>
      </c>
      <c r="B29">
        <v>0</v>
      </c>
      <c r="C29">
        <v>0</v>
      </c>
      <c r="D29">
        <v>2333</v>
      </c>
      <c r="E29" t="s">
        <v>3005</v>
      </c>
      <c r="F29" t="s">
        <v>5762</v>
      </c>
      <c r="G29" t="s">
        <v>62</v>
      </c>
      <c r="H29">
        <v>2349361</v>
      </c>
      <c r="I29">
        <v>2349528</v>
      </c>
      <c r="J29" t="s">
        <v>118</v>
      </c>
      <c r="K29">
        <v>56</v>
      </c>
      <c r="L29" t="s">
        <v>112</v>
      </c>
      <c r="M29">
        <v>4</v>
      </c>
      <c r="N29" t="str">
        <f>HYPERLINK("Gene2333-zp_tree_all.dnd", "Gene2333-tree")</f>
        <v>Gene2333-tree</v>
      </c>
    </row>
    <row r="30" spans="1:57">
      <c r="A30">
        <v>0</v>
      </c>
      <c r="B30">
        <v>0</v>
      </c>
      <c r="C30">
        <v>0</v>
      </c>
      <c r="D30">
        <v>2335</v>
      </c>
      <c r="E30" t="s">
        <v>3006</v>
      </c>
      <c r="F30" t="s">
        <v>5762</v>
      </c>
      <c r="G30" t="s">
        <v>62</v>
      </c>
      <c r="H30">
        <v>2352595</v>
      </c>
      <c r="I30">
        <v>2352975</v>
      </c>
      <c r="J30" t="s">
        <v>3007</v>
      </c>
      <c r="K30">
        <v>127</v>
      </c>
      <c r="L30" t="s">
        <v>59</v>
      </c>
      <c r="M30">
        <v>5</v>
      </c>
      <c r="N30" t="str">
        <f>HYPERLINK("Gene2335-zp_tree_all.dnd", "Gene2335-tree")</f>
        <v>Gene2335-tree</v>
      </c>
      <c r="O30">
        <v>5</v>
      </c>
      <c r="P30">
        <v>0</v>
      </c>
      <c r="Q30">
        <v>5</v>
      </c>
      <c r="R30">
        <v>0</v>
      </c>
      <c r="S30">
        <v>0</v>
      </c>
      <c r="T30" t="s">
        <v>98</v>
      </c>
      <c r="U30" t="s">
        <v>62</v>
      </c>
      <c r="V30" t="s">
        <v>62</v>
      </c>
      <c r="W30" t="s">
        <v>62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4</v>
      </c>
      <c r="AM30">
        <v>2</v>
      </c>
      <c r="AN30">
        <v>10</v>
      </c>
      <c r="AO30">
        <v>0</v>
      </c>
      <c r="AP30">
        <v>11</v>
      </c>
      <c r="AQ30">
        <v>0</v>
      </c>
      <c r="AR30" t="s">
        <v>64</v>
      </c>
      <c r="AS30" t="s">
        <v>64</v>
      </c>
      <c r="AT30">
        <v>0</v>
      </c>
      <c r="AU30" t="s">
        <v>65</v>
      </c>
      <c r="AV30">
        <v>21</v>
      </c>
      <c r="AW30">
        <v>0</v>
      </c>
      <c r="AX30" t="s">
        <v>3008</v>
      </c>
      <c r="AY30" t="s">
        <v>3009</v>
      </c>
      <c r="AZ30" t="s">
        <v>64</v>
      </c>
      <c r="BA30">
        <v>0</v>
      </c>
      <c r="BB30">
        <v>1</v>
      </c>
      <c r="BC30" t="s">
        <v>69</v>
      </c>
      <c r="BD30">
        <v>0.38200000000000001</v>
      </c>
      <c r="BE30">
        <v>0.38200000000000001</v>
      </c>
    </row>
    <row r="31" spans="1:57">
      <c r="A31">
        <v>0</v>
      </c>
      <c r="B31">
        <v>0</v>
      </c>
      <c r="C31">
        <v>0</v>
      </c>
      <c r="D31">
        <v>2337</v>
      </c>
      <c r="E31" t="s">
        <v>3010</v>
      </c>
      <c r="F31" t="s">
        <v>5762</v>
      </c>
      <c r="G31" t="s">
        <v>62</v>
      </c>
      <c r="H31">
        <v>2353842</v>
      </c>
      <c r="I31">
        <v>2354672</v>
      </c>
      <c r="J31" t="s">
        <v>3011</v>
      </c>
      <c r="K31">
        <v>277</v>
      </c>
      <c r="L31" t="s">
        <v>59</v>
      </c>
      <c r="M31">
        <v>5</v>
      </c>
      <c r="N31" t="str">
        <f>HYPERLINK("Gene2337-zp_tree_all.dnd", "Gene2337-tree")</f>
        <v>Gene2337-tree</v>
      </c>
      <c r="O31">
        <v>3</v>
      </c>
      <c r="P31">
        <v>2</v>
      </c>
      <c r="Q31">
        <v>3</v>
      </c>
      <c r="R31">
        <v>2</v>
      </c>
      <c r="S31">
        <v>0.4</v>
      </c>
      <c r="T31" t="s">
        <v>84</v>
      </c>
      <c r="U31" t="s">
        <v>135</v>
      </c>
      <c r="V31" t="s">
        <v>62</v>
      </c>
      <c r="W31" t="s">
        <v>62</v>
      </c>
      <c r="X31">
        <v>0</v>
      </c>
      <c r="Y31">
        <v>0</v>
      </c>
      <c r="Z31">
        <v>6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4</v>
      </c>
      <c r="AK31">
        <v>0</v>
      </c>
      <c r="AL31">
        <v>5</v>
      </c>
      <c r="AM31">
        <v>2</v>
      </c>
      <c r="AN31">
        <v>19</v>
      </c>
      <c r="AO31">
        <v>4</v>
      </c>
      <c r="AP31">
        <v>26</v>
      </c>
      <c r="AQ31">
        <v>3</v>
      </c>
      <c r="AR31" t="s">
        <v>3012</v>
      </c>
      <c r="AS31" t="s">
        <v>3013</v>
      </c>
      <c r="AT31">
        <v>0.38100000000000001</v>
      </c>
      <c r="AU31" t="s">
        <v>65</v>
      </c>
      <c r="AV31">
        <v>45</v>
      </c>
      <c r="AW31">
        <v>7</v>
      </c>
      <c r="AX31" t="s">
        <v>3014</v>
      </c>
      <c r="AY31" t="s">
        <v>3015</v>
      </c>
      <c r="AZ31" t="s">
        <v>3016</v>
      </c>
      <c r="BA31">
        <v>4.2139999999999997E-2</v>
      </c>
      <c r="BB31">
        <v>1</v>
      </c>
      <c r="BC31" t="s">
        <v>69</v>
      </c>
      <c r="BD31">
        <v>0.73099999999999998</v>
      </c>
      <c r="BE31">
        <v>0.60299999999999998</v>
      </c>
    </row>
    <row r="32" spans="1:57">
      <c r="A32">
        <v>0</v>
      </c>
      <c r="B32">
        <v>0</v>
      </c>
      <c r="C32">
        <v>0</v>
      </c>
      <c r="D32">
        <v>2342</v>
      </c>
      <c r="E32" t="s">
        <v>3017</v>
      </c>
      <c r="F32" t="s">
        <v>5762</v>
      </c>
      <c r="G32" t="s">
        <v>62</v>
      </c>
      <c r="H32">
        <v>2358914</v>
      </c>
      <c r="I32">
        <v>2359324</v>
      </c>
      <c r="J32" t="s">
        <v>3018</v>
      </c>
      <c r="K32">
        <v>137</v>
      </c>
      <c r="L32" t="s">
        <v>59</v>
      </c>
      <c r="M32">
        <v>5</v>
      </c>
      <c r="N32" t="str">
        <f>HYPERLINK("Gene2342-zp_tree_all.dnd", "Gene2342-tree")</f>
        <v>Gene2342-tree</v>
      </c>
      <c r="O32">
        <v>4</v>
      </c>
      <c r="P32">
        <v>1</v>
      </c>
      <c r="Q32">
        <v>4</v>
      </c>
      <c r="R32">
        <v>1</v>
      </c>
      <c r="S32">
        <v>0.2</v>
      </c>
      <c r="T32" t="s">
        <v>60</v>
      </c>
      <c r="U32" t="s">
        <v>61</v>
      </c>
      <c r="V32" t="s">
        <v>62</v>
      </c>
      <c r="W32" t="s">
        <v>62</v>
      </c>
      <c r="X32">
        <v>0</v>
      </c>
      <c r="Y32">
        <v>0</v>
      </c>
      <c r="Z32">
        <v>3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5</v>
      </c>
      <c r="AM32">
        <v>2</v>
      </c>
      <c r="AN32">
        <v>12</v>
      </c>
      <c r="AO32">
        <v>1</v>
      </c>
      <c r="AP32">
        <v>8</v>
      </c>
      <c r="AQ32">
        <v>2</v>
      </c>
      <c r="AR32" t="s">
        <v>3019</v>
      </c>
      <c r="AS32" t="s">
        <v>3020</v>
      </c>
      <c r="AT32">
        <v>0.51</v>
      </c>
      <c r="AU32" t="s">
        <v>65</v>
      </c>
      <c r="AV32">
        <v>20</v>
      </c>
      <c r="AW32">
        <v>3</v>
      </c>
      <c r="AX32" t="s">
        <v>3021</v>
      </c>
      <c r="AY32" t="s">
        <v>3022</v>
      </c>
      <c r="AZ32" t="s">
        <v>3023</v>
      </c>
      <c r="BA32">
        <v>4.8410000000000002E-2</v>
      </c>
      <c r="BB32">
        <v>1</v>
      </c>
      <c r="BC32" t="s">
        <v>69</v>
      </c>
      <c r="BD32">
        <v>0.108</v>
      </c>
      <c r="BE32">
        <v>0.108</v>
      </c>
    </row>
    <row r="33" spans="1:57">
      <c r="A33">
        <v>0</v>
      </c>
      <c r="B33">
        <v>0</v>
      </c>
      <c r="C33">
        <v>0</v>
      </c>
      <c r="D33">
        <v>2344</v>
      </c>
      <c r="E33" t="s">
        <v>3024</v>
      </c>
      <c r="F33" t="s">
        <v>5762</v>
      </c>
      <c r="G33" t="s">
        <v>62</v>
      </c>
      <c r="H33">
        <v>2360158</v>
      </c>
      <c r="I33">
        <v>2360490</v>
      </c>
      <c r="J33" t="s">
        <v>3025</v>
      </c>
      <c r="K33">
        <v>111</v>
      </c>
      <c r="L33" t="s">
        <v>59</v>
      </c>
      <c r="M33">
        <v>5</v>
      </c>
      <c r="N33" t="str">
        <f>HYPERLINK("Gene2344-zp_tree_all.dnd", "Gene2344-tree")</f>
        <v>Gene2344-tree</v>
      </c>
      <c r="O33">
        <v>3</v>
      </c>
      <c r="P33">
        <v>2</v>
      </c>
      <c r="Q33">
        <v>3</v>
      </c>
      <c r="R33">
        <v>2</v>
      </c>
      <c r="S33">
        <v>0.4</v>
      </c>
      <c r="T33" t="s">
        <v>84</v>
      </c>
      <c r="U33" t="s">
        <v>135</v>
      </c>
      <c r="V33" t="s">
        <v>62</v>
      </c>
      <c r="W33" t="s">
        <v>62</v>
      </c>
      <c r="X33">
        <v>0</v>
      </c>
      <c r="Y33">
        <v>0</v>
      </c>
      <c r="Z33">
        <v>3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2</v>
      </c>
      <c r="AK33">
        <v>0</v>
      </c>
      <c r="AL33">
        <v>4</v>
      </c>
      <c r="AM33">
        <v>2</v>
      </c>
      <c r="AN33">
        <v>8</v>
      </c>
      <c r="AO33">
        <v>2</v>
      </c>
      <c r="AP33">
        <v>7</v>
      </c>
      <c r="AQ33">
        <v>1</v>
      </c>
      <c r="AR33" t="s">
        <v>3026</v>
      </c>
      <c r="AS33" t="s">
        <v>3027</v>
      </c>
      <c r="AT33">
        <v>0.48799999999999999</v>
      </c>
      <c r="AU33" t="s">
        <v>65</v>
      </c>
      <c r="AV33">
        <v>15</v>
      </c>
      <c r="AW33">
        <v>3</v>
      </c>
      <c r="AX33" t="s">
        <v>3028</v>
      </c>
      <c r="AY33" t="s">
        <v>3029</v>
      </c>
      <c r="AZ33" t="s">
        <v>3030</v>
      </c>
      <c r="BA33">
        <v>4.7109999999999999E-2</v>
      </c>
      <c r="BB33">
        <v>1</v>
      </c>
      <c r="BC33" t="s">
        <v>69</v>
      </c>
      <c r="BD33">
        <v>0.59199999999999997</v>
      </c>
      <c r="BE33">
        <v>-0.26700000000000002</v>
      </c>
    </row>
    <row r="34" spans="1:57">
      <c r="A34">
        <v>0</v>
      </c>
      <c r="B34">
        <v>0</v>
      </c>
      <c r="C34">
        <v>0</v>
      </c>
      <c r="D34">
        <v>2348</v>
      </c>
      <c r="E34" t="s">
        <v>3031</v>
      </c>
      <c r="F34" t="s">
        <v>5762</v>
      </c>
      <c r="G34" t="s">
        <v>62</v>
      </c>
      <c r="H34">
        <v>2363114</v>
      </c>
      <c r="I34">
        <v>2363878</v>
      </c>
      <c r="J34" t="s">
        <v>3032</v>
      </c>
      <c r="K34">
        <v>255</v>
      </c>
      <c r="L34" t="s">
        <v>112</v>
      </c>
      <c r="M34">
        <v>4</v>
      </c>
      <c r="N34" t="str">
        <f>HYPERLINK("Gene2348-zp_tree_all.dnd", "Gene2348-tree")</f>
        <v>Gene2348-tree</v>
      </c>
      <c r="O34">
        <v>3</v>
      </c>
      <c r="P34">
        <v>1</v>
      </c>
      <c r="Q34">
        <v>3</v>
      </c>
      <c r="R34">
        <v>1</v>
      </c>
      <c r="S34">
        <v>0.25</v>
      </c>
      <c r="T34" t="s">
        <v>84</v>
      </c>
      <c r="U34" t="s">
        <v>61</v>
      </c>
      <c r="V34" t="s">
        <v>62</v>
      </c>
      <c r="W34" t="s">
        <v>62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4</v>
      </c>
      <c r="AM34">
        <v>1</v>
      </c>
      <c r="AN34">
        <v>42</v>
      </c>
      <c r="AO34">
        <v>1</v>
      </c>
      <c r="AP34">
        <v>4</v>
      </c>
      <c r="AQ34">
        <v>0</v>
      </c>
      <c r="AR34" t="s">
        <v>3033</v>
      </c>
      <c r="AS34" t="s">
        <v>64</v>
      </c>
      <c r="AT34">
        <v>0.441</v>
      </c>
      <c r="AU34" t="s">
        <v>65</v>
      </c>
      <c r="AV34">
        <v>46</v>
      </c>
      <c r="AW34">
        <v>1</v>
      </c>
      <c r="AX34" t="s">
        <v>3034</v>
      </c>
      <c r="AY34" t="s">
        <v>3035</v>
      </c>
      <c r="AZ34" t="s">
        <v>3036</v>
      </c>
      <c r="BA34">
        <v>7.3200000000000001E-3</v>
      </c>
      <c r="BB34">
        <v>1</v>
      </c>
      <c r="BC34" t="s">
        <v>69</v>
      </c>
      <c r="BD34">
        <v>-0.59599999999999997</v>
      </c>
      <c r="BE34">
        <v>-0.59599999999999997</v>
      </c>
    </row>
    <row r="35" spans="1:57">
      <c r="A35">
        <v>0</v>
      </c>
      <c r="B35">
        <v>0</v>
      </c>
      <c r="C35">
        <v>0</v>
      </c>
      <c r="D35">
        <v>2349</v>
      </c>
      <c r="E35" t="s">
        <v>3037</v>
      </c>
      <c r="F35" t="s">
        <v>5762</v>
      </c>
      <c r="G35" t="s">
        <v>62</v>
      </c>
      <c r="H35">
        <v>2363916</v>
      </c>
      <c r="I35">
        <v>2364587</v>
      </c>
      <c r="J35" t="s">
        <v>3038</v>
      </c>
      <c r="K35">
        <v>224</v>
      </c>
      <c r="L35" t="s">
        <v>59</v>
      </c>
      <c r="M35">
        <v>5</v>
      </c>
      <c r="N35" t="str">
        <f>HYPERLINK("Gene2349-zp_tree_all.dnd", "Gene2349-tree")</f>
        <v>Gene2349-tree</v>
      </c>
      <c r="O35">
        <v>5</v>
      </c>
      <c r="P35">
        <v>0</v>
      </c>
      <c r="Q35">
        <v>5</v>
      </c>
      <c r="R35">
        <v>0</v>
      </c>
      <c r="S35">
        <v>0</v>
      </c>
      <c r="T35" t="s">
        <v>98</v>
      </c>
      <c r="U35" t="s">
        <v>62</v>
      </c>
      <c r="V35" t="s">
        <v>62</v>
      </c>
      <c r="W35" t="s">
        <v>62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5</v>
      </c>
      <c r="AM35">
        <v>2</v>
      </c>
      <c r="AN35">
        <v>10</v>
      </c>
      <c r="AO35">
        <v>0</v>
      </c>
      <c r="AP35">
        <v>17</v>
      </c>
      <c r="AQ35">
        <v>0</v>
      </c>
      <c r="AR35" t="s">
        <v>64</v>
      </c>
      <c r="AS35" t="s">
        <v>64</v>
      </c>
      <c r="AT35">
        <v>0</v>
      </c>
      <c r="AU35" t="s">
        <v>65</v>
      </c>
      <c r="AV35">
        <v>27</v>
      </c>
      <c r="AW35">
        <v>0</v>
      </c>
      <c r="AX35" t="s">
        <v>3039</v>
      </c>
      <c r="AY35" t="s">
        <v>3040</v>
      </c>
      <c r="AZ35" t="s">
        <v>64</v>
      </c>
      <c r="BA35">
        <v>0</v>
      </c>
      <c r="BB35">
        <v>1</v>
      </c>
      <c r="BC35" t="s">
        <v>69</v>
      </c>
      <c r="BD35">
        <v>0.71399999999999997</v>
      </c>
      <c r="BE35">
        <v>0.71399999999999997</v>
      </c>
    </row>
    <row r="36" spans="1:57">
      <c r="A36">
        <v>0</v>
      </c>
      <c r="B36">
        <v>0</v>
      </c>
      <c r="C36">
        <v>0</v>
      </c>
      <c r="D36">
        <v>2350</v>
      </c>
      <c r="E36" t="s">
        <v>3041</v>
      </c>
      <c r="F36" t="s">
        <v>5762</v>
      </c>
      <c r="G36" t="s">
        <v>62</v>
      </c>
      <c r="H36">
        <v>2364592</v>
      </c>
      <c r="I36">
        <v>2365092</v>
      </c>
      <c r="J36" t="s">
        <v>3042</v>
      </c>
      <c r="K36">
        <v>167</v>
      </c>
      <c r="L36" t="s">
        <v>59</v>
      </c>
      <c r="M36">
        <v>5</v>
      </c>
      <c r="N36" t="str">
        <f>HYPERLINK("Gene2350-zp_tree_all.dnd", "Gene2350-tree")</f>
        <v>Gene2350-tree</v>
      </c>
      <c r="O36">
        <v>5</v>
      </c>
      <c r="P36">
        <v>0</v>
      </c>
      <c r="Q36">
        <v>5</v>
      </c>
      <c r="R36">
        <v>0</v>
      </c>
      <c r="S36">
        <v>0</v>
      </c>
      <c r="T36" t="s">
        <v>98</v>
      </c>
      <c r="U36" t="s">
        <v>62</v>
      </c>
      <c r="V36" t="s">
        <v>62</v>
      </c>
      <c r="W36" t="s">
        <v>62</v>
      </c>
      <c r="X36">
        <v>0</v>
      </c>
      <c r="Y36">
        <v>0</v>
      </c>
      <c r="Z36">
        <v>2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4</v>
      </c>
      <c r="AM36">
        <v>2</v>
      </c>
      <c r="AN36">
        <v>7</v>
      </c>
      <c r="AO36">
        <v>0</v>
      </c>
      <c r="AP36">
        <v>11</v>
      </c>
      <c r="AQ36">
        <v>2</v>
      </c>
      <c r="AR36" t="s">
        <v>64</v>
      </c>
      <c r="AS36" t="s">
        <v>3043</v>
      </c>
      <c r="AT36">
        <v>0.83899999999999997</v>
      </c>
      <c r="AU36" t="s">
        <v>65</v>
      </c>
      <c r="AV36">
        <v>18</v>
      </c>
      <c r="AW36">
        <v>2</v>
      </c>
      <c r="AX36" t="s">
        <v>3044</v>
      </c>
      <c r="AY36" t="s">
        <v>3045</v>
      </c>
      <c r="AZ36" t="s">
        <v>3046</v>
      </c>
      <c r="BA36">
        <v>3.3759999999999998E-2</v>
      </c>
      <c r="BB36">
        <v>1</v>
      </c>
      <c r="BC36" t="s">
        <v>69</v>
      </c>
      <c r="BD36">
        <v>1.036</v>
      </c>
      <c r="BE36">
        <v>1.036</v>
      </c>
    </row>
    <row r="37" spans="1:57">
      <c r="A37">
        <v>0</v>
      </c>
      <c r="B37">
        <v>0</v>
      </c>
      <c r="C37">
        <v>0</v>
      </c>
      <c r="D37">
        <v>2357</v>
      </c>
      <c r="E37" t="s">
        <v>3047</v>
      </c>
      <c r="F37" t="s">
        <v>5762</v>
      </c>
      <c r="G37" t="s">
        <v>62</v>
      </c>
      <c r="H37">
        <v>2371511</v>
      </c>
      <c r="I37">
        <v>2372311</v>
      </c>
      <c r="J37" t="s">
        <v>3048</v>
      </c>
      <c r="K37">
        <v>267</v>
      </c>
      <c r="L37" t="s">
        <v>83</v>
      </c>
      <c r="M37">
        <v>4</v>
      </c>
      <c r="N37" t="str">
        <f>HYPERLINK("Gene2357-zp_tree_all.dnd", "Gene2357-tree")</f>
        <v>Gene2357-tree</v>
      </c>
      <c r="O37">
        <v>1</v>
      </c>
      <c r="P37">
        <v>3</v>
      </c>
      <c r="Q37">
        <v>1</v>
      </c>
      <c r="R37">
        <v>3</v>
      </c>
      <c r="S37">
        <v>0.75</v>
      </c>
      <c r="T37" t="s">
        <v>61</v>
      </c>
      <c r="U37" t="s">
        <v>84</v>
      </c>
      <c r="V37" t="s">
        <v>62</v>
      </c>
      <c r="W37" t="s">
        <v>62</v>
      </c>
      <c r="X37">
        <v>0</v>
      </c>
      <c r="Y37">
        <v>0</v>
      </c>
      <c r="Z37">
        <v>16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14</v>
      </c>
      <c r="AK37">
        <v>0</v>
      </c>
      <c r="AL37">
        <v>4</v>
      </c>
      <c r="AM37">
        <v>1</v>
      </c>
      <c r="AN37">
        <v>29</v>
      </c>
      <c r="AO37">
        <v>15</v>
      </c>
      <c r="AP37">
        <v>3</v>
      </c>
      <c r="AQ37">
        <v>3</v>
      </c>
      <c r="AR37" t="s">
        <v>3049</v>
      </c>
      <c r="AS37" t="s">
        <v>3050</v>
      </c>
      <c r="AT37">
        <v>0.69099999999999995</v>
      </c>
      <c r="AU37" t="s">
        <v>65</v>
      </c>
      <c r="AV37">
        <v>32</v>
      </c>
      <c r="AW37">
        <v>18</v>
      </c>
      <c r="AX37" t="s">
        <v>3051</v>
      </c>
      <c r="AY37" t="s">
        <v>3052</v>
      </c>
      <c r="AZ37" t="s">
        <v>3053</v>
      </c>
      <c r="BA37">
        <v>0.16905999999999999</v>
      </c>
      <c r="BB37">
        <v>1</v>
      </c>
      <c r="BC37" t="s">
        <v>69</v>
      </c>
      <c r="BD37">
        <v>-0.48599999999999999</v>
      </c>
      <c r="BE37">
        <v>-0.48599999999999999</v>
      </c>
    </row>
    <row r="38" spans="1:57">
      <c r="A38">
        <v>0</v>
      </c>
      <c r="B38">
        <v>0</v>
      </c>
      <c r="C38">
        <v>0</v>
      </c>
      <c r="D38">
        <v>2365</v>
      </c>
      <c r="E38" t="s">
        <v>3054</v>
      </c>
      <c r="F38" t="s">
        <v>5762</v>
      </c>
      <c r="G38" t="s">
        <v>62</v>
      </c>
      <c r="H38">
        <v>2379103</v>
      </c>
      <c r="I38">
        <v>2380272</v>
      </c>
      <c r="J38" t="s">
        <v>3055</v>
      </c>
      <c r="K38">
        <v>390</v>
      </c>
      <c r="L38" t="s">
        <v>83</v>
      </c>
      <c r="M38">
        <v>4</v>
      </c>
      <c r="N38" t="str">
        <f>HYPERLINK("Gene2365-zp_tree_all.dnd", "Gene2365-tree")</f>
        <v>Gene2365-tree</v>
      </c>
      <c r="O38">
        <v>2</v>
      </c>
      <c r="P38">
        <v>2</v>
      </c>
      <c r="Q38">
        <v>2</v>
      </c>
      <c r="R38">
        <v>2</v>
      </c>
      <c r="S38">
        <v>0.5</v>
      </c>
      <c r="T38" t="s">
        <v>135</v>
      </c>
      <c r="U38" t="s">
        <v>135</v>
      </c>
      <c r="V38" t="s">
        <v>62</v>
      </c>
      <c r="W38" t="s">
        <v>62</v>
      </c>
      <c r="X38">
        <v>0</v>
      </c>
      <c r="Y38">
        <v>0</v>
      </c>
      <c r="Z38">
        <v>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2</v>
      </c>
      <c r="AK38">
        <v>0</v>
      </c>
      <c r="AL38">
        <v>4</v>
      </c>
      <c r="AM38">
        <v>1</v>
      </c>
      <c r="AN38">
        <v>75</v>
      </c>
      <c r="AO38">
        <v>2</v>
      </c>
      <c r="AP38">
        <v>6</v>
      </c>
      <c r="AQ38">
        <v>0</v>
      </c>
      <c r="AR38" t="s">
        <v>3056</v>
      </c>
      <c r="AS38" t="s">
        <v>64</v>
      </c>
      <c r="AT38">
        <v>0.91900000000000004</v>
      </c>
      <c r="AU38" t="s">
        <v>65</v>
      </c>
      <c r="AV38">
        <v>81</v>
      </c>
      <c r="AW38">
        <v>2</v>
      </c>
      <c r="AX38" t="s">
        <v>3057</v>
      </c>
      <c r="AY38" t="s">
        <v>3058</v>
      </c>
      <c r="AZ38" t="s">
        <v>3059</v>
      </c>
      <c r="BA38">
        <v>6.6800000000000002E-3</v>
      </c>
      <c r="BB38">
        <v>1</v>
      </c>
      <c r="BC38" t="s">
        <v>69</v>
      </c>
      <c r="BD38">
        <v>-0.28299999999999997</v>
      </c>
      <c r="BE38">
        <v>-0.53400000000000003</v>
      </c>
    </row>
    <row r="39" spans="1:57">
      <c r="A39">
        <v>0</v>
      </c>
      <c r="B39">
        <v>0</v>
      </c>
      <c r="C39">
        <v>0</v>
      </c>
      <c r="D39">
        <v>2367</v>
      </c>
      <c r="E39" t="s">
        <v>3060</v>
      </c>
      <c r="F39" t="s">
        <v>5762</v>
      </c>
      <c r="G39" t="s">
        <v>62</v>
      </c>
      <c r="H39">
        <v>2381357</v>
      </c>
      <c r="I39">
        <v>2381803</v>
      </c>
      <c r="J39" t="s">
        <v>3061</v>
      </c>
      <c r="K39">
        <v>149</v>
      </c>
      <c r="L39" t="s">
        <v>59</v>
      </c>
      <c r="M39">
        <v>5</v>
      </c>
      <c r="N39" t="str">
        <f>HYPERLINK("Gene2367-zp_tree_all.dnd", "Gene2367-tree")</f>
        <v>Gene2367-tree</v>
      </c>
      <c r="O39">
        <v>3</v>
      </c>
      <c r="P39">
        <v>2</v>
      </c>
      <c r="Q39">
        <v>3</v>
      </c>
      <c r="R39">
        <v>2</v>
      </c>
      <c r="S39">
        <v>0.4</v>
      </c>
      <c r="T39" t="s">
        <v>84</v>
      </c>
      <c r="U39" t="s">
        <v>135</v>
      </c>
      <c r="V39" t="s">
        <v>62</v>
      </c>
      <c r="W39" t="s">
        <v>62</v>
      </c>
      <c r="X39">
        <v>0</v>
      </c>
      <c r="Y39">
        <v>0</v>
      </c>
      <c r="Z39">
        <v>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</v>
      </c>
      <c r="AK39">
        <v>0</v>
      </c>
      <c r="AL39">
        <v>5</v>
      </c>
      <c r="AM39">
        <v>2</v>
      </c>
      <c r="AN39">
        <v>9</v>
      </c>
      <c r="AO39">
        <v>2</v>
      </c>
      <c r="AP39">
        <v>13</v>
      </c>
      <c r="AQ39">
        <v>0</v>
      </c>
      <c r="AR39" t="s">
        <v>3062</v>
      </c>
      <c r="AS39" t="s">
        <v>64</v>
      </c>
      <c r="AT39">
        <v>1.24</v>
      </c>
      <c r="AU39" t="s">
        <v>65</v>
      </c>
      <c r="AV39">
        <v>22</v>
      </c>
      <c r="AW39">
        <v>2</v>
      </c>
      <c r="AX39" t="s">
        <v>3063</v>
      </c>
      <c r="AY39" t="s">
        <v>3064</v>
      </c>
      <c r="AZ39" t="s">
        <v>3065</v>
      </c>
      <c r="BA39">
        <v>2.4670000000000001E-2</v>
      </c>
      <c r="BB39">
        <v>1</v>
      </c>
      <c r="BC39" t="s">
        <v>69</v>
      </c>
      <c r="BD39">
        <v>0.64600000000000002</v>
      </c>
      <c r="BE39">
        <v>0.377</v>
      </c>
    </row>
    <row r="40" spans="1:57">
      <c r="A40">
        <v>0</v>
      </c>
      <c r="B40">
        <v>0</v>
      </c>
      <c r="C40">
        <v>0</v>
      </c>
      <c r="D40">
        <v>2368</v>
      </c>
      <c r="E40" t="s">
        <v>3066</v>
      </c>
      <c r="F40" t="s">
        <v>5762</v>
      </c>
      <c r="G40" t="s">
        <v>62</v>
      </c>
      <c r="H40">
        <v>2381922</v>
      </c>
      <c r="I40">
        <v>2382965</v>
      </c>
      <c r="J40" t="s">
        <v>3067</v>
      </c>
      <c r="K40">
        <v>348</v>
      </c>
      <c r="L40" t="s">
        <v>59</v>
      </c>
      <c r="M40">
        <v>5</v>
      </c>
      <c r="N40" t="str">
        <f>HYPERLINK("Gene2368-zp_tree_all.dnd", "Gene2368-tree")</f>
        <v>Gene2368-tree</v>
      </c>
      <c r="O40">
        <v>4</v>
      </c>
      <c r="P40">
        <v>1</v>
      </c>
      <c r="Q40">
        <v>4</v>
      </c>
      <c r="R40">
        <v>1</v>
      </c>
      <c r="S40">
        <v>0.2</v>
      </c>
      <c r="T40" t="s">
        <v>60</v>
      </c>
      <c r="U40" t="s">
        <v>61</v>
      </c>
      <c r="V40" t="s">
        <v>62</v>
      </c>
      <c r="W40" t="s">
        <v>62</v>
      </c>
      <c r="X40">
        <v>0</v>
      </c>
      <c r="Y40">
        <v>0</v>
      </c>
      <c r="Z40">
        <v>3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2</v>
      </c>
      <c r="AK40">
        <v>0</v>
      </c>
      <c r="AL40">
        <v>5</v>
      </c>
      <c r="AM40">
        <v>2</v>
      </c>
      <c r="AN40">
        <v>28</v>
      </c>
      <c r="AO40">
        <v>2</v>
      </c>
      <c r="AP40">
        <v>36</v>
      </c>
      <c r="AQ40">
        <v>1</v>
      </c>
      <c r="AR40" t="s">
        <v>3068</v>
      </c>
      <c r="AS40" t="s">
        <v>3069</v>
      </c>
      <c r="AT40">
        <v>0.33400000000000002</v>
      </c>
      <c r="AU40" t="s">
        <v>65</v>
      </c>
      <c r="AV40">
        <v>64</v>
      </c>
      <c r="AW40">
        <v>3</v>
      </c>
      <c r="AX40" t="s">
        <v>3070</v>
      </c>
      <c r="AY40" t="s">
        <v>3071</v>
      </c>
      <c r="AZ40" t="s">
        <v>3072</v>
      </c>
      <c r="BA40">
        <v>1.159E-2</v>
      </c>
      <c r="BB40">
        <v>1</v>
      </c>
      <c r="BC40" t="s">
        <v>69</v>
      </c>
      <c r="BD40">
        <v>0.91</v>
      </c>
      <c r="BE40">
        <v>0.54800000000000004</v>
      </c>
    </row>
    <row r="41" spans="1:57">
      <c r="A41">
        <v>0</v>
      </c>
      <c r="B41">
        <v>0</v>
      </c>
      <c r="C41">
        <v>0</v>
      </c>
      <c r="D41">
        <v>2369</v>
      </c>
      <c r="E41" t="s">
        <v>3073</v>
      </c>
      <c r="F41" t="s">
        <v>5762</v>
      </c>
      <c r="G41" t="s">
        <v>62</v>
      </c>
      <c r="H41">
        <v>2382910</v>
      </c>
      <c r="I41">
        <v>2383608</v>
      </c>
      <c r="J41" t="s">
        <v>3074</v>
      </c>
      <c r="K41">
        <v>233</v>
      </c>
      <c r="L41" t="s">
        <v>59</v>
      </c>
      <c r="M41">
        <v>5</v>
      </c>
      <c r="N41" t="str">
        <f>HYPERLINK("Gene2369-zp_tree_all.dnd", "Gene2369-tree")</f>
        <v>Gene2369-tree</v>
      </c>
      <c r="O41">
        <v>3</v>
      </c>
      <c r="P41">
        <v>2</v>
      </c>
      <c r="Q41">
        <v>3</v>
      </c>
      <c r="R41">
        <v>2</v>
      </c>
      <c r="S41">
        <v>0.4</v>
      </c>
      <c r="T41" t="s">
        <v>84</v>
      </c>
      <c r="U41" t="s">
        <v>135</v>
      </c>
      <c r="V41" t="s">
        <v>62</v>
      </c>
      <c r="W41" t="s">
        <v>62</v>
      </c>
      <c r="X41">
        <v>0</v>
      </c>
      <c r="Y41">
        <v>0</v>
      </c>
      <c r="Z41">
        <v>8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5</v>
      </c>
      <c r="AK41">
        <v>0</v>
      </c>
      <c r="AL41">
        <v>5</v>
      </c>
      <c r="AM41">
        <v>2</v>
      </c>
      <c r="AN41">
        <v>28</v>
      </c>
      <c r="AO41">
        <v>5</v>
      </c>
      <c r="AP41">
        <v>8</v>
      </c>
      <c r="AQ41">
        <v>3</v>
      </c>
      <c r="AR41" t="s">
        <v>3075</v>
      </c>
      <c r="AS41" t="s">
        <v>3076</v>
      </c>
      <c r="AT41">
        <v>0.51700000000000002</v>
      </c>
      <c r="AU41" t="s">
        <v>65</v>
      </c>
      <c r="AV41">
        <v>36</v>
      </c>
      <c r="AW41">
        <v>8</v>
      </c>
      <c r="AX41" t="s">
        <v>3077</v>
      </c>
      <c r="AY41" t="s">
        <v>3078</v>
      </c>
      <c r="AZ41" t="s">
        <v>3079</v>
      </c>
      <c r="BA41">
        <v>6.2050000000000001E-2</v>
      </c>
      <c r="BB41">
        <v>1</v>
      </c>
      <c r="BC41" t="s">
        <v>69</v>
      </c>
      <c r="BD41">
        <v>-0.433</v>
      </c>
      <c r="BE41">
        <v>-0.58199999999999996</v>
      </c>
    </row>
    <row r="42" spans="1:57">
      <c r="A42">
        <v>0</v>
      </c>
      <c r="B42">
        <v>0</v>
      </c>
      <c r="C42">
        <v>0</v>
      </c>
      <c r="D42">
        <v>2370</v>
      </c>
      <c r="E42" t="s">
        <v>3080</v>
      </c>
      <c r="F42" t="s">
        <v>5762</v>
      </c>
      <c r="G42" t="s">
        <v>62</v>
      </c>
      <c r="H42">
        <v>2383618</v>
      </c>
      <c r="I42">
        <v>2384370</v>
      </c>
      <c r="J42" t="s">
        <v>3081</v>
      </c>
      <c r="K42">
        <v>251</v>
      </c>
      <c r="L42" t="s">
        <v>59</v>
      </c>
      <c r="M42">
        <v>5</v>
      </c>
      <c r="N42" t="str">
        <f>HYPERLINK("Gene2370-zp_tree_all.dnd", "Gene2370-tree")</f>
        <v>Gene2370-tree</v>
      </c>
      <c r="O42">
        <v>4</v>
      </c>
      <c r="P42">
        <v>1</v>
      </c>
      <c r="Q42">
        <v>4</v>
      </c>
      <c r="R42">
        <v>1</v>
      </c>
      <c r="S42">
        <v>0.2</v>
      </c>
      <c r="T42" t="s">
        <v>60</v>
      </c>
      <c r="U42" t="s">
        <v>61</v>
      </c>
      <c r="V42" t="s">
        <v>62</v>
      </c>
      <c r="W42" t="s">
        <v>62</v>
      </c>
      <c r="X42">
        <v>0</v>
      </c>
      <c r="Y42">
        <v>0</v>
      </c>
      <c r="Z42">
        <v>5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4</v>
      </c>
      <c r="AM42">
        <v>2</v>
      </c>
      <c r="AN42">
        <v>8</v>
      </c>
      <c r="AO42">
        <v>0</v>
      </c>
      <c r="AP42">
        <v>10</v>
      </c>
      <c r="AQ42">
        <v>5</v>
      </c>
      <c r="AR42" t="s">
        <v>64</v>
      </c>
      <c r="AS42" t="s">
        <v>3082</v>
      </c>
      <c r="AT42">
        <v>1.9339999999999999</v>
      </c>
      <c r="AU42" t="s">
        <v>65</v>
      </c>
      <c r="AV42">
        <v>18</v>
      </c>
      <c r="AW42">
        <v>5</v>
      </c>
      <c r="AX42" t="s">
        <v>3083</v>
      </c>
      <c r="AY42" t="s">
        <v>3084</v>
      </c>
      <c r="AZ42" t="s">
        <v>3085</v>
      </c>
      <c r="BA42">
        <v>0.10517</v>
      </c>
      <c r="BB42">
        <v>1</v>
      </c>
      <c r="BC42" t="s">
        <v>69</v>
      </c>
      <c r="BD42">
        <v>1.117</v>
      </c>
      <c r="BE42">
        <v>1.117</v>
      </c>
    </row>
    <row r="43" spans="1:57">
      <c r="A43">
        <v>0</v>
      </c>
      <c r="B43">
        <v>0</v>
      </c>
      <c r="C43">
        <v>0</v>
      </c>
      <c r="D43">
        <v>2371</v>
      </c>
      <c r="E43" t="s">
        <v>3086</v>
      </c>
      <c r="F43" t="s">
        <v>5762</v>
      </c>
      <c r="G43" t="s">
        <v>62</v>
      </c>
      <c r="H43">
        <v>2384537</v>
      </c>
      <c r="I43">
        <v>2384761</v>
      </c>
      <c r="J43" t="s">
        <v>3087</v>
      </c>
      <c r="K43">
        <v>75</v>
      </c>
      <c r="L43" t="s">
        <v>59</v>
      </c>
      <c r="M43">
        <v>5</v>
      </c>
      <c r="N43" t="str">
        <f>HYPERLINK("Gene2371-zp_tree_all.dnd", "Gene2371-tree")</f>
        <v>Gene2371-tree</v>
      </c>
      <c r="O43">
        <v>5</v>
      </c>
      <c r="P43">
        <v>0</v>
      </c>
      <c r="Q43">
        <v>5</v>
      </c>
      <c r="R43">
        <v>0</v>
      </c>
      <c r="S43">
        <v>0</v>
      </c>
      <c r="T43" t="s">
        <v>98</v>
      </c>
      <c r="U43" t="s">
        <v>62</v>
      </c>
      <c r="V43" t="s">
        <v>62</v>
      </c>
      <c r="W43" t="s">
        <v>62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4</v>
      </c>
      <c r="AM43">
        <v>1</v>
      </c>
      <c r="AN43">
        <v>8</v>
      </c>
      <c r="AO43">
        <v>0</v>
      </c>
      <c r="AP43">
        <v>4</v>
      </c>
      <c r="AQ43">
        <v>1</v>
      </c>
      <c r="AR43" t="s">
        <v>64</v>
      </c>
      <c r="AS43" t="s">
        <v>3088</v>
      </c>
      <c r="AT43">
        <v>0</v>
      </c>
      <c r="AU43" t="s">
        <v>65</v>
      </c>
      <c r="AV43">
        <v>12</v>
      </c>
      <c r="AW43">
        <v>1</v>
      </c>
      <c r="AX43" t="s">
        <v>3089</v>
      </c>
      <c r="AY43" t="s">
        <v>3090</v>
      </c>
      <c r="AZ43" t="s">
        <v>3091</v>
      </c>
      <c r="BA43">
        <v>2.648E-2</v>
      </c>
      <c r="BB43">
        <v>1</v>
      </c>
      <c r="BC43" t="s">
        <v>69</v>
      </c>
      <c r="BD43">
        <v>-4.7E-2</v>
      </c>
      <c r="BE43">
        <v>-4.7E-2</v>
      </c>
    </row>
    <row r="44" spans="1:57">
      <c r="A44">
        <v>0</v>
      </c>
      <c r="B44">
        <v>0</v>
      </c>
      <c r="C44">
        <v>0</v>
      </c>
      <c r="D44">
        <v>2372</v>
      </c>
      <c r="E44" t="s">
        <v>3092</v>
      </c>
      <c r="F44" t="s">
        <v>5762</v>
      </c>
      <c r="G44" t="s">
        <v>62</v>
      </c>
      <c r="H44">
        <v>2384786</v>
      </c>
      <c r="I44">
        <v>2385355</v>
      </c>
      <c r="J44" t="s">
        <v>3093</v>
      </c>
      <c r="K44">
        <v>190</v>
      </c>
      <c r="L44" t="s">
        <v>59</v>
      </c>
      <c r="M44">
        <v>5</v>
      </c>
      <c r="N44" t="str">
        <f>HYPERLINK("Gene2372-zp_tree_all.dnd", "Gene2372-tree")</f>
        <v>Gene2372-tree</v>
      </c>
      <c r="O44">
        <v>5</v>
      </c>
      <c r="P44">
        <v>0</v>
      </c>
      <c r="Q44">
        <v>4</v>
      </c>
      <c r="R44">
        <v>0</v>
      </c>
      <c r="S44">
        <v>0</v>
      </c>
      <c r="T44" t="s">
        <v>150</v>
      </c>
      <c r="U44" t="s">
        <v>62</v>
      </c>
      <c r="V44" t="s">
        <v>62</v>
      </c>
      <c r="W44" t="s">
        <v>62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4</v>
      </c>
      <c r="AM44">
        <v>1</v>
      </c>
      <c r="AN44">
        <v>8</v>
      </c>
      <c r="AO44">
        <v>0</v>
      </c>
      <c r="AP44">
        <v>12</v>
      </c>
      <c r="AQ44">
        <v>0</v>
      </c>
      <c r="AR44" t="s">
        <v>64</v>
      </c>
      <c r="AS44" t="s">
        <v>64</v>
      </c>
      <c r="AT44">
        <v>0</v>
      </c>
      <c r="AU44" t="s">
        <v>65</v>
      </c>
      <c r="AV44">
        <v>20</v>
      </c>
      <c r="AW44">
        <v>0</v>
      </c>
      <c r="AX44" t="s">
        <v>3094</v>
      </c>
      <c r="AY44" t="s">
        <v>3095</v>
      </c>
      <c r="AZ44" t="s">
        <v>64</v>
      </c>
      <c r="BA44">
        <v>0</v>
      </c>
      <c r="BB44">
        <v>1</v>
      </c>
      <c r="BC44" t="s">
        <v>69</v>
      </c>
      <c r="BD44">
        <v>0.77</v>
      </c>
      <c r="BE44">
        <v>0.77</v>
      </c>
    </row>
    <row r="45" spans="1:57">
      <c r="A45">
        <v>0</v>
      </c>
      <c r="B45">
        <v>0</v>
      </c>
      <c r="C45">
        <v>0</v>
      </c>
      <c r="D45">
        <v>2373</v>
      </c>
      <c r="E45" t="s">
        <v>3096</v>
      </c>
      <c r="F45" t="s">
        <v>5762</v>
      </c>
      <c r="G45" t="s">
        <v>62</v>
      </c>
      <c r="H45">
        <v>2385546</v>
      </c>
      <c r="I45">
        <v>2385821</v>
      </c>
      <c r="J45" t="s">
        <v>3097</v>
      </c>
      <c r="K45">
        <v>92</v>
      </c>
      <c r="L45" t="s">
        <v>59</v>
      </c>
      <c r="M45">
        <v>5</v>
      </c>
      <c r="N45" t="str">
        <f>HYPERLINK("Gene2373-zp_tree_all.dnd", "Gene2373-tree")</f>
        <v>Gene2373-tree</v>
      </c>
    </row>
    <row r="46" spans="1:57">
      <c r="A46">
        <v>0</v>
      </c>
      <c r="B46">
        <v>0</v>
      </c>
      <c r="C46">
        <v>0</v>
      </c>
      <c r="D46">
        <v>2374</v>
      </c>
      <c r="E46" t="s">
        <v>3098</v>
      </c>
      <c r="F46" t="s">
        <v>5762</v>
      </c>
      <c r="G46" t="s">
        <v>62</v>
      </c>
      <c r="H46">
        <v>2386198</v>
      </c>
      <c r="I46">
        <v>2387673</v>
      </c>
      <c r="J46" t="s">
        <v>3099</v>
      </c>
      <c r="K46">
        <v>492</v>
      </c>
      <c r="L46" t="s">
        <v>59</v>
      </c>
      <c r="M46">
        <v>5</v>
      </c>
      <c r="N46" t="str">
        <f>HYPERLINK("Gene2374-zp_tree_all.dnd", "Gene2374-tree")</f>
        <v>Gene2374-tree</v>
      </c>
      <c r="O46">
        <v>4</v>
      </c>
      <c r="P46">
        <v>1</v>
      </c>
      <c r="Q46">
        <v>4</v>
      </c>
      <c r="R46">
        <v>1</v>
      </c>
      <c r="S46">
        <v>0.2</v>
      </c>
      <c r="T46" t="s">
        <v>60</v>
      </c>
      <c r="U46" t="s">
        <v>61</v>
      </c>
      <c r="V46" t="s">
        <v>62</v>
      </c>
      <c r="W46" t="s">
        <v>62</v>
      </c>
      <c r="X46">
        <v>0</v>
      </c>
      <c r="Y46">
        <v>0</v>
      </c>
      <c r="Z46">
        <v>4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5</v>
      </c>
      <c r="AM46">
        <v>2</v>
      </c>
      <c r="AN46">
        <v>34</v>
      </c>
      <c r="AO46">
        <v>1</v>
      </c>
      <c r="AP46">
        <v>50</v>
      </c>
      <c r="AQ46">
        <v>3</v>
      </c>
      <c r="AR46" t="s">
        <v>3100</v>
      </c>
      <c r="AS46" t="s">
        <v>3101</v>
      </c>
      <c r="AT46">
        <v>0.379</v>
      </c>
      <c r="AU46" t="s">
        <v>65</v>
      </c>
      <c r="AV46">
        <v>84</v>
      </c>
      <c r="AW46">
        <v>4</v>
      </c>
      <c r="AX46" t="s">
        <v>3102</v>
      </c>
      <c r="AY46" t="s">
        <v>3103</v>
      </c>
      <c r="AZ46" t="s">
        <v>3104</v>
      </c>
      <c r="BA46">
        <v>1.3299999999999999E-2</v>
      </c>
      <c r="BB46">
        <v>1</v>
      </c>
      <c r="BC46" t="s">
        <v>69</v>
      </c>
      <c r="BD46">
        <v>0.84299999999999997</v>
      </c>
      <c r="BE46">
        <v>0.65500000000000003</v>
      </c>
    </row>
    <row r="47" spans="1:57">
      <c r="A47">
        <v>0</v>
      </c>
      <c r="B47">
        <v>0</v>
      </c>
      <c r="C47">
        <v>0</v>
      </c>
      <c r="D47">
        <v>2376</v>
      </c>
      <c r="E47" t="s">
        <v>3105</v>
      </c>
      <c r="F47" t="s">
        <v>5762</v>
      </c>
      <c r="G47" t="s">
        <v>62</v>
      </c>
      <c r="H47">
        <v>2388613</v>
      </c>
      <c r="I47">
        <v>2388813</v>
      </c>
      <c r="J47" t="s">
        <v>118</v>
      </c>
      <c r="K47">
        <v>67</v>
      </c>
      <c r="L47" t="s">
        <v>59</v>
      </c>
      <c r="M47">
        <v>5</v>
      </c>
      <c r="N47" t="str">
        <f>HYPERLINK("Gene2376-zp_tree_all.dnd", "Gene2376-tree")</f>
        <v>Gene2376-tree</v>
      </c>
      <c r="O47">
        <v>5</v>
      </c>
      <c r="P47">
        <v>0</v>
      </c>
      <c r="Q47">
        <v>4</v>
      </c>
      <c r="R47">
        <v>0</v>
      </c>
      <c r="S47">
        <v>0</v>
      </c>
      <c r="T47" t="s">
        <v>150</v>
      </c>
      <c r="U47" t="s">
        <v>62</v>
      </c>
      <c r="V47" t="s">
        <v>62</v>
      </c>
      <c r="W47" t="s">
        <v>62</v>
      </c>
      <c r="X47">
        <v>0</v>
      </c>
      <c r="Y47">
        <v>0</v>
      </c>
      <c r="Z47">
        <v>3</v>
      </c>
      <c r="AA47">
        <v>0</v>
      </c>
      <c r="AB47">
        <v>0</v>
      </c>
      <c r="AC47">
        <v>0</v>
      </c>
      <c r="AD47">
        <v>0</v>
      </c>
      <c r="AE47">
        <v>3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3</v>
      </c>
      <c r="AM47">
        <v>1</v>
      </c>
      <c r="AN47">
        <v>5</v>
      </c>
      <c r="AO47">
        <v>0</v>
      </c>
      <c r="AP47">
        <v>4</v>
      </c>
      <c r="AQ47">
        <v>3</v>
      </c>
      <c r="AR47" t="s">
        <v>64</v>
      </c>
      <c r="AS47" t="s">
        <v>3106</v>
      </c>
      <c r="AT47">
        <v>0</v>
      </c>
      <c r="AU47" t="s">
        <v>65</v>
      </c>
      <c r="AV47">
        <v>9</v>
      </c>
      <c r="AW47">
        <v>3</v>
      </c>
      <c r="AX47" t="s">
        <v>3107</v>
      </c>
      <c r="AY47" t="s">
        <v>3108</v>
      </c>
      <c r="AZ47" t="s">
        <v>3109</v>
      </c>
      <c r="BA47">
        <v>0.10287</v>
      </c>
      <c r="BB47">
        <v>1</v>
      </c>
      <c r="BC47" t="s">
        <v>69</v>
      </c>
      <c r="BD47">
        <v>0.80400000000000005</v>
      </c>
      <c r="BE47">
        <v>0.80400000000000005</v>
      </c>
    </row>
    <row r="48" spans="1:57">
      <c r="A48">
        <v>0</v>
      </c>
      <c r="B48">
        <v>0</v>
      </c>
      <c r="C48">
        <v>0</v>
      </c>
      <c r="D48">
        <v>2384</v>
      </c>
      <c r="E48" t="s">
        <v>3114</v>
      </c>
      <c r="F48" t="s">
        <v>5762</v>
      </c>
      <c r="G48" t="s">
        <v>62</v>
      </c>
      <c r="H48">
        <v>2394667</v>
      </c>
      <c r="I48">
        <v>2395812</v>
      </c>
      <c r="J48" t="s">
        <v>3115</v>
      </c>
      <c r="K48">
        <v>382</v>
      </c>
      <c r="L48" t="s">
        <v>59</v>
      </c>
      <c r="M48">
        <v>5</v>
      </c>
      <c r="N48" t="str">
        <f>HYPERLINK("Gene2384-zp_tree_all.dnd", "Gene2384-tree")</f>
        <v>Gene2384-tree</v>
      </c>
      <c r="O48">
        <v>3</v>
      </c>
      <c r="P48">
        <v>2</v>
      </c>
      <c r="Q48">
        <v>3</v>
      </c>
      <c r="R48">
        <v>2</v>
      </c>
      <c r="S48">
        <v>0.4</v>
      </c>
      <c r="T48" t="s">
        <v>84</v>
      </c>
      <c r="U48" t="s">
        <v>135</v>
      </c>
      <c r="V48" t="s">
        <v>62</v>
      </c>
      <c r="W48" t="s">
        <v>62</v>
      </c>
      <c r="X48">
        <v>0</v>
      </c>
      <c r="Y48">
        <v>0</v>
      </c>
      <c r="Z48">
        <v>3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2</v>
      </c>
      <c r="AK48">
        <v>0</v>
      </c>
      <c r="AL48">
        <v>5</v>
      </c>
      <c r="AM48">
        <v>2</v>
      </c>
      <c r="AN48">
        <v>30</v>
      </c>
      <c r="AO48">
        <v>2</v>
      </c>
      <c r="AP48">
        <v>29</v>
      </c>
      <c r="AQ48">
        <v>1</v>
      </c>
      <c r="AR48" t="s">
        <v>3116</v>
      </c>
      <c r="AS48" t="s">
        <v>3117</v>
      </c>
      <c r="AT48">
        <v>0.54300000000000004</v>
      </c>
      <c r="AU48" t="s">
        <v>65</v>
      </c>
      <c r="AV48">
        <v>59</v>
      </c>
      <c r="AW48">
        <v>3</v>
      </c>
      <c r="AX48" t="s">
        <v>3118</v>
      </c>
      <c r="AY48" t="s">
        <v>3119</v>
      </c>
      <c r="AZ48" t="s">
        <v>3120</v>
      </c>
      <c r="BA48">
        <v>1.32E-2</v>
      </c>
      <c r="BB48">
        <v>1</v>
      </c>
      <c r="BC48" t="s">
        <v>69</v>
      </c>
      <c r="BD48">
        <v>0.79300000000000004</v>
      </c>
      <c r="BE48">
        <v>0.25900000000000001</v>
      </c>
    </row>
    <row r="49" spans="1:57">
      <c r="A49">
        <v>0</v>
      </c>
      <c r="B49">
        <v>0</v>
      </c>
      <c r="C49">
        <v>0</v>
      </c>
      <c r="D49">
        <v>2386</v>
      </c>
      <c r="E49" t="s">
        <v>3121</v>
      </c>
      <c r="F49" t="s">
        <v>5762</v>
      </c>
      <c r="G49" t="s">
        <v>62</v>
      </c>
      <c r="H49">
        <v>2396801</v>
      </c>
      <c r="I49">
        <v>2396974</v>
      </c>
      <c r="J49" t="s">
        <v>170</v>
      </c>
      <c r="K49">
        <v>58</v>
      </c>
      <c r="L49" t="s">
        <v>59</v>
      </c>
      <c r="M49">
        <v>5</v>
      </c>
      <c r="N49" t="str">
        <f>HYPERLINK("Gene2386-zp_tree_all.dnd", "Gene2386-tree")</f>
        <v>Gene2386-tree</v>
      </c>
    </row>
    <row r="50" spans="1:57">
      <c r="A50">
        <v>0</v>
      </c>
      <c r="B50">
        <v>0</v>
      </c>
      <c r="C50">
        <v>0</v>
      </c>
      <c r="D50">
        <v>2392</v>
      </c>
      <c r="E50" t="s">
        <v>3122</v>
      </c>
      <c r="F50" t="s">
        <v>5762</v>
      </c>
      <c r="G50" t="s">
        <v>62</v>
      </c>
      <c r="H50">
        <v>2402070</v>
      </c>
      <c r="I50">
        <v>2403350</v>
      </c>
      <c r="J50" t="s">
        <v>3123</v>
      </c>
      <c r="K50">
        <v>427</v>
      </c>
      <c r="L50" t="s">
        <v>59</v>
      </c>
      <c r="M50">
        <v>5</v>
      </c>
      <c r="N50" t="str">
        <f>HYPERLINK("Gene2392-zp_tree_all.dnd", "Gene2392-tree")</f>
        <v>Gene2392-tree</v>
      </c>
      <c r="O50">
        <v>4</v>
      </c>
      <c r="P50">
        <v>1</v>
      </c>
      <c r="Q50">
        <v>3</v>
      </c>
      <c r="R50">
        <v>1</v>
      </c>
      <c r="S50">
        <v>0.25</v>
      </c>
      <c r="T50" t="s">
        <v>119</v>
      </c>
      <c r="U50" t="s">
        <v>61</v>
      </c>
      <c r="V50" t="s">
        <v>62</v>
      </c>
      <c r="W50" t="s">
        <v>62</v>
      </c>
      <c r="X50">
        <v>0</v>
      </c>
      <c r="Y50">
        <v>0</v>
      </c>
      <c r="Z50">
        <v>4</v>
      </c>
      <c r="AA50">
        <v>0</v>
      </c>
      <c r="AB50">
        <v>0</v>
      </c>
      <c r="AC50">
        <v>0</v>
      </c>
      <c r="AD50">
        <v>0</v>
      </c>
      <c r="AE50">
        <v>3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4</v>
      </c>
      <c r="AM50">
        <v>1</v>
      </c>
      <c r="AN50">
        <v>26</v>
      </c>
      <c r="AO50">
        <v>1</v>
      </c>
      <c r="AP50">
        <v>30</v>
      </c>
      <c r="AQ50">
        <v>3</v>
      </c>
      <c r="AR50" t="s">
        <v>3124</v>
      </c>
      <c r="AS50" t="s">
        <v>3125</v>
      </c>
      <c r="AT50">
        <v>0.92500000000000004</v>
      </c>
      <c r="AU50" t="s">
        <v>65</v>
      </c>
      <c r="AV50">
        <v>56</v>
      </c>
      <c r="AW50">
        <v>4</v>
      </c>
      <c r="AX50" t="s">
        <v>3126</v>
      </c>
      <c r="AY50" t="s">
        <v>3127</v>
      </c>
      <c r="AZ50" t="s">
        <v>3128</v>
      </c>
      <c r="BA50">
        <v>2.111E-2</v>
      </c>
      <c r="BB50">
        <v>1</v>
      </c>
      <c r="BC50" t="s">
        <v>69</v>
      </c>
      <c r="BD50">
        <v>0.92300000000000004</v>
      </c>
      <c r="BE50">
        <v>0.67400000000000004</v>
      </c>
    </row>
    <row r="51" spans="1:57">
      <c r="A51">
        <v>0</v>
      </c>
      <c r="B51">
        <v>0</v>
      </c>
      <c r="C51">
        <v>0</v>
      </c>
      <c r="D51">
        <v>2393</v>
      </c>
      <c r="E51" t="s">
        <v>3129</v>
      </c>
      <c r="F51" t="s">
        <v>5762</v>
      </c>
      <c r="G51" t="s">
        <v>62</v>
      </c>
      <c r="H51">
        <v>2403509</v>
      </c>
      <c r="I51">
        <v>2404090</v>
      </c>
      <c r="J51" t="s">
        <v>3130</v>
      </c>
      <c r="K51">
        <v>194</v>
      </c>
      <c r="L51" t="s">
        <v>59</v>
      </c>
      <c r="M51">
        <v>5</v>
      </c>
      <c r="N51" t="str">
        <f>HYPERLINK("Gene2393-zp_tree_all.dnd", "Gene2393-tree")</f>
        <v>Gene2393-tree</v>
      </c>
      <c r="O51">
        <v>3</v>
      </c>
      <c r="P51">
        <v>2</v>
      </c>
      <c r="Q51">
        <v>3</v>
      </c>
      <c r="R51">
        <v>2</v>
      </c>
      <c r="S51">
        <v>0.4</v>
      </c>
      <c r="T51" t="s">
        <v>84</v>
      </c>
      <c r="U51" t="s">
        <v>135</v>
      </c>
      <c r="V51" t="s">
        <v>62</v>
      </c>
      <c r="W51" t="s">
        <v>62</v>
      </c>
      <c r="X51">
        <v>0</v>
      </c>
      <c r="Y51">
        <v>0</v>
      </c>
      <c r="Z51">
        <v>6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5</v>
      </c>
      <c r="AK51">
        <v>0</v>
      </c>
      <c r="AL51">
        <v>3</v>
      </c>
      <c r="AM51">
        <v>2</v>
      </c>
      <c r="AN51">
        <v>5</v>
      </c>
      <c r="AO51">
        <v>6</v>
      </c>
      <c r="AP51">
        <v>14</v>
      </c>
      <c r="AQ51">
        <v>1</v>
      </c>
      <c r="AR51" t="s">
        <v>3131</v>
      </c>
      <c r="AS51" t="s">
        <v>3132</v>
      </c>
      <c r="AT51">
        <v>1.3009999999999999</v>
      </c>
      <c r="AU51" t="s">
        <v>65</v>
      </c>
      <c r="AV51">
        <v>19</v>
      </c>
      <c r="AW51">
        <v>7</v>
      </c>
      <c r="AX51" t="s">
        <v>3133</v>
      </c>
      <c r="AY51" t="s">
        <v>3134</v>
      </c>
      <c r="AZ51" t="s">
        <v>3135</v>
      </c>
      <c r="BA51">
        <v>7.6730000000000007E-2</v>
      </c>
      <c r="BB51">
        <v>1</v>
      </c>
      <c r="BC51" t="s">
        <v>69</v>
      </c>
      <c r="BD51">
        <v>0.74399999999999999</v>
      </c>
      <c r="BE51">
        <v>0.74399999999999999</v>
      </c>
    </row>
    <row r="52" spans="1:57">
      <c r="A52">
        <v>0</v>
      </c>
      <c r="B52">
        <v>0</v>
      </c>
      <c r="C52">
        <v>0</v>
      </c>
      <c r="D52">
        <v>2405</v>
      </c>
      <c r="E52" t="s">
        <v>3140</v>
      </c>
      <c r="F52" t="s">
        <v>5762</v>
      </c>
      <c r="G52" t="s">
        <v>62</v>
      </c>
      <c r="H52">
        <v>2414630</v>
      </c>
      <c r="I52">
        <v>2415211</v>
      </c>
      <c r="J52" t="s">
        <v>3141</v>
      </c>
      <c r="K52">
        <v>194</v>
      </c>
      <c r="L52" t="s">
        <v>59</v>
      </c>
      <c r="M52">
        <v>5</v>
      </c>
      <c r="N52" t="str">
        <f>HYPERLINK("Gene2405-zp_tree_all.dnd", "Gene2405-tree")</f>
        <v>Gene2405-tree</v>
      </c>
      <c r="O52">
        <v>5</v>
      </c>
      <c r="P52">
        <v>0</v>
      </c>
      <c r="Q52">
        <v>5</v>
      </c>
      <c r="R52">
        <v>0</v>
      </c>
      <c r="S52">
        <v>0</v>
      </c>
      <c r="T52" t="s">
        <v>98</v>
      </c>
      <c r="U52" t="s">
        <v>62</v>
      </c>
      <c r="V52" t="s">
        <v>62</v>
      </c>
      <c r="W52" t="s">
        <v>62</v>
      </c>
      <c r="X52">
        <v>0</v>
      </c>
      <c r="Y52">
        <v>0</v>
      </c>
      <c r="Z52">
        <v>3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4</v>
      </c>
      <c r="AM52">
        <v>2</v>
      </c>
      <c r="AN52">
        <v>11</v>
      </c>
      <c r="AO52">
        <v>0</v>
      </c>
      <c r="AP52">
        <v>15</v>
      </c>
      <c r="AQ52">
        <v>3</v>
      </c>
      <c r="AR52" t="s">
        <v>64</v>
      </c>
      <c r="AS52" t="s">
        <v>3142</v>
      </c>
      <c r="AT52">
        <v>1.0249999999999999</v>
      </c>
      <c r="AU52" t="s">
        <v>65</v>
      </c>
      <c r="AV52">
        <v>26</v>
      </c>
      <c r="AW52">
        <v>3</v>
      </c>
      <c r="AX52" t="s">
        <v>3143</v>
      </c>
      <c r="AY52" t="s">
        <v>3144</v>
      </c>
      <c r="AZ52" t="s">
        <v>3145</v>
      </c>
      <c r="BA52">
        <v>3.4639999999999997E-2</v>
      </c>
      <c r="BB52">
        <v>1</v>
      </c>
      <c r="BC52" t="s">
        <v>69</v>
      </c>
      <c r="BD52">
        <v>0.94399999999999995</v>
      </c>
      <c r="BE52">
        <v>0.48299999999999998</v>
      </c>
    </row>
    <row r="53" spans="1:57">
      <c r="A53">
        <v>0</v>
      </c>
      <c r="B53">
        <v>0</v>
      </c>
      <c r="C53">
        <v>0</v>
      </c>
      <c r="D53">
        <v>2410</v>
      </c>
      <c r="E53" t="s">
        <v>3146</v>
      </c>
      <c r="F53" t="s">
        <v>5762</v>
      </c>
      <c r="G53" t="s">
        <v>62</v>
      </c>
      <c r="H53">
        <v>2420807</v>
      </c>
      <c r="I53">
        <v>2421343</v>
      </c>
      <c r="J53" t="s">
        <v>3147</v>
      </c>
      <c r="K53">
        <v>179</v>
      </c>
      <c r="L53" t="s">
        <v>59</v>
      </c>
      <c r="M53">
        <v>5</v>
      </c>
      <c r="N53" t="str">
        <f>HYPERLINK("Gene2410-zp_tree_all.dnd", "Gene2410-tree")</f>
        <v>Gene2410-tree</v>
      </c>
      <c r="O53">
        <v>1</v>
      </c>
      <c r="P53">
        <v>4</v>
      </c>
      <c r="Q53">
        <v>1</v>
      </c>
      <c r="R53">
        <v>3</v>
      </c>
      <c r="S53">
        <v>0.75</v>
      </c>
      <c r="T53" t="s">
        <v>61</v>
      </c>
      <c r="U53" t="s">
        <v>119</v>
      </c>
      <c r="V53">
        <v>5</v>
      </c>
      <c r="W53" t="s">
        <v>286</v>
      </c>
      <c r="X53">
        <v>0</v>
      </c>
      <c r="Y53">
        <v>0</v>
      </c>
      <c r="Z53">
        <v>3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3</v>
      </c>
      <c r="AK53">
        <v>0</v>
      </c>
      <c r="AL53">
        <v>3</v>
      </c>
      <c r="AM53">
        <v>1</v>
      </c>
      <c r="AN53">
        <v>8</v>
      </c>
      <c r="AO53">
        <v>2</v>
      </c>
      <c r="AP53">
        <v>11</v>
      </c>
      <c r="AQ53">
        <v>2</v>
      </c>
      <c r="AR53" t="s">
        <v>3148</v>
      </c>
      <c r="AS53" t="s">
        <v>3149</v>
      </c>
      <c r="AT53">
        <v>0.84</v>
      </c>
      <c r="AU53" t="s">
        <v>65</v>
      </c>
      <c r="AV53">
        <v>19</v>
      </c>
      <c r="AW53">
        <v>4</v>
      </c>
      <c r="AX53" t="s">
        <v>3150</v>
      </c>
      <c r="AY53" t="s">
        <v>3151</v>
      </c>
      <c r="AZ53" t="s">
        <v>3152</v>
      </c>
      <c r="BA53">
        <v>5.7079999999999999E-2</v>
      </c>
      <c r="BB53">
        <v>1</v>
      </c>
      <c r="BC53" t="s">
        <v>69</v>
      </c>
      <c r="BD53">
        <v>0.73</v>
      </c>
      <c r="BE53">
        <v>0.73</v>
      </c>
    </row>
    <row r="54" spans="1:57">
      <c r="A54">
        <v>0</v>
      </c>
      <c r="B54">
        <v>0</v>
      </c>
      <c r="C54">
        <v>0</v>
      </c>
      <c r="D54">
        <v>2412</v>
      </c>
      <c r="E54" t="s">
        <v>3153</v>
      </c>
      <c r="F54" t="s">
        <v>5762</v>
      </c>
      <c r="G54" t="s">
        <v>62</v>
      </c>
      <c r="H54">
        <v>2422267</v>
      </c>
      <c r="I54">
        <v>2422800</v>
      </c>
      <c r="J54" t="s">
        <v>3154</v>
      </c>
      <c r="K54">
        <v>178</v>
      </c>
      <c r="L54" t="s">
        <v>83</v>
      </c>
      <c r="M54">
        <v>4</v>
      </c>
      <c r="N54" t="str">
        <f>HYPERLINK("Gene2412-zp_tree_all.dnd", "Gene2412-tree")</f>
        <v>Gene2412-tree</v>
      </c>
    </row>
    <row r="55" spans="1:57">
      <c r="A55">
        <v>0</v>
      </c>
      <c r="B55">
        <v>0</v>
      </c>
      <c r="C55">
        <v>0</v>
      </c>
      <c r="D55">
        <v>2415</v>
      </c>
      <c r="E55" t="s">
        <v>3155</v>
      </c>
      <c r="F55" t="s">
        <v>5762</v>
      </c>
      <c r="G55" t="s">
        <v>62</v>
      </c>
      <c r="H55">
        <v>2424657</v>
      </c>
      <c r="I55">
        <v>2425193</v>
      </c>
      <c r="J55" t="s">
        <v>118</v>
      </c>
      <c r="K55">
        <v>179</v>
      </c>
      <c r="L55" t="s">
        <v>59</v>
      </c>
      <c r="M55">
        <v>5</v>
      </c>
      <c r="N55" t="str">
        <f>HYPERLINK("Gene2415-zp_tree_all.dnd", "Gene2415-tree")</f>
        <v>Gene2415-tree</v>
      </c>
      <c r="O55">
        <v>0</v>
      </c>
      <c r="P55">
        <v>4</v>
      </c>
      <c r="Q55">
        <v>0</v>
      </c>
      <c r="R55">
        <v>4</v>
      </c>
      <c r="S55">
        <v>1</v>
      </c>
      <c r="T55" t="s">
        <v>62</v>
      </c>
      <c r="U55" t="s">
        <v>60</v>
      </c>
      <c r="V55" t="s">
        <v>62</v>
      </c>
      <c r="W55" t="s">
        <v>62</v>
      </c>
      <c r="X55">
        <v>0</v>
      </c>
      <c r="Y55">
        <v>0</v>
      </c>
      <c r="Z55">
        <v>5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5</v>
      </c>
      <c r="AK55">
        <v>0</v>
      </c>
      <c r="AL55">
        <v>3</v>
      </c>
      <c r="AM55">
        <v>1</v>
      </c>
      <c r="AN55">
        <v>8</v>
      </c>
      <c r="AO55">
        <v>3</v>
      </c>
      <c r="AP55">
        <v>7</v>
      </c>
      <c r="AQ55">
        <v>2</v>
      </c>
      <c r="AR55" t="s">
        <v>3156</v>
      </c>
      <c r="AS55" t="s">
        <v>3157</v>
      </c>
      <c r="AT55">
        <v>13.819000000000001</v>
      </c>
      <c r="AU55" t="s">
        <v>286</v>
      </c>
      <c r="AV55">
        <v>15</v>
      </c>
      <c r="AW55">
        <v>5</v>
      </c>
      <c r="AX55" t="s">
        <v>3158</v>
      </c>
      <c r="AY55" t="s">
        <v>3159</v>
      </c>
      <c r="AZ55" t="s">
        <v>3160</v>
      </c>
      <c r="BA55">
        <v>8.702E-2</v>
      </c>
      <c r="BB55">
        <v>1</v>
      </c>
      <c r="BC55" t="s">
        <v>69</v>
      </c>
      <c r="BD55">
        <v>0.154</v>
      </c>
      <c r="BE55">
        <v>0.154</v>
      </c>
    </row>
    <row r="56" spans="1:57">
      <c r="A56">
        <v>0</v>
      </c>
      <c r="B56">
        <v>0</v>
      </c>
      <c r="C56">
        <v>0</v>
      </c>
      <c r="D56">
        <v>2416</v>
      </c>
      <c r="E56" t="s">
        <v>3161</v>
      </c>
      <c r="F56" t="s">
        <v>5762</v>
      </c>
      <c r="G56" t="s">
        <v>62</v>
      </c>
      <c r="H56">
        <v>2425251</v>
      </c>
      <c r="I56">
        <v>2425841</v>
      </c>
      <c r="J56" t="s">
        <v>3162</v>
      </c>
      <c r="K56">
        <v>197</v>
      </c>
      <c r="L56" t="s">
        <v>83</v>
      </c>
      <c r="M56">
        <v>4</v>
      </c>
      <c r="N56" t="str">
        <f>HYPERLINK("Gene2416-zp_tree_all.dnd", "Gene2416-tree")</f>
        <v>Gene2416-tree</v>
      </c>
      <c r="O56">
        <v>3</v>
      </c>
      <c r="P56">
        <v>1</v>
      </c>
      <c r="Q56">
        <v>3</v>
      </c>
      <c r="R56">
        <v>1</v>
      </c>
      <c r="S56">
        <v>0.25</v>
      </c>
      <c r="T56" t="s">
        <v>84</v>
      </c>
      <c r="U56" t="s">
        <v>61</v>
      </c>
      <c r="V56" t="s">
        <v>62</v>
      </c>
      <c r="W56" t="s">
        <v>62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0</v>
      </c>
      <c r="AL56">
        <v>4</v>
      </c>
      <c r="AM56">
        <v>1</v>
      </c>
      <c r="AN56">
        <v>30</v>
      </c>
      <c r="AO56">
        <v>1</v>
      </c>
      <c r="AP56">
        <v>1</v>
      </c>
      <c r="AQ56">
        <v>0</v>
      </c>
      <c r="AR56" t="s">
        <v>3163</v>
      </c>
      <c r="AS56" t="s">
        <v>64</v>
      </c>
      <c r="AT56">
        <v>0.375</v>
      </c>
      <c r="AU56" t="s">
        <v>65</v>
      </c>
      <c r="AV56">
        <v>31</v>
      </c>
      <c r="AW56">
        <v>1</v>
      </c>
      <c r="AX56" t="s">
        <v>3164</v>
      </c>
      <c r="AY56" t="s">
        <v>3165</v>
      </c>
      <c r="AZ56" t="s">
        <v>3166</v>
      </c>
      <c r="BA56">
        <v>8.9700000000000005E-3</v>
      </c>
      <c r="BB56">
        <v>1</v>
      </c>
      <c r="BC56" t="s">
        <v>69</v>
      </c>
      <c r="BD56">
        <v>-0.54600000000000004</v>
      </c>
      <c r="BE56">
        <v>-0.86099999999999999</v>
      </c>
    </row>
    <row r="57" spans="1:57">
      <c r="A57">
        <v>0</v>
      </c>
      <c r="B57">
        <v>0</v>
      </c>
      <c r="C57">
        <v>0</v>
      </c>
      <c r="D57">
        <v>2417</v>
      </c>
      <c r="E57" t="s">
        <v>3167</v>
      </c>
      <c r="F57" t="s">
        <v>5762</v>
      </c>
      <c r="G57" t="s">
        <v>62</v>
      </c>
      <c r="H57">
        <v>2425834</v>
      </c>
      <c r="I57">
        <v>2426586</v>
      </c>
      <c r="J57" t="s">
        <v>3168</v>
      </c>
      <c r="K57">
        <v>251</v>
      </c>
      <c r="L57" t="s">
        <v>59</v>
      </c>
      <c r="M57">
        <v>5</v>
      </c>
      <c r="N57" t="str">
        <f>HYPERLINK("Gene2417-zp_tree_all.dnd", "Gene2417-tree")</f>
        <v>Gene2417-tree</v>
      </c>
      <c r="O57">
        <v>2</v>
      </c>
      <c r="P57">
        <v>3</v>
      </c>
      <c r="Q57">
        <v>2</v>
      </c>
      <c r="R57">
        <v>3</v>
      </c>
      <c r="S57">
        <v>0.6</v>
      </c>
      <c r="T57" t="s">
        <v>135</v>
      </c>
      <c r="U57" t="s">
        <v>84</v>
      </c>
      <c r="V57" t="s">
        <v>62</v>
      </c>
      <c r="W57" t="s">
        <v>62</v>
      </c>
      <c r="X57">
        <v>0</v>
      </c>
      <c r="Y57">
        <v>0</v>
      </c>
      <c r="Z57">
        <v>7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2</v>
      </c>
      <c r="AK57">
        <v>0</v>
      </c>
      <c r="AL57">
        <v>4</v>
      </c>
      <c r="AM57">
        <v>2</v>
      </c>
      <c r="AN57">
        <v>12</v>
      </c>
      <c r="AO57">
        <v>2</v>
      </c>
      <c r="AP57">
        <v>20</v>
      </c>
      <c r="AQ57">
        <v>5</v>
      </c>
      <c r="AR57" t="s">
        <v>3169</v>
      </c>
      <c r="AS57" t="s">
        <v>3170</v>
      </c>
      <c r="AT57">
        <v>0.26800000000000002</v>
      </c>
      <c r="AU57" t="s">
        <v>65</v>
      </c>
      <c r="AV57">
        <v>32</v>
      </c>
      <c r="AW57">
        <v>7</v>
      </c>
      <c r="AX57" t="s">
        <v>3171</v>
      </c>
      <c r="AY57" t="s">
        <v>3172</v>
      </c>
      <c r="AZ57" t="s">
        <v>3173</v>
      </c>
      <c r="BA57">
        <v>5.5329999999999997E-2</v>
      </c>
      <c r="BB57">
        <v>1</v>
      </c>
      <c r="BC57" t="s">
        <v>69</v>
      </c>
      <c r="BD57">
        <v>0.755</v>
      </c>
      <c r="BE57">
        <v>0.755</v>
      </c>
    </row>
    <row r="58" spans="1:57">
      <c r="A58">
        <v>0</v>
      </c>
      <c r="B58">
        <v>0</v>
      </c>
      <c r="C58">
        <v>0</v>
      </c>
      <c r="D58">
        <v>2419</v>
      </c>
      <c r="E58" t="s">
        <v>3174</v>
      </c>
      <c r="F58" t="s">
        <v>5762</v>
      </c>
      <c r="G58" t="s">
        <v>62</v>
      </c>
      <c r="H58">
        <v>2427408</v>
      </c>
      <c r="I58">
        <v>2427779</v>
      </c>
      <c r="J58" t="s">
        <v>3175</v>
      </c>
      <c r="K58">
        <v>124</v>
      </c>
      <c r="L58" t="s">
        <v>59</v>
      </c>
      <c r="M58">
        <v>5</v>
      </c>
      <c r="N58" t="str">
        <f>HYPERLINK("Gene2419-zp_tree_all.dnd", "Gene2419-tree")</f>
        <v>Gene2419-tree</v>
      </c>
      <c r="O58">
        <v>4</v>
      </c>
      <c r="P58">
        <v>0</v>
      </c>
      <c r="Q58">
        <v>4</v>
      </c>
      <c r="R58">
        <v>0</v>
      </c>
      <c r="S58">
        <v>0</v>
      </c>
      <c r="T58" t="s">
        <v>60</v>
      </c>
      <c r="U58" t="s">
        <v>62</v>
      </c>
      <c r="V58" t="s">
        <v>62</v>
      </c>
      <c r="W58" t="s">
        <v>62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3</v>
      </c>
      <c r="AM58">
        <v>1</v>
      </c>
      <c r="AN58">
        <v>6</v>
      </c>
      <c r="AO58">
        <v>0</v>
      </c>
      <c r="AP58">
        <v>3</v>
      </c>
      <c r="AQ58">
        <v>0</v>
      </c>
      <c r="AR58" t="s">
        <v>64</v>
      </c>
      <c r="AS58" t="s">
        <v>64</v>
      </c>
      <c r="AT58">
        <v>0</v>
      </c>
      <c r="AU58" t="s">
        <v>65</v>
      </c>
      <c r="AV58">
        <v>9</v>
      </c>
      <c r="AW58">
        <v>0</v>
      </c>
      <c r="AX58" t="s">
        <v>3176</v>
      </c>
      <c r="AY58" t="s">
        <v>3177</v>
      </c>
      <c r="AZ58" t="s">
        <v>64</v>
      </c>
      <c r="BA58">
        <v>0</v>
      </c>
      <c r="BB58">
        <v>1</v>
      </c>
      <c r="BC58" t="s">
        <v>69</v>
      </c>
      <c r="BD58">
        <v>-0.19700000000000001</v>
      </c>
      <c r="BE58">
        <v>-0.19700000000000001</v>
      </c>
    </row>
    <row r="59" spans="1:57">
      <c r="A59">
        <v>0</v>
      </c>
      <c r="B59">
        <v>0</v>
      </c>
      <c r="C59">
        <v>0</v>
      </c>
      <c r="D59">
        <v>2420</v>
      </c>
      <c r="E59" t="s">
        <v>3178</v>
      </c>
      <c r="F59" t="s">
        <v>5762</v>
      </c>
      <c r="G59" t="s">
        <v>62</v>
      </c>
      <c r="H59">
        <v>2427895</v>
      </c>
      <c r="I59">
        <v>2428356</v>
      </c>
      <c r="J59" t="s">
        <v>3179</v>
      </c>
      <c r="K59">
        <v>154</v>
      </c>
      <c r="L59" t="s">
        <v>59</v>
      </c>
      <c r="M59">
        <v>5</v>
      </c>
      <c r="N59" t="str">
        <f>HYPERLINK("Gene2420-zp_tree_all.dnd", "Gene2420-tree")</f>
        <v>Gene2420-tree</v>
      </c>
      <c r="O59">
        <v>5</v>
      </c>
      <c r="P59">
        <v>0</v>
      </c>
      <c r="Q59">
        <v>5</v>
      </c>
      <c r="R59">
        <v>0</v>
      </c>
      <c r="S59">
        <v>0</v>
      </c>
      <c r="T59" t="s">
        <v>98</v>
      </c>
      <c r="U59" t="s">
        <v>62</v>
      </c>
      <c r="V59" t="s">
        <v>62</v>
      </c>
      <c r="W59" t="s">
        <v>62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4</v>
      </c>
      <c r="AM59">
        <v>2</v>
      </c>
      <c r="AN59">
        <v>12</v>
      </c>
      <c r="AO59">
        <v>0</v>
      </c>
      <c r="AP59">
        <v>11</v>
      </c>
      <c r="AQ59">
        <v>0</v>
      </c>
      <c r="AR59" t="s">
        <v>64</v>
      </c>
      <c r="AS59" t="s">
        <v>64</v>
      </c>
      <c r="AT59">
        <v>0</v>
      </c>
      <c r="AU59" t="s">
        <v>65</v>
      </c>
      <c r="AV59">
        <v>23</v>
      </c>
      <c r="AW59">
        <v>0</v>
      </c>
      <c r="AX59" t="s">
        <v>3180</v>
      </c>
      <c r="AY59" t="s">
        <v>3181</v>
      </c>
      <c r="AZ59" t="s">
        <v>64</v>
      </c>
      <c r="BA59">
        <v>0</v>
      </c>
      <c r="BB59">
        <v>1</v>
      </c>
      <c r="BC59" t="s">
        <v>69</v>
      </c>
      <c r="BD59">
        <v>0.44900000000000001</v>
      </c>
      <c r="BE59">
        <v>0.44900000000000001</v>
      </c>
    </row>
    <row r="60" spans="1:57">
      <c r="A60">
        <v>0</v>
      </c>
      <c r="B60">
        <v>0</v>
      </c>
      <c r="C60">
        <v>0</v>
      </c>
      <c r="D60">
        <v>2421</v>
      </c>
      <c r="E60" t="s">
        <v>3182</v>
      </c>
      <c r="F60" t="s">
        <v>5762</v>
      </c>
      <c r="G60" t="s">
        <v>62</v>
      </c>
      <c r="H60">
        <v>2428392</v>
      </c>
      <c r="I60">
        <v>2429585</v>
      </c>
      <c r="J60" t="s">
        <v>3183</v>
      </c>
      <c r="K60">
        <v>398</v>
      </c>
      <c r="L60" t="s">
        <v>83</v>
      </c>
      <c r="M60">
        <v>4</v>
      </c>
      <c r="N60" t="str">
        <f>HYPERLINK("Gene2421-zp_tree_all.dnd", "Gene2421-tree")</f>
        <v>Gene2421-tree</v>
      </c>
      <c r="O60">
        <v>2</v>
      </c>
      <c r="P60">
        <v>2</v>
      </c>
      <c r="Q60">
        <v>2</v>
      </c>
      <c r="R60">
        <v>2</v>
      </c>
      <c r="S60">
        <v>0.5</v>
      </c>
      <c r="T60" t="s">
        <v>135</v>
      </c>
      <c r="U60" t="s">
        <v>135</v>
      </c>
      <c r="V60" t="s">
        <v>62</v>
      </c>
      <c r="W60" t="s">
        <v>62</v>
      </c>
      <c r="X60">
        <v>0</v>
      </c>
      <c r="Y60">
        <v>0</v>
      </c>
      <c r="Z60">
        <v>7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7</v>
      </c>
      <c r="AK60">
        <v>0</v>
      </c>
      <c r="AL60">
        <v>4</v>
      </c>
      <c r="AM60">
        <v>1</v>
      </c>
      <c r="AN60">
        <v>59</v>
      </c>
      <c r="AO60">
        <v>7</v>
      </c>
      <c r="AP60">
        <v>2</v>
      </c>
      <c r="AQ60">
        <v>0</v>
      </c>
      <c r="AR60" t="s">
        <v>3184</v>
      </c>
      <c r="AS60" t="s">
        <v>64</v>
      </c>
      <c r="AT60">
        <v>0.63</v>
      </c>
      <c r="AU60" t="s">
        <v>65</v>
      </c>
      <c r="AV60">
        <v>61</v>
      </c>
      <c r="AW60">
        <v>7</v>
      </c>
      <c r="AX60" t="s">
        <v>3185</v>
      </c>
      <c r="AY60" t="s">
        <v>3186</v>
      </c>
      <c r="AZ60" t="s">
        <v>3187</v>
      </c>
      <c r="BA60">
        <v>3.04E-2</v>
      </c>
      <c r="BB60">
        <v>1</v>
      </c>
      <c r="BC60" t="s">
        <v>69</v>
      </c>
      <c r="BD60">
        <v>-0.72699999999999998</v>
      </c>
      <c r="BE60">
        <v>-0.72699999999999998</v>
      </c>
    </row>
    <row r="61" spans="1:57">
      <c r="A61">
        <v>0</v>
      </c>
      <c r="B61">
        <v>0</v>
      </c>
      <c r="C61">
        <v>0</v>
      </c>
      <c r="D61">
        <v>2422</v>
      </c>
      <c r="E61" t="s">
        <v>3188</v>
      </c>
      <c r="F61" t="s">
        <v>5762</v>
      </c>
      <c r="G61" t="s">
        <v>62</v>
      </c>
      <c r="H61">
        <v>2429603</v>
      </c>
      <c r="I61">
        <v>2430247</v>
      </c>
      <c r="J61" t="s">
        <v>3189</v>
      </c>
      <c r="K61">
        <v>215</v>
      </c>
      <c r="L61" t="s">
        <v>59</v>
      </c>
      <c r="M61">
        <v>5</v>
      </c>
      <c r="N61" t="str">
        <f>HYPERLINK("Gene2422-zp_tree_all.dnd", "Gene2422-tree")</f>
        <v>Gene2422-tree</v>
      </c>
      <c r="O61">
        <v>1</v>
      </c>
      <c r="P61">
        <v>4</v>
      </c>
      <c r="Q61">
        <v>1</v>
      </c>
      <c r="R61">
        <v>4</v>
      </c>
      <c r="S61">
        <v>0.8</v>
      </c>
      <c r="T61" t="s">
        <v>61</v>
      </c>
      <c r="U61" t="s">
        <v>60</v>
      </c>
      <c r="V61" t="s">
        <v>62</v>
      </c>
      <c r="W61" t="s">
        <v>62</v>
      </c>
      <c r="X61">
        <v>0</v>
      </c>
      <c r="Y61">
        <v>0</v>
      </c>
      <c r="Z61">
        <v>10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9</v>
      </c>
      <c r="AK61">
        <v>0</v>
      </c>
      <c r="AL61">
        <v>4</v>
      </c>
      <c r="AM61">
        <v>2</v>
      </c>
      <c r="AN61">
        <v>12</v>
      </c>
      <c r="AO61">
        <v>9</v>
      </c>
      <c r="AP61">
        <v>20</v>
      </c>
      <c r="AQ61">
        <v>1</v>
      </c>
      <c r="AR61" t="s">
        <v>3190</v>
      </c>
      <c r="AS61" t="s">
        <v>3191</v>
      </c>
      <c r="AT61">
        <v>3.5739999999999998</v>
      </c>
      <c r="AU61" t="s">
        <v>286</v>
      </c>
      <c r="AV61">
        <v>32</v>
      </c>
      <c r="AW61">
        <v>10</v>
      </c>
      <c r="AX61" t="s">
        <v>3192</v>
      </c>
      <c r="AY61" t="s">
        <v>3193</v>
      </c>
      <c r="AZ61" t="s">
        <v>3194</v>
      </c>
      <c r="BA61">
        <v>6.5250000000000002E-2</v>
      </c>
      <c r="BB61">
        <v>1</v>
      </c>
      <c r="BC61" t="s">
        <v>69</v>
      </c>
      <c r="BD61">
        <v>0.42799999999999999</v>
      </c>
      <c r="BE61">
        <v>0.42799999999999999</v>
      </c>
    </row>
    <row r="62" spans="1:57">
      <c r="A62">
        <v>0</v>
      </c>
      <c r="B62">
        <v>0</v>
      </c>
      <c r="C62">
        <v>2</v>
      </c>
      <c r="D62">
        <v>2424</v>
      </c>
      <c r="E62" t="s">
        <v>3195</v>
      </c>
      <c r="F62" t="s">
        <v>5762</v>
      </c>
      <c r="G62" t="s">
        <v>62</v>
      </c>
      <c r="H62">
        <v>2431740</v>
      </c>
      <c r="I62">
        <v>2432081</v>
      </c>
      <c r="J62" t="s">
        <v>118</v>
      </c>
      <c r="K62">
        <v>114</v>
      </c>
      <c r="L62" t="s">
        <v>59</v>
      </c>
      <c r="M62">
        <v>5</v>
      </c>
      <c r="N62" t="str">
        <f>HYPERLINK("Gene2424-zp_tree_all.dnd", "Gene2424-tree")</f>
        <v>Gene2424-tree</v>
      </c>
      <c r="O62">
        <v>2</v>
      </c>
      <c r="P62">
        <v>3</v>
      </c>
      <c r="Q62">
        <v>2</v>
      </c>
      <c r="R62">
        <v>3</v>
      </c>
      <c r="S62">
        <v>0.6</v>
      </c>
      <c r="T62" t="s">
        <v>135</v>
      </c>
      <c r="U62" t="s">
        <v>84</v>
      </c>
      <c r="V62" t="s">
        <v>62</v>
      </c>
      <c r="W62" t="s">
        <v>62</v>
      </c>
      <c r="X62">
        <v>1</v>
      </c>
      <c r="Y62">
        <v>2</v>
      </c>
      <c r="Z62">
        <v>2</v>
      </c>
      <c r="AA62">
        <v>0.5</v>
      </c>
      <c r="AB62">
        <v>0</v>
      </c>
      <c r="AC62">
        <v>0</v>
      </c>
      <c r="AD62">
        <v>0</v>
      </c>
      <c r="AE62">
        <v>2</v>
      </c>
      <c r="AF62">
        <v>0</v>
      </c>
      <c r="AG62">
        <v>0</v>
      </c>
      <c r="AH62">
        <v>0</v>
      </c>
      <c r="AI62">
        <v>0</v>
      </c>
      <c r="AJ62">
        <v>2</v>
      </c>
      <c r="AK62">
        <v>0</v>
      </c>
      <c r="AL62">
        <v>3</v>
      </c>
      <c r="AM62">
        <v>1</v>
      </c>
      <c r="AN62">
        <v>6</v>
      </c>
      <c r="AO62">
        <v>2</v>
      </c>
      <c r="AP62">
        <v>5</v>
      </c>
      <c r="AQ62">
        <v>2</v>
      </c>
      <c r="AR62" t="s">
        <v>3196</v>
      </c>
      <c r="AS62" t="s">
        <v>3197</v>
      </c>
      <c r="AT62">
        <v>0.308</v>
      </c>
      <c r="AU62" t="s">
        <v>65</v>
      </c>
      <c r="AV62">
        <v>11</v>
      </c>
      <c r="AW62">
        <v>4</v>
      </c>
      <c r="AX62" t="s">
        <v>3198</v>
      </c>
      <c r="AY62" t="s">
        <v>3199</v>
      </c>
      <c r="AZ62" t="s">
        <v>3200</v>
      </c>
      <c r="BA62">
        <v>0.10598</v>
      </c>
      <c r="BB62">
        <v>1</v>
      </c>
      <c r="BC62" t="s">
        <v>69</v>
      </c>
      <c r="BD62">
        <v>0.41199999999999998</v>
      </c>
      <c r="BE62">
        <v>-0.13</v>
      </c>
    </row>
    <row r="63" spans="1:57">
      <c r="A63">
        <v>0</v>
      </c>
      <c r="B63">
        <v>0</v>
      </c>
      <c r="C63">
        <v>0</v>
      </c>
      <c r="D63">
        <v>2433</v>
      </c>
      <c r="E63" t="s">
        <v>3201</v>
      </c>
      <c r="F63" t="s">
        <v>5762</v>
      </c>
      <c r="G63" t="s">
        <v>62</v>
      </c>
      <c r="H63">
        <v>2435363</v>
      </c>
      <c r="I63">
        <v>2435791</v>
      </c>
      <c r="J63" t="s">
        <v>3202</v>
      </c>
      <c r="K63">
        <v>143</v>
      </c>
      <c r="L63" t="s">
        <v>83</v>
      </c>
      <c r="M63">
        <v>4</v>
      </c>
      <c r="N63" t="str">
        <f>HYPERLINK("Gene2433-zp_tree_all.dnd", "Gene2433-tree")</f>
        <v>Gene2433-tree</v>
      </c>
      <c r="O63">
        <v>3</v>
      </c>
      <c r="P63">
        <v>1</v>
      </c>
      <c r="Q63">
        <v>3</v>
      </c>
      <c r="R63">
        <v>1</v>
      </c>
      <c r="S63">
        <v>0.25</v>
      </c>
      <c r="T63" t="s">
        <v>84</v>
      </c>
      <c r="U63" t="s">
        <v>61</v>
      </c>
      <c r="V63" t="s">
        <v>62</v>
      </c>
      <c r="W63" t="s">
        <v>62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4</v>
      </c>
      <c r="AM63">
        <v>1</v>
      </c>
      <c r="AN63">
        <v>24</v>
      </c>
      <c r="AO63">
        <v>1</v>
      </c>
      <c r="AP63">
        <v>2</v>
      </c>
      <c r="AQ63">
        <v>0</v>
      </c>
      <c r="AR63" t="s">
        <v>3203</v>
      </c>
      <c r="AS63" t="s">
        <v>64</v>
      </c>
      <c r="AT63">
        <v>0.44800000000000001</v>
      </c>
      <c r="AU63" t="s">
        <v>65</v>
      </c>
      <c r="AV63">
        <v>26</v>
      </c>
      <c r="AW63">
        <v>1</v>
      </c>
      <c r="AX63" t="s">
        <v>3204</v>
      </c>
      <c r="AY63" t="s">
        <v>3205</v>
      </c>
      <c r="AZ63" t="s">
        <v>3206</v>
      </c>
      <c r="BA63">
        <v>1.057E-2</v>
      </c>
      <c r="BB63">
        <v>1</v>
      </c>
      <c r="BC63" t="s">
        <v>69</v>
      </c>
      <c r="BD63">
        <v>-0.20300000000000001</v>
      </c>
      <c r="BE63">
        <v>-0.20300000000000001</v>
      </c>
    </row>
    <row r="64" spans="1:57">
      <c r="A64">
        <v>0</v>
      </c>
      <c r="B64">
        <v>0</v>
      </c>
      <c r="C64">
        <v>0</v>
      </c>
      <c r="D64">
        <v>2437</v>
      </c>
      <c r="E64" t="s">
        <v>3207</v>
      </c>
      <c r="F64" t="s">
        <v>5762</v>
      </c>
      <c r="G64" t="s">
        <v>62</v>
      </c>
      <c r="H64">
        <v>2439807</v>
      </c>
      <c r="I64">
        <v>2440415</v>
      </c>
      <c r="J64" t="s">
        <v>3208</v>
      </c>
      <c r="K64">
        <v>203</v>
      </c>
      <c r="L64" t="s">
        <v>83</v>
      </c>
      <c r="M64">
        <v>4</v>
      </c>
      <c r="N64" t="str">
        <f>HYPERLINK("Gene2437-zp_tree_all.dnd", "Gene2437-tree")</f>
        <v>Gene2437-tree</v>
      </c>
      <c r="O64">
        <v>3</v>
      </c>
      <c r="P64">
        <v>1</v>
      </c>
      <c r="Q64">
        <v>3</v>
      </c>
      <c r="R64">
        <v>1</v>
      </c>
      <c r="S64">
        <v>0.25</v>
      </c>
      <c r="T64" t="s">
        <v>84</v>
      </c>
      <c r="U64" t="s">
        <v>61</v>
      </c>
      <c r="V64" t="s">
        <v>62</v>
      </c>
      <c r="W64" t="s">
        <v>62</v>
      </c>
      <c r="X64">
        <v>0</v>
      </c>
      <c r="Y64">
        <v>0</v>
      </c>
      <c r="Z64">
        <v>7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7</v>
      </c>
      <c r="AK64">
        <v>0</v>
      </c>
      <c r="AL64">
        <v>3</v>
      </c>
      <c r="AM64">
        <v>1</v>
      </c>
      <c r="AN64">
        <v>24</v>
      </c>
      <c r="AO64">
        <v>8</v>
      </c>
      <c r="AP64">
        <v>1</v>
      </c>
      <c r="AQ64">
        <v>0</v>
      </c>
      <c r="AR64" t="s">
        <v>3209</v>
      </c>
      <c r="AS64" t="s">
        <v>64</v>
      </c>
      <c r="AT64">
        <v>0.51400000000000001</v>
      </c>
      <c r="AU64" t="s">
        <v>65</v>
      </c>
      <c r="AV64">
        <v>25</v>
      </c>
      <c r="AW64">
        <v>8</v>
      </c>
      <c r="AX64" t="s">
        <v>3210</v>
      </c>
      <c r="AY64" t="s">
        <v>3211</v>
      </c>
      <c r="AZ64" t="s">
        <v>3212</v>
      </c>
      <c r="BA64">
        <v>9.1329999999999995E-2</v>
      </c>
      <c r="BB64">
        <v>1</v>
      </c>
      <c r="BC64" t="s">
        <v>69</v>
      </c>
      <c r="BD64">
        <v>-0.76700000000000002</v>
      </c>
      <c r="BE64">
        <v>-0.76700000000000002</v>
      </c>
    </row>
    <row r="65" spans="1:57">
      <c r="A65">
        <v>0</v>
      </c>
      <c r="B65">
        <v>0</v>
      </c>
      <c r="C65">
        <v>0</v>
      </c>
      <c r="D65">
        <v>2443</v>
      </c>
      <c r="E65" t="s">
        <v>3213</v>
      </c>
      <c r="F65" t="s">
        <v>5762</v>
      </c>
      <c r="G65" t="s">
        <v>62</v>
      </c>
      <c r="H65">
        <v>2443432</v>
      </c>
      <c r="I65">
        <v>2444196</v>
      </c>
      <c r="J65" t="s">
        <v>3214</v>
      </c>
      <c r="K65">
        <v>255</v>
      </c>
      <c r="L65" t="s">
        <v>59</v>
      </c>
      <c r="M65">
        <v>5</v>
      </c>
      <c r="N65" t="str">
        <f>HYPERLINK("Gene2443-zp_tree_all.dnd", "Gene2443-tree")</f>
        <v>Gene2443-tree</v>
      </c>
      <c r="O65">
        <v>4</v>
      </c>
      <c r="P65">
        <v>1</v>
      </c>
      <c r="Q65">
        <v>4</v>
      </c>
      <c r="R65">
        <v>1</v>
      </c>
      <c r="S65">
        <v>0.2</v>
      </c>
      <c r="T65" t="s">
        <v>60</v>
      </c>
      <c r="U65" t="s">
        <v>61</v>
      </c>
      <c r="V65" t="s">
        <v>62</v>
      </c>
      <c r="W65" t="s">
        <v>62</v>
      </c>
      <c r="X65">
        <v>0</v>
      </c>
      <c r="Y65">
        <v>0</v>
      </c>
      <c r="Z65">
        <v>2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2</v>
      </c>
      <c r="AK65">
        <v>0</v>
      </c>
      <c r="AL65">
        <v>4</v>
      </c>
      <c r="AM65">
        <v>2</v>
      </c>
      <c r="AN65">
        <v>10</v>
      </c>
      <c r="AO65">
        <v>2</v>
      </c>
      <c r="AP65">
        <v>24</v>
      </c>
      <c r="AQ65">
        <v>0</v>
      </c>
      <c r="AR65" t="s">
        <v>3215</v>
      </c>
      <c r="AS65" t="s">
        <v>64</v>
      </c>
      <c r="AT65">
        <v>0.57999999999999996</v>
      </c>
      <c r="AU65" t="s">
        <v>65</v>
      </c>
      <c r="AV65">
        <v>34</v>
      </c>
      <c r="AW65">
        <v>2</v>
      </c>
      <c r="AX65" t="s">
        <v>3216</v>
      </c>
      <c r="AY65" t="s">
        <v>3217</v>
      </c>
      <c r="AZ65" t="s">
        <v>3218</v>
      </c>
      <c r="BA65">
        <v>1.1259999999999999E-2</v>
      </c>
      <c r="BB65">
        <v>1</v>
      </c>
      <c r="BC65" t="s">
        <v>69</v>
      </c>
      <c r="BD65">
        <v>1.0469999999999999</v>
      </c>
      <c r="BE65">
        <v>0.58799999999999997</v>
      </c>
    </row>
    <row r="66" spans="1:57">
      <c r="A66">
        <v>0</v>
      </c>
      <c r="B66">
        <v>0</v>
      </c>
      <c r="C66">
        <v>0</v>
      </c>
      <c r="D66">
        <v>2445</v>
      </c>
      <c r="E66" t="s">
        <v>3219</v>
      </c>
      <c r="F66" t="s">
        <v>5762</v>
      </c>
      <c r="G66" t="s">
        <v>62</v>
      </c>
      <c r="H66">
        <v>2444648</v>
      </c>
      <c r="I66">
        <v>2444998</v>
      </c>
      <c r="J66" t="s">
        <v>3220</v>
      </c>
      <c r="K66">
        <v>117</v>
      </c>
      <c r="L66" t="s">
        <v>59</v>
      </c>
      <c r="M66">
        <v>5</v>
      </c>
      <c r="N66" t="str">
        <f>HYPERLINK("Gene2445-zp_tree_all.dnd", "Gene2445-tree")</f>
        <v>Gene2445-tree</v>
      </c>
      <c r="O66">
        <v>5</v>
      </c>
      <c r="P66">
        <v>0</v>
      </c>
      <c r="Q66">
        <v>4</v>
      </c>
      <c r="R66">
        <v>0</v>
      </c>
      <c r="S66">
        <v>0</v>
      </c>
      <c r="T66" t="s">
        <v>150</v>
      </c>
      <c r="U66" t="s">
        <v>62</v>
      </c>
      <c r="V66" t="s">
        <v>62</v>
      </c>
      <c r="W66" t="s">
        <v>62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4</v>
      </c>
      <c r="AM66">
        <v>1</v>
      </c>
      <c r="AN66">
        <v>9</v>
      </c>
      <c r="AO66">
        <v>0</v>
      </c>
      <c r="AP66">
        <v>9</v>
      </c>
      <c r="AQ66">
        <v>1</v>
      </c>
      <c r="AR66" t="s">
        <v>64</v>
      </c>
      <c r="AS66" t="s">
        <v>3221</v>
      </c>
      <c r="AT66">
        <v>0</v>
      </c>
      <c r="AU66" t="s">
        <v>65</v>
      </c>
      <c r="AV66">
        <v>18</v>
      </c>
      <c r="AW66">
        <v>1</v>
      </c>
      <c r="AX66" t="s">
        <v>3222</v>
      </c>
      <c r="AY66" t="s">
        <v>3223</v>
      </c>
      <c r="AZ66" t="s">
        <v>3224</v>
      </c>
      <c r="BA66">
        <v>1.6889999999999999E-2</v>
      </c>
      <c r="BB66">
        <v>1</v>
      </c>
      <c r="BC66" t="s">
        <v>69</v>
      </c>
      <c r="BD66">
        <v>0.874</v>
      </c>
      <c r="BE66">
        <v>0.874</v>
      </c>
    </row>
    <row r="67" spans="1:57">
      <c r="A67">
        <v>0</v>
      </c>
      <c r="B67">
        <v>0</v>
      </c>
      <c r="C67">
        <v>0</v>
      </c>
      <c r="D67">
        <v>2450</v>
      </c>
      <c r="E67" t="s">
        <v>3225</v>
      </c>
      <c r="F67" t="s">
        <v>5762</v>
      </c>
      <c r="G67" t="s">
        <v>62</v>
      </c>
      <c r="H67">
        <v>2449492</v>
      </c>
      <c r="I67">
        <v>2449716</v>
      </c>
      <c r="J67" t="s">
        <v>118</v>
      </c>
      <c r="K67">
        <v>75</v>
      </c>
      <c r="L67" t="s">
        <v>59</v>
      </c>
      <c r="M67">
        <v>5</v>
      </c>
      <c r="N67" t="str">
        <f>HYPERLINK("Gene2450-zp_tree_all.dnd", "Gene2450-tree")</f>
        <v>Gene2450-tree</v>
      </c>
    </row>
    <row r="68" spans="1:57">
      <c r="A68">
        <v>0</v>
      </c>
      <c r="B68">
        <v>0</v>
      </c>
      <c r="C68">
        <v>0</v>
      </c>
      <c r="D68">
        <v>2451</v>
      </c>
      <c r="E68" t="s">
        <v>3226</v>
      </c>
      <c r="F68" t="s">
        <v>5762</v>
      </c>
      <c r="G68" t="s">
        <v>62</v>
      </c>
      <c r="H68">
        <v>2449844</v>
      </c>
      <c r="I68">
        <v>2450290</v>
      </c>
      <c r="J68" t="s">
        <v>3227</v>
      </c>
      <c r="K68">
        <v>149</v>
      </c>
      <c r="L68" t="s">
        <v>59</v>
      </c>
      <c r="M68">
        <v>5</v>
      </c>
      <c r="N68" t="str">
        <f>HYPERLINK("Gene2451-zp_tree_all.dnd", "Gene2451-tree")</f>
        <v>Gene2451-tree</v>
      </c>
      <c r="O68">
        <v>4</v>
      </c>
      <c r="P68">
        <v>1</v>
      </c>
      <c r="Q68">
        <v>4</v>
      </c>
      <c r="R68">
        <v>1</v>
      </c>
      <c r="S68">
        <v>0.2</v>
      </c>
      <c r="T68" t="s">
        <v>60</v>
      </c>
      <c r="U68" t="s">
        <v>61</v>
      </c>
      <c r="V68" t="s">
        <v>62</v>
      </c>
      <c r="W68" t="s">
        <v>62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0</v>
      </c>
      <c r="AL68">
        <v>3</v>
      </c>
      <c r="AM68">
        <v>2</v>
      </c>
      <c r="AN68">
        <v>3</v>
      </c>
      <c r="AO68">
        <v>1</v>
      </c>
      <c r="AP68">
        <v>7</v>
      </c>
      <c r="AQ68">
        <v>0</v>
      </c>
      <c r="AR68" t="s">
        <v>3228</v>
      </c>
      <c r="AS68" t="s">
        <v>64</v>
      </c>
      <c r="AT68">
        <v>0.64900000000000002</v>
      </c>
      <c r="AU68" t="s">
        <v>65</v>
      </c>
      <c r="AV68">
        <v>10</v>
      </c>
      <c r="AW68">
        <v>1</v>
      </c>
      <c r="AX68" t="s">
        <v>3229</v>
      </c>
      <c r="AY68" t="s">
        <v>3230</v>
      </c>
      <c r="AZ68" t="s">
        <v>3231</v>
      </c>
      <c r="BA68">
        <v>1.8849999999999999E-2</v>
      </c>
      <c r="BB68">
        <v>1</v>
      </c>
      <c r="BC68" t="s">
        <v>69</v>
      </c>
      <c r="BD68">
        <v>0.70899999999999996</v>
      </c>
      <c r="BE68">
        <v>0.70899999999999996</v>
      </c>
    </row>
    <row r="69" spans="1:57">
      <c r="A69">
        <v>0</v>
      </c>
      <c r="B69">
        <v>0</v>
      </c>
      <c r="C69">
        <v>0</v>
      </c>
      <c r="D69">
        <v>2457</v>
      </c>
      <c r="E69" t="s">
        <v>3232</v>
      </c>
      <c r="F69" t="s">
        <v>5762</v>
      </c>
      <c r="G69" t="s">
        <v>62</v>
      </c>
      <c r="H69">
        <v>2455822</v>
      </c>
      <c r="I69">
        <v>2456808</v>
      </c>
      <c r="J69" t="s">
        <v>3233</v>
      </c>
      <c r="K69">
        <v>329</v>
      </c>
      <c r="L69" t="s">
        <v>59</v>
      </c>
      <c r="M69">
        <v>5</v>
      </c>
      <c r="N69" t="str">
        <f>HYPERLINK("Gene2457-zp_tree_all.dnd", "Gene2457-tree")</f>
        <v>Gene2457-tree</v>
      </c>
      <c r="O69">
        <v>3</v>
      </c>
      <c r="P69">
        <v>2</v>
      </c>
      <c r="Q69">
        <v>3</v>
      </c>
      <c r="R69">
        <v>2</v>
      </c>
      <c r="S69">
        <v>0.4</v>
      </c>
      <c r="T69" t="s">
        <v>84</v>
      </c>
      <c r="U69" t="s">
        <v>135</v>
      </c>
      <c r="V69" t="s">
        <v>62</v>
      </c>
      <c r="W69" t="s">
        <v>62</v>
      </c>
      <c r="X69">
        <v>0</v>
      </c>
      <c r="Y69">
        <v>0</v>
      </c>
      <c r="Z69">
        <v>3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2</v>
      </c>
      <c r="AK69">
        <v>0</v>
      </c>
      <c r="AL69">
        <v>5</v>
      </c>
      <c r="AM69">
        <v>2</v>
      </c>
      <c r="AN69">
        <v>31</v>
      </c>
      <c r="AO69">
        <v>2</v>
      </c>
      <c r="AP69">
        <v>26</v>
      </c>
      <c r="AQ69">
        <v>1</v>
      </c>
      <c r="AR69" t="s">
        <v>3234</v>
      </c>
      <c r="AS69" t="s">
        <v>3235</v>
      </c>
      <c r="AT69">
        <v>0.371</v>
      </c>
      <c r="AU69" t="s">
        <v>65</v>
      </c>
      <c r="AV69">
        <v>57</v>
      </c>
      <c r="AW69">
        <v>3</v>
      </c>
      <c r="AX69" t="s">
        <v>3236</v>
      </c>
      <c r="AY69" t="s">
        <v>3237</v>
      </c>
      <c r="AZ69" t="s">
        <v>3238</v>
      </c>
      <c r="BA69">
        <v>1.4149999999999999E-2</v>
      </c>
      <c r="BB69">
        <v>1</v>
      </c>
      <c r="BC69" t="s">
        <v>69</v>
      </c>
      <c r="BD69">
        <v>0.51900000000000002</v>
      </c>
      <c r="BE69">
        <v>0.25600000000000001</v>
      </c>
    </row>
    <row r="70" spans="1:57">
      <c r="A70">
        <v>0</v>
      </c>
      <c r="B70">
        <v>0</v>
      </c>
      <c r="C70">
        <v>0</v>
      </c>
      <c r="D70">
        <v>2465</v>
      </c>
      <c r="E70" t="s">
        <v>3239</v>
      </c>
      <c r="F70" t="s">
        <v>5762</v>
      </c>
      <c r="G70" t="s">
        <v>62</v>
      </c>
      <c r="H70">
        <v>2461624</v>
      </c>
      <c r="I70">
        <v>2461860</v>
      </c>
      <c r="J70" t="s">
        <v>118</v>
      </c>
      <c r="K70">
        <v>79</v>
      </c>
      <c r="L70" t="s">
        <v>59</v>
      </c>
      <c r="M70">
        <v>5</v>
      </c>
      <c r="N70" t="str">
        <f>HYPERLINK("Gene2465-zp_tree_all.dnd", "Gene2465-tree")</f>
        <v>Gene2465-tree</v>
      </c>
    </row>
    <row r="71" spans="1:57">
      <c r="A71">
        <v>0</v>
      </c>
      <c r="B71">
        <v>0</v>
      </c>
      <c r="C71">
        <v>0</v>
      </c>
      <c r="D71">
        <v>2466</v>
      </c>
      <c r="E71" t="s">
        <v>3240</v>
      </c>
      <c r="F71" t="s">
        <v>5762</v>
      </c>
      <c r="G71" t="s">
        <v>62</v>
      </c>
      <c r="H71">
        <v>2461876</v>
      </c>
      <c r="I71">
        <v>2462196</v>
      </c>
      <c r="J71" t="s">
        <v>118</v>
      </c>
      <c r="K71">
        <v>107</v>
      </c>
      <c r="L71" t="s">
        <v>59</v>
      </c>
      <c r="M71">
        <v>5</v>
      </c>
      <c r="N71" t="str">
        <f>HYPERLINK("Gene2466-zp_tree_all.dnd", "Gene2466-tree")</f>
        <v>Gene2466-tree</v>
      </c>
      <c r="O71">
        <v>5</v>
      </c>
      <c r="P71">
        <v>0</v>
      </c>
      <c r="Q71">
        <v>5</v>
      </c>
      <c r="R71">
        <v>0</v>
      </c>
      <c r="S71">
        <v>0</v>
      </c>
      <c r="T71" t="s">
        <v>98</v>
      </c>
      <c r="U71" t="s">
        <v>62</v>
      </c>
      <c r="V71" t="s">
        <v>62</v>
      </c>
      <c r="W71" t="s">
        <v>62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3</v>
      </c>
      <c r="AM71">
        <v>1</v>
      </c>
      <c r="AN71">
        <v>4</v>
      </c>
      <c r="AO71">
        <v>0</v>
      </c>
      <c r="AP71">
        <v>8</v>
      </c>
      <c r="AQ71">
        <v>0</v>
      </c>
      <c r="AR71" t="s">
        <v>64</v>
      </c>
      <c r="AS71" t="s">
        <v>64</v>
      </c>
      <c r="AT71">
        <v>0</v>
      </c>
      <c r="AU71" t="s">
        <v>65</v>
      </c>
      <c r="AV71">
        <v>12</v>
      </c>
      <c r="AW71">
        <v>0</v>
      </c>
      <c r="AX71" t="s">
        <v>3241</v>
      </c>
      <c r="AY71" t="s">
        <v>3242</v>
      </c>
      <c r="AZ71" t="s">
        <v>64</v>
      </c>
      <c r="BA71">
        <v>0</v>
      </c>
      <c r="BB71">
        <v>1</v>
      </c>
      <c r="BC71" t="s">
        <v>69</v>
      </c>
      <c r="BD71">
        <v>0.80400000000000005</v>
      </c>
      <c r="BE71">
        <v>0.80400000000000005</v>
      </c>
    </row>
    <row r="72" spans="1:57">
      <c r="A72">
        <v>0</v>
      </c>
      <c r="B72">
        <v>0</v>
      </c>
      <c r="C72">
        <v>0</v>
      </c>
      <c r="D72">
        <v>2469</v>
      </c>
      <c r="E72" t="s">
        <v>3243</v>
      </c>
      <c r="F72" t="s">
        <v>5762</v>
      </c>
      <c r="G72" t="s">
        <v>62</v>
      </c>
      <c r="H72">
        <v>2463574</v>
      </c>
      <c r="I72">
        <v>2464041</v>
      </c>
      <c r="J72" t="s">
        <v>3244</v>
      </c>
      <c r="K72">
        <v>156</v>
      </c>
      <c r="L72" t="s">
        <v>83</v>
      </c>
      <c r="M72">
        <v>4</v>
      </c>
      <c r="N72" t="str">
        <f>HYPERLINK("Gene2469-zp_tree_all.dnd", "Gene2469-tree")</f>
        <v>Gene2469-tree</v>
      </c>
      <c r="O72">
        <v>1</v>
      </c>
      <c r="P72">
        <v>3</v>
      </c>
      <c r="Q72">
        <v>1</v>
      </c>
      <c r="R72">
        <v>3</v>
      </c>
      <c r="S72">
        <v>0.75</v>
      </c>
      <c r="T72" t="s">
        <v>61</v>
      </c>
      <c r="U72" t="s">
        <v>84</v>
      </c>
      <c r="V72" t="s">
        <v>62</v>
      </c>
      <c r="W72" t="s">
        <v>62</v>
      </c>
      <c r="X72">
        <v>0</v>
      </c>
      <c r="Y72">
        <v>0</v>
      </c>
      <c r="Z72">
        <v>5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5</v>
      </c>
      <c r="AK72">
        <v>0</v>
      </c>
      <c r="AL72">
        <v>4</v>
      </c>
      <c r="AM72">
        <v>1</v>
      </c>
      <c r="AN72">
        <v>24</v>
      </c>
      <c r="AO72">
        <v>5</v>
      </c>
      <c r="AP72">
        <v>1</v>
      </c>
      <c r="AQ72">
        <v>0</v>
      </c>
      <c r="AR72" t="s">
        <v>3245</v>
      </c>
      <c r="AS72" t="s">
        <v>64</v>
      </c>
      <c r="AT72">
        <v>1.3779999999999999</v>
      </c>
      <c r="AU72" t="s">
        <v>65</v>
      </c>
      <c r="AV72">
        <v>25</v>
      </c>
      <c r="AW72">
        <v>5</v>
      </c>
      <c r="AX72" t="s">
        <v>3246</v>
      </c>
      <c r="AY72" t="s">
        <v>3247</v>
      </c>
      <c r="AZ72" t="s">
        <v>3248</v>
      </c>
      <c r="BA72">
        <v>5.3670000000000002E-2</v>
      </c>
      <c r="BB72">
        <v>1</v>
      </c>
      <c r="BC72" t="s">
        <v>69</v>
      </c>
      <c r="BD72">
        <v>-0.39300000000000002</v>
      </c>
      <c r="BE72">
        <v>-0.39300000000000002</v>
      </c>
    </row>
    <row r="73" spans="1:57">
      <c r="A73">
        <v>0</v>
      </c>
      <c r="B73">
        <v>0</v>
      </c>
      <c r="C73">
        <v>0</v>
      </c>
      <c r="D73">
        <v>2471</v>
      </c>
      <c r="E73" t="s">
        <v>3249</v>
      </c>
      <c r="F73" t="s">
        <v>5762</v>
      </c>
      <c r="G73" t="s">
        <v>62</v>
      </c>
      <c r="H73">
        <v>2464565</v>
      </c>
      <c r="I73">
        <v>2465800</v>
      </c>
      <c r="J73" t="s">
        <v>3250</v>
      </c>
      <c r="K73">
        <v>412</v>
      </c>
      <c r="L73" t="s">
        <v>83</v>
      </c>
      <c r="M73">
        <v>4</v>
      </c>
      <c r="N73" t="str">
        <f>HYPERLINK("Gene2471-zp_tree_all.dnd", "Gene2471-tree")</f>
        <v>Gene2471-tree</v>
      </c>
      <c r="O73">
        <v>1</v>
      </c>
      <c r="P73">
        <v>3</v>
      </c>
      <c r="Q73">
        <v>1</v>
      </c>
      <c r="R73">
        <v>3</v>
      </c>
      <c r="S73">
        <v>0.75</v>
      </c>
      <c r="T73" t="s">
        <v>61</v>
      </c>
      <c r="U73" t="s">
        <v>84</v>
      </c>
      <c r="V73" t="s">
        <v>62</v>
      </c>
      <c r="W73" t="s">
        <v>62</v>
      </c>
      <c r="X73">
        <v>0</v>
      </c>
      <c r="Y73">
        <v>0</v>
      </c>
      <c r="Z73">
        <v>10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10</v>
      </c>
      <c r="AK73">
        <v>0</v>
      </c>
      <c r="AL73">
        <v>4</v>
      </c>
      <c r="AM73">
        <v>1</v>
      </c>
      <c r="AN73">
        <v>60</v>
      </c>
      <c r="AO73">
        <v>11</v>
      </c>
      <c r="AP73">
        <v>6</v>
      </c>
      <c r="AQ73">
        <v>0</v>
      </c>
      <c r="AR73" t="s">
        <v>3251</v>
      </c>
      <c r="AS73" t="s">
        <v>64</v>
      </c>
      <c r="AT73">
        <v>0.73499999999999999</v>
      </c>
      <c r="AU73" t="s">
        <v>65</v>
      </c>
      <c r="AV73">
        <v>66</v>
      </c>
      <c r="AW73">
        <v>11</v>
      </c>
      <c r="AX73" t="s">
        <v>3252</v>
      </c>
      <c r="AY73" t="s">
        <v>3253</v>
      </c>
      <c r="AZ73" t="s">
        <v>3254</v>
      </c>
      <c r="BA73">
        <v>4.8480000000000002E-2</v>
      </c>
      <c r="BB73">
        <v>1</v>
      </c>
      <c r="BC73" t="s">
        <v>69</v>
      </c>
      <c r="BD73">
        <v>-0.38300000000000001</v>
      </c>
      <c r="BE73">
        <v>-0.64900000000000002</v>
      </c>
    </row>
    <row r="74" spans="1:57">
      <c r="A74">
        <v>0</v>
      </c>
      <c r="B74">
        <v>0</v>
      </c>
      <c r="C74">
        <v>0</v>
      </c>
      <c r="D74">
        <v>2488</v>
      </c>
      <c r="E74" t="s">
        <v>3255</v>
      </c>
      <c r="F74" t="s">
        <v>5762</v>
      </c>
      <c r="G74" t="s">
        <v>62</v>
      </c>
      <c r="H74">
        <v>2480753</v>
      </c>
      <c r="I74">
        <v>2482159</v>
      </c>
      <c r="J74" t="s">
        <v>3256</v>
      </c>
      <c r="K74">
        <v>469</v>
      </c>
      <c r="L74" t="s">
        <v>59</v>
      </c>
      <c r="M74">
        <v>5</v>
      </c>
      <c r="N74" t="str">
        <f>HYPERLINK("Gene2488-zp_tree_all.dnd", "Gene2488-tree")</f>
        <v>Gene2488-tree</v>
      </c>
      <c r="O74">
        <v>4</v>
      </c>
      <c r="P74">
        <v>1</v>
      </c>
      <c r="Q74">
        <v>4</v>
      </c>
      <c r="R74">
        <v>1</v>
      </c>
      <c r="S74">
        <v>0.2</v>
      </c>
      <c r="T74" t="s">
        <v>60</v>
      </c>
      <c r="U74" t="s">
        <v>61</v>
      </c>
      <c r="V74" t="s">
        <v>62</v>
      </c>
      <c r="W74" t="s">
        <v>62</v>
      </c>
      <c r="X74">
        <v>0</v>
      </c>
      <c r="Y74">
        <v>0</v>
      </c>
      <c r="Z74">
        <v>2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5</v>
      </c>
      <c r="AM74">
        <v>2</v>
      </c>
      <c r="AN74">
        <v>52</v>
      </c>
      <c r="AO74">
        <v>1</v>
      </c>
      <c r="AP74">
        <v>48</v>
      </c>
      <c r="AQ74">
        <v>1</v>
      </c>
      <c r="AR74" t="s">
        <v>3257</v>
      </c>
      <c r="AS74" t="s">
        <v>3258</v>
      </c>
      <c r="AT74">
        <v>1.4999999999999999E-2</v>
      </c>
      <c r="AU74" t="s">
        <v>65</v>
      </c>
      <c r="AV74">
        <v>100</v>
      </c>
      <c r="AW74">
        <v>2</v>
      </c>
      <c r="AX74" t="s">
        <v>3259</v>
      </c>
      <c r="AY74" t="s">
        <v>3260</v>
      </c>
      <c r="AZ74" t="s">
        <v>3261</v>
      </c>
      <c r="BA74">
        <v>5.5799999999999999E-3</v>
      </c>
      <c r="BB74">
        <v>1</v>
      </c>
      <c r="BC74" t="s">
        <v>69</v>
      </c>
      <c r="BD74">
        <v>0.53800000000000003</v>
      </c>
      <c r="BE74">
        <v>-4.1000000000000002E-2</v>
      </c>
    </row>
    <row r="75" spans="1:57">
      <c r="A75">
        <v>0</v>
      </c>
      <c r="B75">
        <v>0</v>
      </c>
      <c r="C75">
        <v>0</v>
      </c>
      <c r="D75">
        <v>2489</v>
      </c>
      <c r="E75" t="s">
        <v>3262</v>
      </c>
      <c r="F75" t="s">
        <v>5762</v>
      </c>
      <c r="G75" t="s">
        <v>62</v>
      </c>
      <c r="H75">
        <v>2482272</v>
      </c>
      <c r="I75">
        <v>2483513</v>
      </c>
      <c r="J75" t="s">
        <v>3263</v>
      </c>
      <c r="K75">
        <v>414</v>
      </c>
      <c r="L75" t="s">
        <v>83</v>
      </c>
      <c r="M75">
        <v>4</v>
      </c>
      <c r="N75" t="str">
        <f>HYPERLINK("Gene2489-zp_tree_all.dnd", "Gene2489-tree")</f>
        <v>Gene2489-tree</v>
      </c>
    </row>
    <row r="76" spans="1:57">
      <c r="A76">
        <v>0</v>
      </c>
      <c r="B76">
        <v>0</v>
      </c>
      <c r="C76">
        <v>0</v>
      </c>
      <c r="D76">
        <v>2499</v>
      </c>
      <c r="E76" t="s">
        <v>3271</v>
      </c>
      <c r="F76" t="s">
        <v>5762</v>
      </c>
      <c r="G76" t="s">
        <v>62</v>
      </c>
      <c r="H76">
        <v>2491292</v>
      </c>
      <c r="I76">
        <v>2491948</v>
      </c>
      <c r="J76" t="s">
        <v>3272</v>
      </c>
      <c r="K76">
        <v>219</v>
      </c>
      <c r="L76" t="s">
        <v>83</v>
      </c>
      <c r="M76">
        <v>4</v>
      </c>
      <c r="N76" t="str">
        <f>HYPERLINK("Gene2499-zp_tree_all.dnd", "Gene2499-tree")</f>
        <v>Gene2499-tree</v>
      </c>
      <c r="O76">
        <v>3</v>
      </c>
      <c r="P76">
        <v>1</v>
      </c>
      <c r="Q76">
        <v>3</v>
      </c>
      <c r="R76">
        <v>1</v>
      </c>
      <c r="S76">
        <v>0.25</v>
      </c>
      <c r="T76" t="s">
        <v>84</v>
      </c>
      <c r="U76" t="s">
        <v>61</v>
      </c>
      <c r="V76" t="s">
        <v>62</v>
      </c>
      <c r="W76" t="s">
        <v>62</v>
      </c>
      <c r="X76">
        <v>0</v>
      </c>
      <c r="Y76">
        <v>0</v>
      </c>
      <c r="Z76">
        <v>3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3</v>
      </c>
      <c r="AK76">
        <v>0</v>
      </c>
      <c r="AL76">
        <v>4</v>
      </c>
      <c r="AM76">
        <v>1</v>
      </c>
      <c r="AN76">
        <v>31</v>
      </c>
      <c r="AO76">
        <v>3</v>
      </c>
      <c r="AP76">
        <v>2</v>
      </c>
      <c r="AQ76">
        <v>0</v>
      </c>
      <c r="AR76" t="s">
        <v>3273</v>
      </c>
      <c r="AS76" t="s">
        <v>64</v>
      </c>
      <c r="AT76">
        <v>0.38900000000000001</v>
      </c>
      <c r="AU76" t="s">
        <v>65</v>
      </c>
      <c r="AV76">
        <v>33</v>
      </c>
      <c r="AW76">
        <v>3</v>
      </c>
      <c r="AX76" t="s">
        <v>3274</v>
      </c>
      <c r="AY76" t="s">
        <v>3275</v>
      </c>
      <c r="AZ76" t="s">
        <v>3276</v>
      </c>
      <c r="BA76">
        <v>2.809E-2</v>
      </c>
      <c r="BB76">
        <v>1</v>
      </c>
      <c r="BC76" t="s">
        <v>69</v>
      </c>
      <c r="BD76">
        <v>-0.38300000000000001</v>
      </c>
      <c r="BE76">
        <v>-0.95899999999999996</v>
      </c>
    </row>
    <row r="77" spans="1:57">
      <c r="A77">
        <v>0</v>
      </c>
      <c r="B77">
        <v>0</v>
      </c>
      <c r="C77">
        <v>0</v>
      </c>
      <c r="D77">
        <v>2500</v>
      </c>
      <c r="E77" t="s">
        <v>3277</v>
      </c>
      <c r="F77" t="s">
        <v>5762</v>
      </c>
      <c r="G77" t="s">
        <v>62</v>
      </c>
      <c r="H77">
        <v>2492032</v>
      </c>
      <c r="I77">
        <v>2492796</v>
      </c>
      <c r="J77" t="s">
        <v>3278</v>
      </c>
      <c r="K77">
        <v>255</v>
      </c>
      <c r="L77" t="s">
        <v>59</v>
      </c>
      <c r="M77">
        <v>5</v>
      </c>
      <c r="N77" t="str">
        <f>HYPERLINK("Gene2500-zp_tree_all.dnd", "Gene2500-tree")</f>
        <v>Gene2500-tree</v>
      </c>
      <c r="O77">
        <v>2</v>
      </c>
      <c r="P77">
        <v>3</v>
      </c>
      <c r="Q77">
        <v>2</v>
      </c>
      <c r="R77">
        <v>3</v>
      </c>
      <c r="S77">
        <v>0.6</v>
      </c>
      <c r="T77" t="s">
        <v>135</v>
      </c>
      <c r="U77" t="s">
        <v>84</v>
      </c>
      <c r="V77" t="s">
        <v>62</v>
      </c>
      <c r="W77" t="s">
        <v>62</v>
      </c>
      <c r="X77">
        <v>0</v>
      </c>
      <c r="Y77">
        <v>0</v>
      </c>
      <c r="Z77">
        <v>14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10</v>
      </c>
      <c r="AK77">
        <v>0</v>
      </c>
      <c r="AL77">
        <v>5</v>
      </c>
      <c r="AM77">
        <v>2</v>
      </c>
      <c r="AN77">
        <v>16</v>
      </c>
      <c r="AO77">
        <v>10</v>
      </c>
      <c r="AP77">
        <v>23</v>
      </c>
      <c r="AQ77">
        <v>5</v>
      </c>
      <c r="AR77" t="s">
        <v>3279</v>
      </c>
      <c r="AS77" t="s">
        <v>3280</v>
      </c>
      <c r="AT77">
        <v>1.1659999999999999</v>
      </c>
      <c r="AU77" t="s">
        <v>65</v>
      </c>
      <c r="AV77">
        <v>39</v>
      </c>
      <c r="AW77">
        <v>15</v>
      </c>
      <c r="AX77" t="s">
        <v>3281</v>
      </c>
      <c r="AY77" t="s">
        <v>3282</v>
      </c>
      <c r="AZ77" t="s">
        <v>3283</v>
      </c>
      <c r="BA77">
        <v>8.8459999999999997E-2</v>
      </c>
      <c r="BB77">
        <v>1</v>
      </c>
      <c r="BC77" t="s">
        <v>69</v>
      </c>
      <c r="BD77">
        <v>0.65400000000000003</v>
      </c>
      <c r="BE77">
        <v>0.222</v>
      </c>
    </row>
    <row r="78" spans="1:57">
      <c r="A78">
        <v>0</v>
      </c>
      <c r="B78">
        <v>0</v>
      </c>
      <c r="C78">
        <v>0</v>
      </c>
      <c r="D78">
        <v>2507</v>
      </c>
      <c r="E78" t="s">
        <v>3284</v>
      </c>
      <c r="F78" t="s">
        <v>5762</v>
      </c>
      <c r="G78" t="s">
        <v>62</v>
      </c>
      <c r="H78">
        <v>2499093</v>
      </c>
      <c r="I78">
        <v>2500082</v>
      </c>
      <c r="J78" t="s">
        <v>3285</v>
      </c>
      <c r="K78">
        <v>330</v>
      </c>
      <c r="L78" t="s">
        <v>112</v>
      </c>
      <c r="M78">
        <v>4</v>
      </c>
      <c r="N78" t="str">
        <f>HYPERLINK("Gene2507-zp_tree_all.dnd", "Gene2507-tree")</f>
        <v>Gene2507-tree</v>
      </c>
      <c r="O78">
        <v>2</v>
      </c>
      <c r="P78">
        <v>2</v>
      </c>
      <c r="Q78">
        <v>2</v>
      </c>
      <c r="R78">
        <v>2</v>
      </c>
      <c r="S78">
        <v>0.5</v>
      </c>
      <c r="T78" t="s">
        <v>135</v>
      </c>
      <c r="U78" t="s">
        <v>135</v>
      </c>
      <c r="V78" t="s">
        <v>62</v>
      </c>
      <c r="W78" t="s">
        <v>62</v>
      </c>
      <c r="X78">
        <v>0</v>
      </c>
      <c r="Y78">
        <v>0</v>
      </c>
      <c r="Z78">
        <v>4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4</v>
      </c>
      <c r="AK78">
        <v>0</v>
      </c>
      <c r="AL78">
        <v>4</v>
      </c>
      <c r="AM78">
        <v>1</v>
      </c>
      <c r="AN78">
        <v>52</v>
      </c>
      <c r="AO78">
        <v>5</v>
      </c>
      <c r="AP78">
        <v>1</v>
      </c>
      <c r="AQ78">
        <v>0</v>
      </c>
      <c r="AR78" t="s">
        <v>3286</v>
      </c>
      <c r="AS78" t="s">
        <v>64</v>
      </c>
      <c r="AT78">
        <v>0.59099999999999997</v>
      </c>
      <c r="AU78" t="s">
        <v>65</v>
      </c>
      <c r="AV78">
        <v>53</v>
      </c>
      <c r="AW78">
        <v>5</v>
      </c>
      <c r="AX78" t="s">
        <v>3287</v>
      </c>
      <c r="AY78" t="s">
        <v>3288</v>
      </c>
      <c r="AZ78" t="s">
        <v>3289</v>
      </c>
      <c r="BA78">
        <v>2.6339999999999999E-2</v>
      </c>
      <c r="BB78">
        <v>1</v>
      </c>
      <c r="BC78" t="s">
        <v>69</v>
      </c>
      <c r="BD78">
        <v>-0.45500000000000002</v>
      </c>
      <c r="BE78">
        <v>-0.80900000000000005</v>
      </c>
    </row>
    <row r="79" spans="1:57">
      <c r="A79">
        <v>0</v>
      </c>
      <c r="B79">
        <v>0</v>
      </c>
      <c r="C79">
        <v>0</v>
      </c>
      <c r="D79">
        <v>2522</v>
      </c>
      <c r="E79" t="s">
        <v>3290</v>
      </c>
      <c r="F79" t="s">
        <v>5762</v>
      </c>
      <c r="G79" t="s">
        <v>62</v>
      </c>
      <c r="H79">
        <v>2515617</v>
      </c>
      <c r="I79">
        <v>2515907</v>
      </c>
      <c r="J79" t="s">
        <v>1146</v>
      </c>
      <c r="K79">
        <v>97</v>
      </c>
      <c r="L79" t="s">
        <v>112</v>
      </c>
      <c r="M79">
        <v>4</v>
      </c>
      <c r="N79" t="str">
        <f>HYPERLINK("Gene2522-zp_tree_all.dnd", "Gene2522-tree")</f>
        <v>Gene2522-tree</v>
      </c>
      <c r="O79">
        <v>2</v>
      </c>
      <c r="P79">
        <v>2</v>
      </c>
      <c r="Q79">
        <v>2</v>
      </c>
      <c r="R79">
        <v>2</v>
      </c>
      <c r="S79">
        <v>0.5</v>
      </c>
      <c r="T79" t="s">
        <v>135</v>
      </c>
      <c r="U79" t="s">
        <v>135</v>
      </c>
      <c r="V79" t="s">
        <v>62</v>
      </c>
      <c r="W79" t="s">
        <v>62</v>
      </c>
      <c r="X79">
        <v>0</v>
      </c>
      <c r="Y79">
        <v>0</v>
      </c>
      <c r="Z79">
        <v>7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7</v>
      </c>
      <c r="AK79">
        <v>0</v>
      </c>
      <c r="AL79">
        <v>3</v>
      </c>
      <c r="AM79">
        <v>0</v>
      </c>
      <c r="AN79">
        <v>10</v>
      </c>
      <c r="AO79">
        <v>7</v>
      </c>
      <c r="AP79">
        <v>0</v>
      </c>
      <c r="AQ79">
        <v>0</v>
      </c>
      <c r="AR79" t="s">
        <v>3291</v>
      </c>
      <c r="AS79" t="s">
        <v>64</v>
      </c>
      <c r="AT79">
        <v>0.89700000000000002</v>
      </c>
      <c r="AU79" t="s">
        <v>65</v>
      </c>
      <c r="AV79">
        <v>10</v>
      </c>
      <c r="AW79">
        <v>7</v>
      </c>
      <c r="AX79" t="s">
        <v>3292</v>
      </c>
      <c r="AY79" t="s">
        <v>3293</v>
      </c>
      <c r="AZ79" t="s">
        <v>3294</v>
      </c>
      <c r="BA79">
        <v>0.20941000000000001</v>
      </c>
      <c r="BB79">
        <v>0.99</v>
      </c>
      <c r="BC79" t="s">
        <v>69</v>
      </c>
      <c r="BD79">
        <v>-0.46</v>
      </c>
      <c r="BE79">
        <v>-1.044</v>
      </c>
    </row>
    <row r="80" spans="1:57">
      <c r="A80">
        <v>0</v>
      </c>
      <c r="B80">
        <v>0</v>
      </c>
      <c r="C80">
        <v>0</v>
      </c>
      <c r="D80">
        <v>2524</v>
      </c>
      <c r="E80" t="s">
        <v>3295</v>
      </c>
      <c r="F80" t="s">
        <v>5762</v>
      </c>
      <c r="G80" t="s">
        <v>62</v>
      </c>
      <c r="H80">
        <v>2518026</v>
      </c>
      <c r="I80">
        <v>2518826</v>
      </c>
      <c r="J80" t="s">
        <v>3296</v>
      </c>
      <c r="K80">
        <v>267</v>
      </c>
      <c r="L80" t="s">
        <v>59</v>
      </c>
      <c r="M80">
        <v>5</v>
      </c>
      <c r="N80" t="str">
        <f>HYPERLINK("Gene2524-zp_tree_all.dnd", "Gene2524-tree")</f>
        <v>Gene2524-tree</v>
      </c>
      <c r="O80">
        <v>5</v>
      </c>
      <c r="P80">
        <v>0</v>
      </c>
      <c r="Q80">
        <v>5</v>
      </c>
      <c r="R80">
        <v>0</v>
      </c>
      <c r="S80">
        <v>0</v>
      </c>
      <c r="T80" t="s">
        <v>98</v>
      </c>
      <c r="U80" t="s">
        <v>62</v>
      </c>
      <c r="V80" t="s">
        <v>62</v>
      </c>
      <c r="W80" t="s">
        <v>62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5</v>
      </c>
      <c r="AM80">
        <v>2</v>
      </c>
      <c r="AN80">
        <v>30</v>
      </c>
      <c r="AO80">
        <v>0</v>
      </c>
      <c r="AP80">
        <v>19</v>
      </c>
      <c r="AQ80">
        <v>2</v>
      </c>
      <c r="AR80" t="s">
        <v>64</v>
      </c>
      <c r="AS80" t="s">
        <v>3297</v>
      </c>
      <c r="AT80">
        <v>1.143</v>
      </c>
      <c r="AU80" t="s">
        <v>65</v>
      </c>
      <c r="AV80">
        <v>49</v>
      </c>
      <c r="AW80">
        <v>2</v>
      </c>
      <c r="AX80" t="s">
        <v>3298</v>
      </c>
      <c r="AY80" t="s">
        <v>3299</v>
      </c>
      <c r="AZ80" t="s">
        <v>3300</v>
      </c>
      <c r="BA80">
        <v>1.448E-2</v>
      </c>
      <c r="BB80">
        <v>1</v>
      </c>
      <c r="BC80" t="s">
        <v>69</v>
      </c>
      <c r="BD80">
        <v>0.45300000000000001</v>
      </c>
      <c r="BE80">
        <v>0</v>
      </c>
    </row>
    <row r="81" spans="1:57">
      <c r="A81">
        <v>0</v>
      </c>
      <c r="B81">
        <v>0</v>
      </c>
      <c r="C81">
        <v>0</v>
      </c>
      <c r="D81">
        <v>2528</v>
      </c>
      <c r="E81" t="s">
        <v>3301</v>
      </c>
      <c r="F81" t="s">
        <v>5762</v>
      </c>
      <c r="G81" t="s">
        <v>62</v>
      </c>
      <c r="H81">
        <v>2522874</v>
      </c>
      <c r="I81">
        <v>2523716</v>
      </c>
      <c r="J81" t="s">
        <v>3302</v>
      </c>
      <c r="K81">
        <v>281</v>
      </c>
      <c r="L81" t="s">
        <v>83</v>
      </c>
      <c r="M81">
        <v>4</v>
      </c>
      <c r="N81" t="str">
        <f>HYPERLINK("Gene2528-zp_tree_all.dnd", "Gene2528-tree")</f>
        <v>Gene2528-tree</v>
      </c>
      <c r="O81">
        <v>2</v>
      </c>
      <c r="P81">
        <v>2</v>
      </c>
      <c r="Q81">
        <v>2</v>
      </c>
      <c r="R81">
        <v>2</v>
      </c>
      <c r="S81">
        <v>0.5</v>
      </c>
      <c r="T81" t="s">
        <v>135</v>
      </c>
      <c r="U81" t="s">
        <v>135</v>
      </c>
      <c r="V81" t="s">
        <v>62</v>
      </c>
      <c r="W81" t="s">
        <v>62</v>
      </c>
      <c r="X81">
        <v>0</v>
      </c>
      <c r="Y81">
        <v>0</v>
      </c>
      <c r="Z81">
        <v>6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6</v>
      </c>
      <c r="AK81">
        <v>0</v>
      </c>
      <c r="AL81">
        <v>4</v>
      </c>
      <c r="AM81">
        <v>1</v>
      </c>
      <c r="AN81">
        <v>32</v>
      </c>
      <c r="AO81">
        <v>6</v>
      </c>
      <c r="AP81">
        <v>2</v>
      </c>
      <c r="AQ81">
        <v>0</v>
      </c>
      <c r="AR81" t="s">
        <v>3303</v>
      </c>
      <c r="AS81" t="s">
        <v>64</v>
      </c>
      <c r="AT81">
        <v>0.66900000000000004</v>
      </c>
      <c r="AU81" t="s">
        <v>65</v>
      </c>
      <c r="AV81">
        <v>34</v>
      </c>
      <c r="AW81">
        <v>6</v>
      </c>
      <c r="AX81" t="s">
        <v>3304</v>
      </c>
      <c r="AY81" t="s">
        <v>3305</v>
      </c>
      <c r="AZ81" t="s">
        <v>3306</v>
      </c>
      <c r="BA81">
        <v>5.0889999999999998E-2</v>
      </c>
      <c r="BB81">
        <v>1</v>
      </c>
      <c r="BC81" t="s">
        <v>69</v>
      </c>
      <c r="BD81">
        <v>-0.35</v>
      </c>
      <c r="BE81">
        <v>-0.60699999999999998</v>
      </c>
    </row>
    <row r="82" spans="1:57">
      <c r="A82">
        <v>0</v>
      </c>
      <c r="B82">
        <v>2</v>
      </c>
      <c r="C82">
        <v>0</v>
      </c>
      <c r="D82">
        <v>2529</v>
      </c>
      <c r="E82" t="s">
        <v>3307</v>
      </c>
      <c r="F82" t="s">
        <v>5762</v>
      </c>
      <c r="G82" t="s">
        <v>62</v>
      </c>
      <c r="H82">
        <v>2523716</v>
      </c>
      <c r="I82">
        <v>2525614</v>
      </c>
      <c r="J82" t="s">
        <v>3308</v>
      </c>
      <c r="K82">
        <v>633</v>
      </c>
      <c r="L82" t="s">
        <v>83</v>
      </c>
      <c r="M82">
        <v>4</v>
      </c>
      <c r="N82" t="str">
        <f>HYPERLINK("Gene2529-zp_tree_all.dnd", "Gene2529-tree")</f>
        <v>Gene2529-tree</v>
      </c>
      <c r="O82">
        <v>1</v>
      </c>
      <c r="P82">
        <v>3</v>
      </c>
      <c r="Q82">
        <v>1</v>
      </c>
      <c r="R82">
        <v>3</v>
      </c>
      <c r="S82">
        <v>0.75</v>
      </c>
      <c r="T82" t="s">
        <v>61</v>
      </c>
      <c r="U82" t="s">
        <v>84</v>
      </c>
      <c r="V82" t="s">
        <v>62</v>
      </c>
      <c r="W82" t="s">
        <v>62</v>
      </c>
      <c r="X82">
        <v>1</v>
      </c>
      <c r="Y82">
        <v>2</v>
      </c>
      <c r="Z82">
        <v>6</v>
      </c>
      <c r="AA82">
        <v>0.25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2</v>
      </c>
      <c r="AH82">
        <v>0</v>
      </c>
      <c r="AI82">
        <v>2</v>
      </c>
      <c r="AJ82">
        <v>6</v>
      </c>
      <c r="AK82">
        <v>0.25</v>
      </c>
      <c r="AL82">
        <v>4</v>
      </c>
      <c r="AM82">
        <v>1</v>
      </c>
      <c r="AN82">
        <v>94</v>
      </c>
      <c r="AO82">
        <v>9</v>
      </c>
      <c r="AP82">
        <v>5</v>
      </c>
      <c r="AQ82">
        <v>0</v>
      </c>
      <c r="AR82" t="s">
        <v>3309</v>
      </c>
      <c r="AS82" t="s">
        <v>64</v>
      </c>
      <c r="AT82">
        <v>0.995</v>
      </c>
      <c r="AU82" t="s">
        <v>65</v>
      </c>
      <c r="AV82">
        <v>99</v>
      </c>
      <c r="AW82">
        <v>9</v>
      </c>
      <c r="AX82" t="s">
        <v>3310</v>
      </c>
      <c r="AY82" t="s">
        <v>3311</v>
      </c>
      <c r="AZ82" t="s">
        <v>3312</v>
      </c>
      <c r="BA82">
        <v>2.3130000000000001E-2</v>
      </c>
      <c r="BB82">
        <v>1</v>
      </c>
      <c r="BC82" t="s">
        <v>69</v>
      </c>
      <c r="BD82">
        <v>-0.35499999999999998</v>
      </c>
      <c r="BE82">
        <v>-0.64600000000000002</v>
      </c>
    </row>
    <row r="83" spans="1:57">
      <c r="A83">
        <v>0</v>
      </c>
      <c r="B83">
        <v>0</v>
      </c>
      <c r="C83">
        <v>0</v>
      </c>
      <c r="D83">
        <v>2531</v>
      </c>
      <c r="E83" t="s">
        <v>3313</v>
      </c>
      <c r="F83" t="s">
        <v>5762</v>
      </c>
      <c r="G83" t="s">
        <v>62</v>
      </c>
      <c r="H83">
        <v>2526672</v>
      </c>
      <c r="I83">
        <v>2526923</v>
      </c>
      <c r="J83" t="s">
        <v>3314</v>
      </c>
      <c r="K83">
        <v>84</v>
      </c>
      <c r="L83" t="s">
        <v>59</v>
      </c>
      <c r="M83">
        <v>5</v>
      </c>
      <c r="N83" t="str">
        <f>HYPERLINK("Gene2531-zp_tree_all.dnd", "Gene2531-tree")</f>
        <v>Gene2531-tree</v>
      </c>
      <c r="O83">
        <v>3</v>
      </c>
      <c r="P83">
        <v>2</v>
      </c>
      <c r="Q83">
        <v>2</v>
      </c>
      <c r="R83">
        <v>2</v>
      </c>
      <c r="S83">
        <v>0.5</v>
      </c>
      <c r="T83" t="s">
        <v>217</v>
      </c>
      <c r="U83" t="s">
        <v>135</v>
      </c>
      <c r="V83" t="s">
        <v>62</v>
      </c>
      <c r="W83" t="s">
        <v>62</v>
      </c>
      <c r="X83">
        <v>0</v>
      </c>
      <c r="Y83">
        <v>0</v>
      </c>
      <c r="Z83">
        <v>2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2</v>
      </c>
      <c r="AK83">
        <v>0</v>
      </c>
      <c r="AL83">
        <v>3</v>
      </c>
      <c r="AM83">
        <v>1</v>
      </c>
      <c r="AN83">
        <v>6</v>
      </c>
      <c r="AO83">
        <v>3</v>
      </c>
      <c r="AP83">
        <v>7</v>
      </c>
      <c r="AQ83">
        <v>0</v>
      </c>
      <c r="AR83" t="s">
        <v>3315</v>
      </c>
      <c r="AS83" t="s">
        <v>64</v>
      </c>
      <c r="AT83">
        <v>0.64900000000000002</v>
      </c>
      <c r="AU83" t="s">
        <v>65</v>
      </c>
      <c r="AV83">
        <v>13</v>
      </c>
      <c r="AW83">
        <v>3</v>
      </c>
      <c r="AX83" t="s">
        <v>3316</v>
      </c>
      <c r="AY83" t="s">
        <v>3317</v>
      </c>
      <c r="AZ83" t="s">
        <v>3318</v>
      </c>
      <c r="BA83">
        <v>4.1520000000000001E-2</v>
      </c>
      <c r="BB83">
        <v>1</v>
      </c>
      <c r="BC83" t="s">
        <v>69</v>
      </c>
      <c r="BD83">
        <v>0.52100000000000002</v>
      </c>
      <c r="BE83">
        <v>-0.56399999999999995</v>
      </c>
    </row>
    <row r="84" spans="1:57">
      <c r="A84">
        <v>0</v>
      </c>
      <c r="B84">
        <v>0</v>
      </c>
      <c r="C84">
        <v>0</v>
      </c>
      <c r="D84">
        <v>2533</v>
      </c>
      <c r="E84" t="s">
        <v>3319</v>
      </c>
      <c r="F84" t="s">
        <v>5762</v>
      </c>
      <c r="G84" t="s">
        <v>62</v>
      </c>
      <c r="H84">
        <v>2528407</v>
      </c>
      <c r="I84">
        <v>2529255</v>
      </c>
      <c r="J84" t="s">
        <v>3320</v>
      </c>
      <c r="K84">
        <v>283</v>
      </c>
      <c r="L84" t="s">
        <v>59</v>
      </c>
      <c r="M84">
        <v>5</v>
      </c>
      <c r="N84" t="str">
        <f>HYPERLINK("Gene2533-zp_tree_all.dnd", "Gene2533-tree")</f>
        <v>Gene2533-tree</v>
      </c>
      <c r="O84">
        <v>4</v>
      </c>
      <c r="P84">
        <v>1</v>
      </c>
      <c r="Q84">
        <v>4</v>
      </c>
      <c r="R84">
        <v>1</v>
      </c>
      <c r="S84">
        <v>0.2</v>
      </c>
      <c r="T84" t="s">
        <v>60</v>
      </c>
      <c r="U84" t="s">
        <v>61</v>
      </c>
      <c r="V84" t="s">
        <v>62</v>
      </c>
      <c r="W84" t="s">
        <v>62</v>
      </c>
      <c r="X84">
        <v>0</v>
      </c>
      <c r="Y84">
        <v>0</v>
      </c>
      <c r="Z84">
        <v>2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5</v>
      </c>
      <c r="AM84">
        <v>2</v>
      </c>
      <c r="AN84">
        <v>14</v>
      </c>
      <c r="AO84">
        <v>1</v>
      </c>
      <c r="AP84">
        <v>17</v>
      </c>
      <c r="AQ84">
        <v>1</v>
      </c>
      <c r="AR84" t="s">
        <v>3321</v>
      </c>
      <c r="AS84" t="s">
        <v>3322</v>
      </c>
      <c r="AT84">
        <v>9.4E-2</v>
      </c>
      <c r="AU84" t="s">
        <v>65</v>
      </c>
      <c r="AV84">
        <v>31</v>
      </c>
      <c r="AW84">
        <v>2</v>
      </c>
      <c r="AX84" t="s">
        <v>3323</v>
      </c>
      <c r="AY84" t="s">
        <v>3324</v>
      </c>
      <c r="AZ84" t="s">
        <v>3325</v>
      </c>
      <c r="BA84">
        <v>1.806E-2</v>
      </c>
      <c r="BB84">
        <v>1</v>
      </c>
      <c r="BC84" t="s">
        <v>69</v>
      </c>
      <c r="BD84">
        <v>0.86499999999999999</v>
      </c>
      <c r="BE84">
        <v>0.36199999999999999</v>
      </c>
    </row>
    <row r="85" spans="1:57">
      <c r="A85">
        <v>0</v>
      </c>
      <c r="B85">
        <v>0</v>
      </c>
      <c r="C85">
        <v>0</v>
      </c>
      <c r="D85">
        <v>2534</v>
      </c>
      <c r="E85" t="s">
        <v>3326</v>
      </c>
      <c r="F85" t="s">
        <v>5762</v>
      </c>
      <c r="G85" t="s">
        <v>62</v>
      </c>
      <c r="H85">
        <v>2529270</v>
      </c>
      <c r="I85">
        <v>2529662</v>
      </c>
      <c r="J85" t="s">
        <v>3327</v>
      </c>
      <c r="K85">
        <v>131</v>
      </c>
      <c r="L85" t="s">
        <v>59</v>
      </c>
      <c r="M85">
        <v>5</v>
      </c>
      <c r="N85" t="str">
        <f>HYPERLINK("Gene2534-zp_tree_all.dnd", "Gene2534-tree")</f>
        <v>Gene2534-tree</v>
      </c>
    </row>
    <row r="86" spans="1:57">
      <c r="A86">
        <v>0</v>
      </c>
      <c r="B86">
        <v>0</v>
      </c>
      <c r="C86">
        <v>0</v>
      </c>
      <c r="D86">
        <v>2535</v>
      </c>
      <c r="E86" t="s">
        <v>3328</v>
      </c>
      <c r="F86" t="s">
        <v>5762</v>
      </c>
      <c r="G86" t="s">
        <v>62</v>
      </c>
      <c r="H86">
        <v>2529929</v>
      </c>
      <c r="I86">
        <v>2530333</v>
      </c>
      <c r="J86" t="s">
        <v>3329</v>
      </c>
      <c r="K86">
        <v>135</v>
      </c>
      <c r="L86" t="s">
        <v>59</v>
      </c>
      <c r="M86">
        <v>5</v>
      </c>
      <c r="N86" t="str">
        <f>HYPERLINK("Gene2535-zp_tree_all.dnd", "Gene2535-tree")</f>
        <v>Gene2535-tree</v>
      </c>
      <c r="O86">
        <v>4</v>
      </c>
      <c r="P86">
        <v>1</v>
      </c>
      <c r="Q86">
        <v>4</v>
      </c>
      <c r="R86">
        <v>1</v>
      </c>
      <c r="S86">
        <v>0.2</v>
      </c>
      <c r="T86" t="s">
        <v>60</v>
      </c>
      <c r="U86" t="s">
        <v>61</v>
      </c>
      <c r="V86" t="s">
        <v>62</v>
      </c>
      <c r="W86" t="s">
        <v>62</v>
      </c>
      <c r="X86">
        <v>0</v>
      </c>
      <c r="Y86">
        <v>0</v>
      </c>
      <c r="Z86">
        <v>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3</v>
      </c>
      <c r="AM86">
        <v>2</v>
      </c>
      <c r="AN86">
        <v>9</v>
      </c>
      <c r="AO86">
        <v>1</v>
      </c>
      <c r="AP86">
        <v>10</v>
      </c>
      <c r="AQ86">
        <v>1</v>
      </c>
      <c r="AR86" t="s">
        <v>3330</v>
      </c>
      <c r="AS86" t="s">
        <v>3331</v>
      </c>
      <c r="AT86">
        <v>7.0999999999999994E-2</v>
      </c>
      <c r="AU86" t="s">
        <v>65</v>
      </c>
      <c r="AV86">
        <v>19</v>
      </c>
      <c r="AW86">
        <v>2</v>
      </c>
      <c r="AX86" t="s">
        <v>3332</v>
      </c>
      <c r="AY86" t="s">
        <v>3333</v>
      </c>
      <c r="AZ86" t="s">
        <v>3334</v>
      </c>
      <c r="BA86">
        <v>2.794E-2</v>
      </c>
      <c r="BB86">
        <v>1</v>
      </c>
      <c r="BC86" t="s">
        <v>69</v>
      </c>
      <c r="BD86">
        <v>0.874</v>
      </c>
      <c r="BE86">
        <v>0.55000000000000004</v>
      </c>
    </row>
    <row r="87" spans="1:57">
      <c r="A87">
        <v>0</v>
      </c>
      <c r="B87">
        <v>0</v>
      </c>
      <c r="C87">
        <v>0</v>
      </c>
      <c r="D87">
        <v>2536</v>
      </c>
      <c r="E87" t="s">
        <v>3335</v>
      </c>
      <c r="F87" t="s">
        <v>5762</v>
      </c>
      <c r="G87" t="s">
        <v>62</v>
      </c>
      <c r="H87">
        <v>2530357</v>
      </c>
      <c r="I87">
        <v>2531706</v>
      </c>
      <c r="J87" t="s">
        <v>3336</v>
      </c>
      <c r="K87">
        <v>450</v>
      </c>
      <c r="L87" t="s">
        <v>59</v>
      </c>
      <c r="M87">
        <v>5</v>
      </c>
      <c r="N87" t="str">
        <f>HYPERLINK("Gene2536-zp_tree_all.dnd", "Gene2536-tree")</f>
        <v>Gene2536-tree</v>
      </c>
      <c r="O87">
        <v>2</v>
      </c>
      <c r="P87">
        <v>3</v>
      </c>
      <c r="Q87">
        <v>2</v>
      </c>
      <c r="R87">
        <v>3</v>
      </c>
      <c r="S87">
        <v>0.6</v>
      </c>
      <c r="T87" t="s">
        <v>135</v>
      </c>
      <c r="U87" t="s">
        <v>84</v>
      </c>
      <c r="V87" t="s">
        <v>62</v>
      </c>
      <c r="W87" t="s">
        <v>62</v>
      </c>
      <c r="X87">
        <v>0</v>
      </c>
      <c r="Y87">
        <v>0</v>
      </c>
      <c r="Z87">
        <v>5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3</v>
      </c>
      <c r="AK87">
        <v>0</v>
      </c>
      <c r="AL87">
        <v>5</v>
      </c>
      <c r="AM87">
        <v>2</v>
      </c>
      <c r="AN87">
        <v>34</v>
      </c>
      <c r="AO87">
        <v>3</v>
      </c>
      <c r="AP87">
        <v>43</v>
      </c>
      <c r="AQ87">
        <v>2</v>
      </c>
      <c r="AR87" t="s">
        <v>3337</v>
      </c>
      <c r="AS87" t="s">
        <v>3338</v>
      </c>
      <c r="AT87">
        <v>0.77800000000000002</v>
      </c>
      <c r="AU87" t="s">
        <v>65</v>
      </c>
      <c r="AV87">
        <v>77</v>
      </c>
      <c r="AW87">
        <v>5</v>
      </c>
      <c r="AX87" t="s">
        <v>3339</v>
      </c>
      <c r="AY87" t="s">
        <v>3340</v>
      </c>
      <c r="AZ87" t="s">
        <v>3341</v>
      </c>
      <c r="BA87">
        <v>1.7090000000000001E-2</v>
      </c>
      <c r="BB87">
        <v>1</v>
      </c>
      <c r="BC87" t="s">
        <v>69</v>
      </c>
      <c r="BD87">
        <v>0.62</v>
      </c>
      <c r="BE87">
        <v>0.35699999999999998</v>
      </c>
    </row>
    <row r="88" spans="1:57">
      <c r="A88">
        <v>0</v>
      </c>
      <c r="B88">
        <v>0</v>
      </c>
      <c r="C88">
        <v>0</v>
      </c>
      <c r="D88">
        <v>2538</v>
      </c>
      <c r="E88" t="s">
        <v>3342</v>
      </c>
      <c r="F88" t="s">
        <v>5762</v>
      </c>
      <c r="G88" t="s">
        <v>62</v>
      </c>
      <c r="H88">
        <v>2532356</v>
      </c>
      <c r="I88">
        <v>2533009</v>
      </c>
      <c r="J88" t="s">
        <v>3343</v>
      </c>
      <c r="K88">
        <v>218</v>
      </c>
      <c r="L88" t="s">
        <v>83</v>
      </c>
      <c r="M88">
        <v>4</v>
      </c>
      <c r="N88" t="str">
        <f>HYPERLINK("Gene2538-zp_tree_all.dnd", "Gene2538-tree")</f>
        <v>Gene2538-tree</v>
      </c>
      <c r="O88">
        <v>2</v>
      </c>
      <c r="P88">
        <v>2</v>
      </c>
      <c r="Q88">
        <v>2</v>
      </c>
      <c r="R88">
        <v>2</v>
      </c>
      <c r="S88">
        <v>0.5</v>
      </c>
      <c r="T88" t="s">
        <v>135</v>
      </c>
      <c r="U88" t="s">
        <v>135</v>
      </c>
      <c r="V88" t="s">
        <v>62</v>
      </c>
      <c r="W88" t="s">
        <v>62</v>
      </c>
      <c r="X88">
        <v>0</v>
      </c>
      <c r="Y88">
        <v>0</v>
      </c>
      <c r="Z88">
        <v>6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6</v>
      </c>
      <c r="AK88">
        <v>0</v>
      </c>
      <c r="AL88">
        <v>3</v>
      </c>
      <c r="AM88">
        <v>1</v>
      </c>
      <c r="AN88">
        <v>27</v>
      </c>
      <c r="AO88">
        <v>6</v>
      </c>
      <c r="AP88">
        <v>2</v>
      </c>
      <c r="AQ88">
        <v>0</v>
      </c>
      <c r="AR88" t="s">
        <v>3344</v>
      </c>
      <c r="AS88" t="s">
        <v>64</v>
      </c>
      <c r="AT88">
        <v>0.69899999999999995</v>
      </c>
      <c r="AU88" t="s">
        <v>65</v>
      </c>
      <c r="AV88">
        <v>29</v>
      </c>
      <c r="AW88">
        <v>6</v>
      </c>
      <c r="AX88" t="s">
        <v>3345</v>
      </c>
      <c r="AY88" t="s">
        <v>3346</v>
      </c>
      <c r="AZ88" t="s">
        <v>3347</v>
      </c>
      <c r="BA88">
        <v>4.9029999999999997E-2</v>
      </c>
      <c r="BB88">
        <v>1</v>
      </c>
      <c r="BC88" t="s">
        <v>69</v>
      </c>
      <c r="BD88">
        <v>-0.68300000000000005</v>
      </c>
      <c r="BE88">
        <v>-0.68300000000000005</v>
      </c>
    </row>
    <row r="89" spans="1:57">
      <c r="A89">
        <v>0</v>
      </c>
      <c r="B89">
        <v>0</v>
      </c>
      <c r="C89">
        <v>0</v>
      </c>
      <c r="D89">
        <v>2539</v>
      </c>
      <c r="E89" t="s">
        <v>3348</v>
      </c>
      <c r="F89" t="s">
        <v>5762</v>
      </c>
      <c r="G89" t="s">
        <v>62</v>
      </c>
      <c r="H89">
        <v>2533013</v>
      </c>
      <c r="I89">
        <v>2533699</v>
      </c>
      <c r="J89" t="s">
        <v>3349</v>
      </c>
      <c r="K89">
        <v>229</v>
      </c>
      <c r="L89" t="s">
        <v>59</v>
      </c>
      <c r="M89">
        <v>5</v>
      </c>
      <c r="N89" t="str">
        <f>HYPERLINK("Gene2539-zp_tree_all.dnd", "Gene2539-tree")</f>
        <v>Gene2539-tree</v>
      </c>
      <c r="O89">
        <v>2</v>
      </c>
      <c r="P89">
        <v>3</v>
      </c>
      <c r="Q89">
        <v>2</v>
      </c>
      <c r="R89">
        <v>3</v>
      </c>
      <c r="S89">
        <v>0.6</v>
      </c>
      <c r="T89" t="s">
        <v>135</v>
      </c>
      <c r="U89" t="s">
        <v>84</v>
      </c>
      <c r="V89" t="s">
        <v>62</v>
      </c>
      <c r="W89" t="s">
        <v>62</v>
      </c>
      <c r="X89">
        <v>0</v>
      </c>
      <c r="Y89">
        <v>0</v>
      </c>
      <c r="Z89">
        <v>8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4</v>
      </c>
      <c r="AK89">
        <v>0</v>
      </c>
      <c r="AL89">
        <v>4</v>
      </c>
      <c r="AM89">
        <v>2</v>
      </c>
      <c r="AN89">
        <v>10</v>
      </c>
      <c r="AO89">
        <v>4</v>
      </c>
      <c r="AP89">
        <v>19</v>
      </c>
      <c r="AQ89">
        <v>5</v>
      </c>
      <c r="AR89" t="s">
        <v>3350</v>
      </c>
      <c r="AS89" t="s">
        <v>3351</v>
      </c>
      <c r="AT89">
        <v>0.44</v>
      </c>
      <c r="AU89" t="s">
        <v>65</v>
      </c>
      <c r="AV89">
        <v>29</v>
      </c>
      <c r="AW89">
        <v>9</v>
      </c>
      <c r="AX89" t="s">
        <v>3352</v>
      </c>
      <c r="AY89" t="s">
        <v>3353</v>
      </c>
      <c r="AZ89" t="s">
        <v>3354</v>
      </c>
      <c r="BA89">
        <v>8.2890000000000005E-2</v>
      </c>
      <c r="BB89">
        <v>1</v>
      </c>
      <c r="BC89" t="s">
        <v>69</v>
      </c>
      <c r="BD89">
        <v>0.877</v>
      </c>
      <c r="BE89">
        <v>0.66</v>
      </c>
    </row>
    <row r="90" spans="1:57">
      <c r="A90">
        <v>0</v>
      </c>
      <c r="B90">
        <v>0</v>
      </c>
      <c r="C90">
        <v>4</v>
      </c>
      <c r="D90">
        <v>2540</v>
      </c>
      <c r="E90" t="s">
        <v>3355</v>
      </c>
      <c r="F90" t="s">
        <v>5762</v>
      </c>
      <c r="G90" t="s">
        <v>62</v>
      </c>
      <c r="H90">
        <v>2533695</v>
      </c>
      <c r="I90">
        <v>2534312</v>
      </c>
      <c r="J90" t="s">
        <v>3356</v>
      </c>
      <c r="K90">
        <v>206</v>
      </c>
      <c r="L90" t="s">
        <v>59</v>
      </c>
      <c r="M90">
        <v>5</v>
      </c>
      <c r="N90" t="str">
        <f>HYPERLINK("Gene2540-zp_tree_all.dnd", "Gene2540-tree")</f>
        <v>Gene2540-tree</v>
      </c>
      <c r="O90">
        <v>1</v>
      </c>
      <c r="P90">
        <v>4</v>
      </c>
      <c r="Q90">
        <v>1</v>
      </c>
      <c r="R90">
        <v>4</v>
      </c>
      <c r="S90">
        <v>0.8</v>
      </c>
      <c r="T90" t="s">
        <v>61</v>
      </c>
      <c r="U90" t="s">
        <v>60</v>
      </c>
      <c r="V90" t="s">
        <v>62</v>
      </c>
      <c r="W90" t="s">
        <v>62</v>
      </c>
      <c r="X90">
        <v>2</v>
      </c>
      <c r="Y90">
        <v>4</v>
      </c>
      <c r="Z90">
        <v>7</v>
      </c>
      <c r="AA90">
        <v>0.36364000000000002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7</v>
      </c>
      <c r="AK90">
        <v>0</v>
      </c>
      <c r="AL90">
        <v>5</v>
      </c>
      <c r="AM90">
        <v>1</v>
      </c>
      <c r="AN90">
        <v>12</v>
      </c>
      <c r="AO90">
        <v>7</v>
      </c>
      <c r="AP90">
        <v>10</v>
      </c>
      <c r="AQ90">
        <v>4</v>
      </c>
      <c r="AR90" t="s">
        <v>3357</v>
      </c>
      <c r="AS90" t="s">
        <v>3358</v>
      </c>
      <c r="AT90">
        <v>0.436</v>
      </c>
      <c r="AU90" t="s">
        <v>65</v>
      </c>
      <c r="AV90">
        <v>22</v>
      </c>
      <c r="AW90">
        <v>11</v>
      </c>
      <c r="AX90" t="s">
        <v>3359</v>
      </c>
      <c r="AY90" t="s">
        <v>3360</v>
      </c>
      <c r="AZ90" t="s">
        <v>3361</v>
      </c>
      <c r="BA90">
        <v>0.12307999999999999</v>
      </c>
      <c r="BB90">
        <v>1</v>
      </c>
      <c r="BC90" t="s">
        <v>69</v>
      </c>
      <c r="BD90">
        <v>7.5999999999999998E-2</v>
      </c>
      <c r="BE90">
        <v>7.5999999999999998E-2</v>
      </c>
    </row>
    <row r="91" spans="1:57">
      <c r="A91">
        <v>0</v>
      </c>
      <c r="B91">
        <v>0</v>
      </c>
      <c r="C91">
        <v>0</v>
      </c>
      <c r="D91">
        <v>2542</v>
      </c>
      <c r="E91" t="s">
        <v>3362</v>
      </c>
      <c r="F91" t="s">
        <v>5762</v>
      </c>
      <c r="G91" t="s">
        <v>62</v>
      </c>
      <c r="H91">
        <v>2535547</v>
      </c>
      <c r="I91">
        <v>2535945</v>
      </c>
      <c r="J91" t="s">
        <v>3356</v>
      </c>
      <c r="K91">
        <v>133</v>
      </c>
      <c r="L91" t="s">
        <v>59</v>
      </c>
      <c r="M91">
        <v>5</v>
      </c>
      <c r="N91" t="str">
        <f>HYPERLINK("Gene2542-zp_tree_all.dnd", "Gene2542-tree")</f>
        <v>Gene2542-tree</v>
      </c>
      <c r="O91">
        <v>5</v>
      </c>
      <c r="P91">
        <v>0</v>
      </c>
      <c r="Q91">
        <v>4</v>
      </c>
      <c r="R91">
        <v>0</v>
      </c>
      <c r="S91">
        <v>0</v>
      </c>
      <c r="T91" t="s">
        <v>150</v>
      </c>
      <c r="U91" t="s">
        <v>62</v>
      </c>
      <c r="V91" t="s">
        <v>62</v>
      </c>
      <c r="W91" t="s">
        <v>62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4</v>
      </c>
      <c r="AM91">
        <v>1</v>
      </c>
      <c r="AN91">
        <v>11</v>
      </c>
      <c r="AO91">
        <v>0</v>
      </c>
      <c r="AP91">
        <v>7</v>
      </c>
      <c r="AQ91">
        <v>0</v>
      </c>
      <c r="AR91" t="s">
        <v>64</v>
      </c>
      <c r="AS91" t="s">
        <v>64</v>
      </c>
      <c r="AT91">
        <v>0</v>
      </c>
      <c r="AU91" t="s">
        <v>65</v>
      </c>
      <c r="AV91">
        <v>18</v>
      </c>
      <c r="AW91">
        <v>0</v>
      </c>
      <c r="AX91" t="s">
        <v>3363</v>
      </c>
      <c r="AY91" t="s">
        <v>3364</v>
      </c>
      <c r="AZ91" t="s">
        <v>64</v>
      </c>
      <c r="BA91">
        <v>0</v>
      </c>
      <c r="BB91">
        <v>1</v>
      </c>
      <c r="BC91" t="s">
        <v>69</v>
      </c>
      <c r="BD91">
        <v>0.39600000000000002</v>
      </c>
      <c r="BE91">
        <v>0.39600000000000002</v>
      </c>
    </row>
    <row r="92" spans="1:57">
      <c r="A92">
        <v>0</v>
      </c>
      <c r="B92">
        <v>0</v>
      </c>
      <c r="C92">
        <v>0</v>
      </c>
      <c r="D92">
        <v>2543</v>
      </c>
      <c r="E92" t="s">
        <v>3365</v>
      </c>
      <c r="F92" t="s">
        <v>5762</v>
      </c>
      <c r="G92" t="s">
        <v>62</v>
      </c>
      <c r="H92">
        <v>2535955</v>
      </c>
      <c r="I92">
        <v>2536158</v>
      </c>
      <c r="J92" t="s">
        <v>3356</v>
      </c>
      <c r="K92">
        <v>68</v>
      </c>
      <c r="L92" t="s">
        <v>59</v>
      </c>
      <c r="M92">
        <v>5</v>
      </c>
      <c r="N92" t="str">
        <f>HYPERLINK("Gene2543-zp_tree_all.dnd", "Gene2543-tree")</f>
        <v>Gene2543-tree</v>
      </c>
    </row>
    <row r="93" spans="1:57">
      <c r="A93">
        <v>0</v>
      </c>
      <c r="B93">
        <v>0</v>
      </c>
      <c r="C93">
        <v>0</v>
      </c>
      <c r="D93">
        <v>2544</v>
      </c>
      <c r="E93" t="s">
        <v>3366</v>
      </c>
      <c r="F93" t="s">
        <v>5762</v>
      </c>
      <c r="G93" t="s">
        <v>62</v>
      </c>
      <c r="H93">
        <v>2536184</v>
      </c>
      <c r="I93">
        <v>2536696</v>
      </c>
      <c r="J93" t="s">
        <v>3356</v>
      </c>
      <c r="K93">
        <v>171</v>
      </c>
      <c r="L93" t="s">
        <v>112</v>
      </c>
      <c r="M93">
        <v>4</v>
      </c>
      <c r="N93" t="str">
        <f>HYPERLINK("Gene2544-zp_tree_all.dnd", "Gene2544-tree")</f>
        <v>Gene2544-tree</v>
      </c>
      <c r="O93">
        <v>1</v>
      </c>
      <c r="P93">
        <v>3</v>
      </c>
      <c r="Q93">
        <v>1</v>
      </c>
      <c r="R93">
        <v>3</v>
      </c>
      <c r="S93">
        <v>0.75</v>
      </c>
      <c r="T93" t="s">
        <v>61</v>
      </c>
      <c r="U93" t="s">
        <v>84</v>
      </c>
      <c r="V93" t="s">
        <v>62</v>
      </c>
      <c r="W93" t="s">
        <v>62</v>
      </c>
      <c r="X93">
        <v>0</v>
      </c>
      <c r="Y93">
        <v>0</v>
      </c>
      <c r="Z93">
        <v>6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6</v>
      </c>
      <c r="AK93">
        <v>0</v>
      </c>
      <c r="AL93">
        <v>3</v>
      </c>
      <c r="AM93">
        <v>1</v>
      </c>
      <c r="AN93">
        <v>17</v>
      </c>
      <c r="AO93">
        <v>7</v>
      </c>
      <c r="AP93">
        <v>1</v>
      </c>
      <c r="AQ93">
        <v>0</v>
      </c>
      <c r="AR93" t="s">
        <v>3367</v>
      </c>
      <c r="AS93" t="s">
        <v>64</v>
      </c>
      <c r="AT93">
        <v>0.96699999999999997</v>
      </c>
      <c r="AU93" t="s">
        <v>65</v>
      </c>
      <c r="AV93">
        <v>18</v>
      </c>
      <c r="AW93">
        <v>7</v>
      </c>
      <c r="AX93" t="s">
        <v>3368</v>
      </c>
      <c r="AY93" t="s">
        <v>3369</v>
      </c>
      <c r="AZ93" t="s">
        <v>3370</v>
      </c>
      <c r="BA93">
        <v>0.10655000000000001</v>
      </c>
      <c r="BB93">
        <v>1</v>
      </c>
      <c r="BC93" t="s">
        <v>69</v>
      </c>
      <c r="BD93">
        <v>-0.46500000000000002</v>
      </c>
      <c r="BE93">
        <v>-0.85799999999999998</v>
      </c>
    </row>
    <row r="94" spans="1:57">
      <c r="A94">
        <v>0</v>
      </c>
      <c r="B94">
        <v>0</v>
      </c>
      <c r="C94">
        <v>0</v>
      </c>
      <c r="D94">
        <v>2547</v>
      </c>
      <c r="E94" t="s">
        <v>3371</v>
      </c>
      <c r="F94" t="s">
        <v>5762</v>
      </c>
      <c r="G94" t="s">
        <v>62</v>
      </c>
      <c r="H94">
        <v>2538118</v>
      </c>
      <c r="I94">
        <v>2538672</v>
      </c>
      <c r="J94" t="s">
        <v>3372</v>
      </c>
      <c r="K94">
        <v>185</v>
      </c>
      <c r="L94" t="s">
        <v>59</v>
      </c>
      <c r="M94">
        <v>5</v>
      </c>
      <c r="N94" t="str">
        <f>HYPERLINK("Gene2547-zp_tree_all.dnd", "Gene2547-tree")</f>
        <v>Gene2547-tree</v>
      </c>
      <c r="O94">
        <v>4</v>
      </c>
      <c r="P94">
        <v>1</v>
      </c>
      <c r="Q94">
        <v>3</v>
      </c>
      <c r="R94">
        <v>1</v>
      </c>
      <c r="S94">
        <v>0.25</v>
      </c>
      <c r="T94" t="s">
        <v>119</v>
      </c>
      <c r="U94" t="s">
        <v>61</v>
      </c>
      <c r="V94" t="s">
        <v>62</v>
      </c>
      <c r="W94" t="s">
        <v>62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4</v>
      </c>
      <c r="AM94">
        <v>1</v>
      </c>
      <c r="AN94">
        <v>18</v>
      </c>
      <c r="AO94">
        <v>1</v>
      </c>
      <c r="AP94">
        <v>12</v>
      </c>
      <c r="AQ94">
        <v>0</v>
      </c>
      <c r="AR94" t="s">
        <v>3373</v>
      </c>
      <c r="AS94" t="s">
        <v>64</v>
      </c>
      <c r="AT94">
        <v>0.55800000000000005</v>
      </c>
      <c r="AU94" t="s">
        <v>65</v>
      </c>
      <c r="AV94">
        <v>30</v>
      </c>
      <c r="AW94">
        <v>1</v>
      </c>
      <c r="AX94" t="s">
        <v>3374</v>
      </c>
      <c r="AY94" t="s">
        <v>3375</v>
      </c>
      <c r="AZ94" t="s">
        <v>3376</v>
      </c>
      <c r="BA94">
        <v>8.2299999999999995E-3</v>
      </c>
      <c r="BB94">
        <v>1</v>
      </c>
      <c r="BC94" t="s">
        <v>69</v>
      </c>
      <c r="BD94">
        <v>0.06</v>
      </c>
      <c r="BE94">
        <v>0.06</v>
      </c>
    </row>
    <row r="95" spans="1:57">
      <c r="A95">
        <v>0</v>
      </c>
      <c r="B95">
        <v>0</v>
      </c>
      <c r="C95">
        <v>0</v>
      </c>
      <c r="D95">
        <v>2548</v>
      </c>
      <c r="E95" t="s">
        <v>3377</v>
      </c>
      <c r="F95" t="s">
        <v>5762</v>
      </c>
      <c r="G95" t="s">
        <v>62</v>
      </c>
      <c r="H95">
        <v>2538700</v>
      </c>
      <c r="I95">
        <v>2539758</v>
      </c>
      <c r="J95" t="s">
        <v>3378</v>
      </c>
      <c r="K95">
        <v>353</v>
      </c>
      <c r="L95" t="s">
        <v>83</v>
      </c>
      <c r="M95">
        <v>4</v>
      </c>
      <c r="N95" t="str">
        <f>HYPERLINK("Gene2548-zp_tree_all.dnd", "Gene2548-tree")</f>
        <v>Gene2548-tree</v>
      </c>
      <c r="O95">
        <v>0</v>
      </c>
      <c r="P95">
        <v>4</v>
      </c>
      <c r="Q95">
        <v>0</v>
      </c>
      <c r="R95">
        <v>4</v>
      </c>
      <c r="S95">
        <v>1</v>
      </c>
      <c r="T95" t="s">
        <v>62</v>
      </c>
      <c r="U95" t="s">
        <v>60</v>
      </c>
      <c r="V95" t="s">
        <v>62</v>
      </c>
      <c r="W95" t="s">
        <v>62</v>
      </c>
      <c r="X95">
        <v>0</v>
      </c>
      <c r="Y95">
        <v>0</v>
      </c>
      <c r="Z95">
        <v>13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12</v>
      </c>
      <c r="AK95">
        <v>0</v>
      </c>
      <c r="AL95">
        <v>4</v>
      </c>
      <c r="AM95">
        <v>1</v>
      </c>
      <c r="AN95">
        <v>42</v>
      </c>
      <c r="AO95">
        <v>12</v>
      </c>
      <c r="AP95">
        <v>5</v>
      </c>
      <c r="AQ95">
        <v>1</v>
      </c>
      <c r="AR95" t="s">
        <v>3379</v>
      </c>
      <c r="AS95" t="s">
        <v>3380</v>
      </c>
      <c r="AT95">
        <v>0.158</v>
      </c>
      <c r="AU95" t="s">
        <v>65</v>
      </c>
      <c r="AV95">
        <v>47</v>
      </c>
      <c r="AW95">
        <v>13</v>
      </c>
      <c r="AX95" t="s">
        <v>3381</v>
      </c>
      <c r="AY95" t="s">
        <v>3382</v>
      </c>
      <c r="AZ95" t="s">
        <v>3383</v>
      </c>
      <c r="BA95">
        <v>7.6749999999999999E-2</v>
      </c>
      <c r="BB95">
        <v>1</v>
      </c>
      <c r="BC95" t="s">
        <v>69</v>
      </c>
      <c r="BD95">
        <v>-0.437</v>
      </c>
      <c r="BE95">
        <v>-0.59899999999999998</v>
      </c>
    </row>
    <row r="96" spans="1:57">
      <c r="A96">
        <v>0</v>
      </c>
      <c r="B96">
        <v>0</v>
      </c>
      <c r="C96">
        <v>0</v>
      </c>
      <c r="D96">
        <v>2549</v>
      </c>
      <c r="E96" t="s">
        <v>3384</v>
      </c>
      <c r="F96" t="s">
        <v>5762</v>
      </c>
      <c r="G96" t="s">
        <v>62</v>
      </c>
      <c r="H96">
        <v>2539758</v>
      </c>
      <c r="I96">
        <v>2540201</v>
      </c>
      <c r="J96" t="s">
        <v>3385</v>
      </c>
      <c r="K96">
        <v>148</v>
      </c>
      <c r="L96" t="s">
        <v>59</v>
      </c>
      <c r="M96">
        <v>5</v>
      </c>
      <c r="N96" t="str">
        <f>HYPERLINK("Gene2549-zp_tree_all.dnd", "Gene2549-tree")</f>
        <v>Gene2549-tree</v>
      </c>
      <c r="O96">
        <v>0</v>
      </c>
      <c r="P96">
        <v>5</v>
      </c>
      <c r="Q96">
        <v>0</v>
      </c>
      <c r="R96">
        <v>5</v>
      </c>
      <c r="S96">
        <v>1</v>
      </c>
      <c r="T96" t="s">
        <v>62</v>
      </c>
      <c r="U96" t="s">
        <v>98</v>
      </c>
      <c r="V96" t="s">
        <v>62</v>
      </c>
      <c r="W96" t="s">
        <v>62</v>
      </c>
      <c r="X96">
        <v>0</v>
      </c>
      <c r="Y96">
        <v>0</v>
      </c>
      <c r="Z96">
        <v>6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4</v>
      </c>
      <c r="AK96">
        <v>0</v>
      </c>
      <c r="AL96">
        <v>4</v>
      </c>
      <c r="AM96">
        <v>2</v>
      </c>
      <c r="AN96">
        <v>11</v>
      </c>
      <c r="AO96">
        <v>4</v>
      </c>
      <c r="AP96">
        <v>14</v>
      </c>
      <c r="AQ96">
        <v>3</v>
      </c>
      <c r="AR96" t="s">
        <v>3386</v>
      </c>
      <c r="AS96" t="s">
        <v>3387</v>
      </c>
      <c r="AT96">
        <v>1.5589999999999999</v>
      </c>
      <c r="AU96" t="s">
        <v>65</v>
      </c>
      <c r="AV96">
        <v>25</v>
      </c>
      <c r="AW96">
        <v>7</v>
      </c>
      <c r="AX96" t="s">
        <v>3388</v>
      </c>
      <c r="AY96" t="s">
        <v>3389</v>
      </c>
      <c r="AZ96" t="s">
        <v>3390</v>
      </c>
      <c r="BA96">
        <v>7.5520000000000004E-2</v>
      </c>
      <c r="BB96">
        <v>1</v>
      </c>
      <c r="BC96" t="s">
        <v>69</v>
      </c>
      <c r="BD96">
        <v>0.51300000000000001</v>
      </c>
      <c r="BE96">
        <v>0.26100000000000001</v>
      </c>
    </row>
    <row r="97" spans="1:57">
      <c r="A97">
        <v>0</v>
      </c>
      <c r="B97">
        <v>4</v>
      </c>
      <c r="C97">
        <v>0</v>
      </c>
      <c r="D97">
        <v>2553</v>
      </c>
      <c r="E97" t="s">
        <v>3396</v>
      </c>
      <c r="F97" t="s">
        <v>5762</v>
      </c>
      <c r="G97" t="s">
        <v>62</v>
      </c>
      <c r="H97">
        <v>2542442</v>
      </c>
      <c r="I97">
        <v>2543314</v>
      </c>
      <c r="J97" t="s">
        <v>3397</v>
      </c>
      <c r="K97">
        <v>291</v>
      </c>
      <c r="L97" t="s">
        <v>59</v>
      </c>
      <c r="M97">
        <v>5</v>
      </c>
      <c r="N97" t="str">
        <f>HYPERLINK("Gene2553-zp_tree_all.dnd", "Gene2553-tree")</f>
        <v>Gene2553-tree</v>
      </c>
      <c r="O97">
        <v>1</v>
      </c>
      <c r="P97">
        <v>4</v>
      </c>
      <c r="Q97">
        <v>1</v>
      </c>
      <c r="R97">
        <v>4</v>
      </c>
      <c r="S97">
        <v>0.8</v>
      </c>
      <c r="T97" t="s">
        <v>61</v>
      </c>
      <c r="U97" t="s">
        <v>60</v>
      </c>
      <c r="V97" t="s">
        <v>62</v>
      </c>
      <c r="W97" t="s">
        <v>62</v>
      </c>
      <c r="X97">
        <v>2</v>
      </c>
      <c r="Y97">
        <v>4</v>
      </c>
      <c r="Z97">
        <v>7</v>
      </c>
      <c r="AA97">
        <v>0.36364000000000002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2</v>
      </c>
      <c r="AH97">
        <v>0</v>
      </c>
      <c r="AI97">
        <v>2</v>
      </c>
      <c r="AJ97">
        <v>6</v>
      </c>
      <c r="AK97">
        <v>0.25</v>
      </c>
      <c r="AL97">
        <v>5</v>
      </c>
      <c r="AM97">
        <v>2</v>
      </c>
      <c r="AN97">
        <v>29</v>
      </c>
      <c r="AO97">
        <v>8</v>
      </c>
      <c r="AP97">
        <v>32</v>
      </c>
      <c r="AQ97">
        <v>3</v>
      </c>
      <c r="AR97" t="s">
        <v>3398</v>
      </c>
      <c r="AS97" t="s">
        <v>3399</v>
      </c>
      <c r="AT97">
        <v>1.8660000000000001</v>
      </c>
      <c r="AU97" t="s">
        <v>65</v>
      </c>
      <c r="AV97">
        <v>61</v>
      </c>
      <c r="AW97">
        <v>11</v>
      </c>
      <c r="AX97" t="s">
        <v>3400</v>
      </c>
      <c r="AY97" t="s">
        <v>3401</v>
      </c>
      <c r="AZ97" t="s">
        <v>3402</v>
      </c>
      <c r="BA97">
        <v>4.197E-2</v>
      </c>
      <c r="BB97">
        <v>1</v>
      </c>
      <c r="BC97" t="s">
        <v>69</v>
      </c>
      <c r="BD97">
        <v>1.024</v>
      </c>
      <c r="BE97">
        <v>0.26300000000000001</v>
      </c>
    </row>
    <row r="98" spans="1:57">
      <c r="A98">
        <v>0</v>
      </c>
      <c r="B98">
        <v>0</v>
      </c>
      <c r="C98">
        <v>0</v>
      </c>
      <c r="D98">
        <v>2554</v>
      </c>
      <c r="E98" t="s">
        <v>3403</v>
      </c>
      <c r="F98" t="s">
        <v>5762</v>
      </c>
      <c r="G98" t="s">
        <v>62</v>
      </c>
      <c r="H98">
        <v>2543443</v>
      </c>
      <c r="I98">
        <v>2543868</v>
      </c>
      <c r="J98" t="s">
        <v>3404</v>
      </c>
      <c r="K98">
        <v>142</v>
      </c>
      <c r="L98" t="s">
        <v>59</v>
      </c>
      <c r="M98">
        <v>5</v>
      </c>
      <c r="N98" t="str">
        <f>HYPERLINK("Gene2554-zp_tree_all.dnd", "Gene2554-tree")</f>
        <v>Gene2554-tree</v>
      </c>
      <c r="O98">
        <v>2</v>
      </c>
      <c r="P98">
        <v>2</v>
      </c>
      <c r="Q98">
        <v>2</v>
      </c>
      <c r="R98">
        <v>2</v>
      </c>
      <c r="S98">
        <v>0.5</v>
      </c>
      <c r="T98" t="s">
        <v>135</v>
      </c>
      <c r="U98" t="s">
        <v>135</v>
      </c>
      <c r="V98" t="s">
        <v>62</v>
      </c>
      <c r="W98" t="s">
        <v>62</v>
      </c>
      <c r="X98">
        <v>0</v>
      </c>
      <c r="Y98">
        <v>0</v>
      </c>
      <c r="Z98">
        <v>2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2</v>
      </c>
      <c r="AK98">
        <v>0</v>
      </c>
      <c r="AL98">
        <v>3</v>
      </c>
      <c r="AM98">
        <v>1</v>
      </c>
      <c r="AN98">
        <v>6</v>
      </c>
      <c r="AO98">
        <v>2</v>
      </c>
      <c r="AP98">
        <v>3</v>
      </c>
      <c r="AQ98">
        <v>0</v>
      </c>
      <c r="AR98" t="s">
        <v>3405</v>
      </c>
      <c r="AS98" t="s">
        <v>64</v>
      </c>
      <c r="AT98">
        <v>2.5819999999999999</v>
      </c>
      <c r="AU98" t="s">
        <v>286</v>
      </c>
      <c r="AV98">
        <v>9</v>
      </c>
      <c r="AW98">
        <v>2</v>
      </c>
      <c r="AX98" t="s">
        <v>3406</v>
      </c>
      <c r="AY98" t="s">
        <v>3407</v>
      </c>
      <c r="AZ98" t="s">
        <v>3408</v>
      </c>
      <c r="BA98">
        <v>5.1720000000000002E-2</v>
      </c>
      <c r="BB98">
        <v>1</v>
      </c>
      <c r="BC98" t="s">
        <v>69</v>
      </c>
      <c r="BD98">
        <v>-0.38200000000000001</v>
      </c>
      <c r="BE98">
        <v>-0.38200000000000001</v>
      </c>
    </row>
    <row r="99" spans="1:57">
      <c r="A99">
        <v>0</v>
      </c>
      <c r="B99">
        <v>0</v>
      </c>
      <c r="C99">
        <v>0</v>
      </c>
      <c r="D99">
        <v>2555</v>
      </c>
      <c r="E99" t="s">
        <v>3409</v>
      </c>
      <c r="F99" t="s">
        <v>5762</v>
      </c>
      <c r="G99" t="s">
        <v>62</v>
      </c>
      <c r="H99">
        <v>2543971</v>
      </c>
      <c r="I99">
        <v>2544804</v>
      </c>
      <c r="J99" t="s">
        <v>3410</v>
      </c>
      <c r="K99">
        <v>278</v>
      </c>
      <c r="L99" t="s">
        <v>83</v>
      </c>
      <c r="M99">
        <v>4</v>
      </c>
      <c r="N99" t="str">
        <f>HYPERLINK("Gene2555-zp_tree_all.dnd", "Gene2555-tree")</f>
        <v>Gene2555-tree</v>
      </c>
      <c r="O99">
        <v>1</v>
      </c>
      <c r="P99">
        <v>3</v>
      </c>
      <c r="Q99">
        <v>1</v>
      </c>
      <c r="R99">
        <v>3</v>
      </c>
      <c r="S99">
        <v>0.75</v>
      </c>
      <c r="T99" t="s">
        <v>61</v>
      </c>
      <c r="U99" t="s">
        <v>84</v>
      </c>
      <c r="V99" t="s">
        <v>62</v>
      </c>
      <c r="W99" t="s">
        <v>62</v>
      </c>
      <c r="X99">
        <v>0</v>
      </c>
      <c r="Y99">
        <v>0</v>
      </c>
      <c r="Z99">
        <v>6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6</v>
      </c>
      <c r="AK99">
        <v>0</v>
      </c>
      <c r="AL99">
        <v>4</v>
      </c>
      <c r="AM99">
        <v>1</v>
      </c>
      <c r="AN99">
        <v>44</v>
      </c>
      <c r="AO99">
        <v>6</v>
      </c>
      <c r="AP99">
        <v>5</v>
      </c>
      <c r="AQ99">
        <v>0</v>
      </c>
      <c r="AR99" t="s">
        <v>3411</v>
      </c>
      <c r="AS99" t="s">
        <v>64</v>
      </c>
      <c r="AT99">
        <v>0.99</v>
      </c>
      <c r="AU99" t="s">
        <v>65</v>
      </c>
      <c r="AV99">
        <v>49</v>
      </c>
      <c r="AW99">
        <v>6</v>
      </c>
      <c r="AX99" t="s">
        <v>3412</v>
      </c>
      <c r="AY99" t="s">
        <v>3413</v>
      </c>
      <c r="AZ99" t="s">
        <v>3414</v>
      </c>
      <c r="BA99">
        <v>3.0640000000000001E-2</v>
      </c>
      <c r="BB99">
        <v>1</v>
      </c>
      <c r="BC99" t="s">
        <v>69</v>
      </c>
      <c r="BD99">
        <v>-0.44800000000000001</v>
      </c>
      <c r="BE99">
        <v>-0.628</v>
      </c>
    </row>
    <row r="100" spans="1:57">
      <c r="A100">
        <v>0</v>
      </c>
      <c r="B100">
        <v>0</v>
      </c>
      <c r="C100">
        <v>2</v>
      </c>
      <c r="D100">
        <v>2579</v>
      </c>
      <c r="E100" t="s">
        <v>3425</v>
      </c>
      <c r="F100" t="s">
        <v>5762</v>
      </c>
      <c r="G100" t="s">
        <v>62</v>
      </c>
      <c r="H100">
        <v>2564029</v>
      </c>
      <c r="I100">
        <v>2564406</v>
      </c>
      <c r="J100" t="s">
        <v>3426</v>
      </c>
      <c r="K100">
        <v>126</v>
      </c>
      <c r="L100" t="s">
        <v>59</v>
      </c>
      <c r="M100">
        <v>5</v>
      </c>
      <c r="N100" t="str">
        <f>HYPERLINK("Gene2579-zp_tree_all.dnd", "Gene2579-tree")</f>
        <v>Gene2579-tree</v>
      </c>
      <c r="O100">
        <v>3</v>
      </c>
      <c r="P100">
        <v>2</v>
      </c>
      <c r="Q100">
        <v>3</v>
      </c>
      <c r="R100">
        <v>1</v>
      </c>
      <c r="S100">
        <v>0.25</v>
      </c>
      <c r="T100" t="s">
        <v>84</v>
      </c>
      <c r="U100" t="s">
        <v>61</v>
      </c>
      <c r="V100" t="s">
        <v>62</v>
      </c>
      <c r="W100" t="s">
        <v>62</v>
      </c>
      <c r="X100">
        <v>1</v>
      </c>
      <c r="Y100">
        <v>2</v>
      </c>
      <c r="Z100">
        <v>2</v>
      </c>
      <c r="AA100">
        <v>0.5</v>
      </c>
      <c r="AB100">
        <v>0</v>
      </c>
      <c r="AC100">
        <v>0</v>
      </c>
      <c r="AD100">
        <v>0</v>
      </c>
      <c r="AE100">
        <v>3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0</v>
      </c>
      <c r="AL100">
        <v>4</v>
      </c>
      <c r="AM100">
        <v>1</v>
      </c>
      <c r="AN100">
        <v>7</v>
      </c>
      <c r="AO100">
        <v>1</v>
      </c>
      <c r="AP100">
        <v>11</v>
      </c>
      <c r="AQ100">
        <v>3</v>
      </c>
      <c r="AR100" t="s">
        <v>3427</v>
      </c>
      <c r="AS100" t="s">
        <v>3428</v>
      </c>
      <c r="AT100">
        <v>0.47699999999999998</v>
      </c>
      <c r="AU100" t="s">
        <v>65</v>
      </c>
      <c r="AV100">
        <v>18</v>
      </c>
      <c r="AW100">
        <v>4</v>
      </c>
      <c r="AX100" t="s">
        <v>3429</v>
      </c>
      <c r="AY100" t="s">
        <v>3430</v>
      </c>
      <c r="AZ100" t="s">
        <v>3431</v>
      </c>
      <c r="BA100">
        <v>5.781E-2</v>
      </c>
      <c r="BB100">
        <v>1</v>
      </c>
      <c r="BC100" t="s">
        <v>69</v>
      </c>
      <c r="BD100">
        <v>1.0109999999999999</v>
      </c>
      <c r="BE100">
        <v>1.0109999999999999</v>
      </c>
    </row>
    <row r="101" spans="1:57">
      <c r="A101">
        <v>0</v>
      </c>
      <c r="B101">
        <v>0</v>
      </c>
      <c r="C101">
        <v>0</v>
      </c>
      <c r="D101">
        <v>2592</v>
      </c>
      <c r="E101" t="s">
        <v>3435</v>
      </c>
      <c r="F101" t="s">
        <v>5762</v>
      </c>
      <c r="G101" t="s">
        <v>62</v>
      </c>
      <c r="H101">
        <v>2574411</v>
      </c>
      <c r="I101">
        <v>2574557</v>
      </c>
      <c r="J101" t="s">
        <v>388</v>
      </c>
      <c r="K101">
        <v>49</v>
      </c>
      <c r="L101" t="s">
        <v>59</v>
      </c>
      <c r="M101">
        <v>5</v>
      </c>
      <c r="N101" t="str">
        <f>HYPERLINK("Gene2592-zp_tree_all.dnd", "Gene2592-tree")</f>
        <v>Gene2592-tree</v>
      </c>
    </row>
    <row r="102" spans="1:57">
      <c r="A102">
        <v>0</v>
      </c>
      <c r="B102">
        <v>0</v>
      </c>
      <c r="C102">
        <v>0</v>
      </c>
      <c r="D102">
        <v>2601</v>
      </c>
      <c r="E102" t="s">
        <v>3441</v>
      </c>
      <c r="F102" t="s">
        <v>5762</v>
      </c>
      <c r="G102" t="s">
        <v>62</v>
      </c>
      <c r="H102">
        <v>2580718</v>
      </c>
      <c r="I102">
        <v>2581617</v>
      </c>
      <c r="J102" t="s">
        <v>3442</v>
      </c>
      <c r="K102">
        <v>300</v>
      </c>
      <c r="L102" t="s">
        <v>59</v>
      </c>
      <c r="M102">
        <v>5</v>
      </c>
      <c r="N102" t="str">
        <f>HYPERLINK("Gene2601-zp_tree_all.dnd", "Gene2601-tree")</f>
        <v>Gene2601-tree</v>
      </c>
      <c r="O102">
        <v>1</v>
      </c>
      <c r="P102">
        <v>4</v>
      </c>
      <c r="Q102">
        <v>1</v>
      </c>
      <c r="R102">
        <v>4</v>
      </c>
      <c r="S102">
        <v>0.8</v>
      </c>
      <c r="T102" t="s">
        <v>61</v>
      </c>
      <c r="U102" t="s">
        <v>60</v>
      </c>
      <c r="V102" t="s">
        <v>62</v>
      </c>
      <c r="W102" t="s">
        <v>62</v>
      </c>
      <c r="X102">
        <v>0</v>
      </c>
      <c r="Y102">
        <v>0</v>
      </c>
      <c r="Z102">
        <v>10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6</v>
      </c>
      <c r="AK102">
        <v>0</v>
      </c>
      <c r="AL102">
        <v>5</v>
      </c>
      <c r="AM102">
        <v>2</v>
      </c>
      <c r="AN102">
        <v>37</v>
      </c>
      <c r="AO102">
        <v>6</v>
      </c>
      <c r="AP102">
        <v>17</v>
      </c>
      <c r="AQ102">
        <v>4</v>
      </c>
      <c r="AR102" t="s">
        <v>3443</v>
      </c>
      <c r="AS102" t="s">
        <v>3444</v>
      </c>
      <c r="AT102">
        <v>0.98899999999999999</v>
      </c>
      <c r="AU102" t="s">
        <v>65</v>
      </c>
      <c r="AV102">
        <v>54</v>
      </c>
      <c r="AW102">
        <v>10</v>
      </c>
      <c r="AX102" t="s">
        <v>3445</v>
      </c>
      <c r="AY102" t="s">
        <v>3446</v>
      </c>
      <c r="AZ102" t="s">
        <v>3447</v>
      </c>
      <c r="BA102">
        <v>5.6399999999999999E-2</v>
      </c>
      <c r="BB102">
        <v>1</v>
      </c>
      <c r="BC102" t="s">
        <v>69</v>
      </c>
      <c r="BD102">
        <v>2.1000000000000001E-2</v>
      </c>
      <c r="BE102">
        <v>-8.5000000000000006E-2</v>
      </c>
    </row>
    <row r="103" spans="1:57">
      <c r="A103">
        <v>0</v>
      </c>
      <c r="B103">
        <v>0</v>
      </c>
      <c r="C103">
        <v>0</v>
      </c>
      <c r="D103">
        <v>2604</v>
      </c>
      <c r="E103" t="s">
        <v>3448</v>
      </c>
      <c r="F103" t="s">
        <v>5762</v>
      </c>
      <c r="G103" t="s">
        <v>62</v>
      </c>
      <c r="H103">
        <v>2585437</v>
      </c>
      <c r="I103">
        <v>2586042</v>
      </c>
      <c r="J103" t="s">
        <v>3449</v>
      </c>
      <c r="K103">
        <v>202</v>
      </c>
      <c r="L103" t="s">
        <v>59</v>
      </c>
      <c r="M103">
        <v>5</v>
      </c>
      <c r="N103" t="str">
        <f>HYPERLINK("Gene2604-zp_tree_all.dnd", "Gene2604-tree")</f>
        <v>Gene2604-tree</v>
      </c>
      <c r="O103">
        <v>3</v>
      </c>
      <c r="P103">
        <v>2</v>
      </c>
      <c r="Q103">
        <v>3</v>
      </c>
      <c r="R103">
        <v>2</v>
      </c>
      <c r="S103">
        <v>0.4</v>
      </c>
      <c r="T103" t="s">
        <v>84</v>
      </c>
      <c r="U103" t="s">
        <v>135</v>
      </c>
      <c r="V103" t="s">
        <v>62</v>
      </c>
      <c r="W103" t="s">
        <v>62</v>
      </c>
      <c r="X103">
        <v>0</v>
      </c>
      <c r="Y103">
        <v>0</v>
      </c>
      <c r="Z103">
        <v>3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2</v>
      </c>
      <c r="AK103">
        <v>0</v>
      </c>
      <c r="AL103">
        <v>4</v>
      </c>
      <c r="AM103">
        <v>2</v>
      </c>
      <c r="AN103">
        <v>16</v>
      </c>
      <c r="AO103">
        <v>2</v>
      </c>
      <c r="AP103">
        <v>6</v>
      </c>
      <c r="AQ103">
        <v>1</v>
      </c>
      <c r="AR103" t="s">
        <v>3450</v>
      </c>
      <c r="AS103" t="s">
        <v>3451</v>
      </c>
      <c r="AT103">
        <v>0.223</v>
      </c>
      <c r="AU103" t="s">
        <v>65</v>
      </c>
      <c r="AV103">
        <v>22</v>
      </c>
      <c r="AW103">
        <v>3</v>
      </c>
      <c r="AX103" t="s">
        <v>3452</v>
      </c>
      <c r="AY103" t="s">
        <v>3453</v>
      </c>
      <c r="AZ103" t="s">
        <v>3454</v>
      </c>
      <c r="BA103">
        <v>3.9489999999999997E-2</v>
      </c>
      <c r="BB103">
        <v>1</v>
      </c>
      <c r="BC103" t="s">
        <v>69</v>
      </c>
      <c r="BD103">
        <v>-0.372</v>
      </c>
      <c r="BE103">
        <v>-0.372</v>
      </c>
    </row>
    <row r="104" spans="1:57">
      <c r="A104">
        <v>0</v>
      </c>
      <c r="B104">
        <v>0</v>
      </c>
      <c r="C104">
        <v>0</v>
      </c>
      <c r="D104">
        <v>2622</v>
      </c>
      <c r="E104" t="s">
        <v>3462</v>
      </c>
      <c r="F104" t="s">
        <v>5762</v>
      </c>
      <c r="G104" t="s">
        <v>62</v>
      </c>
      <c r="H104">
        <v>2600217</v>
      </c>
      <c r="I104">
        <v>2601329</v>
      </c>
      <c r="J104" t="s">
        <v>3463</v>
      </c>
      <c r="K104">
        <v>371</v>
      </c>
      <c r="L104" t="s">
        <v>59</v>
      </c>
      <c r="M104">
        <v>5</v>
      </c>
      <c r="N104" t="str">
        <f>HYPERLINK("Gene2622-zp_tree_all.dnd", "Gene2622-tree")</f>
        <v>Gene2622-tree</v>
      </c>
      <c r="O104">
        <v>5</v>
      </c>
      <c r="P104">
        <v>0</v>
      </c>
      <c r="Q104">
        <v>4</v>
      </c>
      <c r="R104">
        <v>0</v>
      </c>
      <c r="S104">
        <v>0</v>
      </c>
      <c r="T104" t="s">
        <v>150</v>
      </c>
      <c r="U104" t="s">
        <v>62</v>
      </c>
      <c r="V104" t="s">
        <v>62</v>
      </c>
      <c r="W104" t="s">
        <v>62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4</v>
      </c>
      <c r="AM104">
        <v>1</v>
      </c>
      <c r="AN104">
        <v>20</v>
      </c>
      <c r="AO104">
        <v>0</v>
      </c>
      <c r="AP104">
        <v>21</v>
      </c>
      <c r="AQ104">
        <v>0</v>
      </c>
      <c r="AR104" t="s">
        <v>64</v>
      </c>
      <c r="AS104" t="s">
        <v>64</v>
      </c>
      <c r="AT104">
        <v>0</v>
      </c>
      <c r="AU104" t="s">
        <v>65</v>
      </c>
      <c r="AV104">
        <v>41</v>
      </c>
      <c r="AW104">
        <v>0</v>
      </c>
      <c r="AX104" t="s">
        <v>3464</v>
      </c>
      <c r="AY104" t="s">
        <v>3465</v>
      </c>
      <c r="AZ104" t="s">
        <v>64</v>
      </c>
      <c r="BA104">
        <v>0</v>
      </c>
      <c r="BB104">
        <v>1</v>
      </c>
      <c r="BC104" t="s">
        <v>69</v>
      </c>
      <c r="BD104">
        <v>0.50900000000000001</v>
      </c>
      <c r="BE104">
        <v>0.313</v>
      </c>
    </row>
    <row r="105" spans="1:57">
      <c r="A105">
        <v>0</v>
      </c>
      <c r="B105">
        <v>0</v>
      </c>
      <c r="C105">
        <v>0</v>
      </c>
      <c r="D105">
        <v>2623</v>
      </c>
      <c r="E105" t="s">
        <v>3466</v>
      </c>
      <c r="F105" t="s">
        <v>5762</v>
      </c>
      <c r="G105" t="s">
        <v>62</v>
      </c>
      <c r="H105">
        <v>2601531</v>
      </c>
      <c r="I105">
        <v>2603339</v>
      </c>
      <c r="J105" t="s">
        <v>3467</v>
      </c>
      <c r="K105">
        <v>603</v>
      </c>
      <c r="L105" t="s">
        <v>83</v>
      </c>
      <c r="M105">
        <v>4</v>
      </c>
      <c r="N105" t="str">
        <f>HYPERLINK("Gene2623-zp_tree_all.dnd", "Gene2623-tree")</f>
        <v>Gene2623-tree</v>
      </c>
      <c r="O105">
        <v>1</v>
      </c>
      <c r="P105">
        <v>3</v>
      </c>
      <c r="Q105">
        <v>1</v>
      </c>
      <c r="R105">
        <v>3</v>
      </c>
      <c r="S105">
        <v>0.75</v>
      </c>
      <c r="T105" t="s">
        <v>61</v>
      </c>
      <c r="U105" t="s">
        <v>84</v>
      </c>
      <c r="V105" t="s">
        <v>62</v>
      </c>
      <c r="W105" t="s">
        <v>62</v>
      </c>
      <c r="X105">
        <v>0</v>
      </c>
      <c r="Y105">
        <v>0</v>
      </c>
      <c r="Z105">
        <v>13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12</v>
      </c>
      <c r="AK105">
        <v>0</v>
      </c>
      <c r="AL105">
        <v>4</v>
      </c>
      <c r="AM105">
        <v>1</v>
      </c>
      <c r="AN105">
        <v>64</v>
      </c>
      <c r="AO105">
        <v>12</v>
      </c>
      <c r="AP105">
        <v>11</v>
      </c>
      <c r="AQ105">
        <v>1</v>
      </c>
      <c r="AR105" t="s">
        <v>3468</v>
      </c>
      <c r="AS105" t="s">
        <v>3469</v>
      </c>
      <c r="AT105">
        <v>0.34200000000000003</v>
      </c>
      <c r="AU105" t="s">
        <v>65</v>
      </c>
      <c r="AV105">
        <v>75</v>
      </c>
      <c r="AW105">
        <v>13</v>
      </c>
      <c r="AX105" t="s">
        <v>3470</v>
      </c>
      <c r="AY105" t="s">
        <v>3471</v>
      </c>
      <c r="AZ105" t="s">
        <v>3472</v>
      </c>
      <c r="BA105">
        <v>4.5170000000000002E-2</v>
      </c>
      <c r="BB105">
        <v>1</v>
      </c>
      <c r="BC105" t="s">
        <v>69</v>
      </c>
      <c r="BD105">
        <v>-0.307</v>
      </c>
      <c r="BE105">
        <v>-0.53300000000000003</v>
      </c>
    </row>
    <row r="106" spans="1:57">
      <c r="A106">
        <v>0</v>
      </c>
      <c r="B106">
        <v>0</v>
      </c>
      <c r="C106">
        <v>0</v>
      </c>
      <c r="D106">
        <v>2625</v>
      </c>
      <c r="E106" t="s">
        <v>3478</v>
      </c>
      <c r="F106" t="s">
        <v>5762</v>
      </c>
      <c r="G106" t="s">
        <v>62</v>
      </c>
      <c r="H106">
        <v>2603376</v>
      </c>
      <c r="I106">
        <v>2603867</v>
      </c>
      <c r="J106" t="s">
        <v>118</v>
      </c>
      <c r="K106">
        <v>164</v>
      </c>
      <c r="L106" t="s">
        <v>59</v>
      </c>
      <c r="M106">
        <v>5</v>
      </c>
      <c r="N106" t="str">
        <f>HYPERLINK("Gene2625-zp_tree_all.dnd", "Gene2625-tree")</f>
        <v>Gene2625-tree</v>
      </c>
      <c r="O106">
        <v>2</v>
      </c>
      <c r="P106">
        <v>3</v>
      </c>
      <c r="Q106">
        <v>2</v>
      </c>
      <c r="R106">
        <v>3</v>
      </c>
      <c r="S106">
        <v>0.6</v>
      </c>
      <c r="T106" t="s">
        <v>135</v>
      </c>
      <c r="U106" t="s">
        <v>84</v>
      </c>
      <c r="V106" t="s">
        <v>62</v>
      </c>
      <c r="W106" t="s">
        <v>62</v>
      </c>
      <c r="X106">
        <v>0</v>
      </c>
      <c r="Y106">
        <v>0</v>
      </c>
      <c r="Z106">
        <v>6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3</v>
      </c>
      <c r="AK106">
        <v>0</v>
      </c>
      <c r="AL106">
        <v>5</v>
      </c>
      <c r="AM106">
        <v>2</v>
      </c>
      <c r="AN106">
        <v>8</v>
      </c>
      <c r="AO106">
        <v>3</v>
      </c>
      <c r="AP106">
        <v>9</v>
      </c>
      <c r="AQ106">
        <v>3</v>
      </c>
      <c r="AR106" t="s">
        <v>3479</v>
      </c>
      <c r="AS106" t="s">
        <v>3480</v>
      </c>
      <c r="AT106">
        <v>0.309</v>
      </c>
      <c r="AU106" t="s">
        <v>65</v>
      </c>
      <c r="AV106">
        <v>17</v>
      </c>
      <c r="AW106">
        <v>6</v>
      </c>
      <c r="AX106" t="s">
        <v>3481</v>
      </c>
      <c r="AY106" t="s">
        <v>3482</v>
      </c>
      <c r="AZ106" t="s">
        <v>3483</v>
      </c>
      <c r="BA106">
        <v>9.4350000000000003E-2</v>
      </c>
      <c r="BB106">
        <v>1</v>
      </c>
      <c r="BC106" t="s">
        <v>69</v>
      </c>
      <c r="BD106">
        <v>0.66</v>
      </c>
      <c r="BE106">
        <v>0.309</v>
      </c>
    </row>
    <row r="107" spans="1:57">
      <c r="A107">
        <v>0</v>
      </c>
      <c r="B107">
        <v>0</v>
      </c>
      <c r="C107">
        <v>0</v>
      </c>
      <c r="D107">
        <v>2626</v>
      </c>
      <c r="E107" t="s">
        <v>3484</v>
      </c>
      <c r="F107" t="s">
        <v>5762</v>
      </c>
      <c r="G107" t="s">
        <v>62</v>
      </c>
      <c r="H107">
        <v>2604124</v>
      </c>
      <c r="I107">
        <v>2604933</v>
      </c>
      <c r="J107" t="s">
        <v>3485</v>
      </c>
      <c r="K107">
        <v>270</v>
      </c>
      <c r="L107" t="s">
        <v>59</v>
      </c>
      <c r="M107">
        <v>5</v>
      </c>
      <c r="N107" t="str">
        <f>HYPERLINK("Gene2626-zp_tree_all.dnd", "Gene2626-tree")</f>
        <v>Gene2626-tree</v>
      </c>
      <c r="O107">
        <v>5</v>
      </c>
      <c r="P107">
        <v>0</v>
      </c>
      <c r="Q107">
        <v>5</v>
      </c>
      <c r="R107">
        <v>0</v>
      </c>
      <c r="S107">
        <v>0</v>
      </c>
      <c r="T107" t="s">
        <v>98</v>
      </c>
      <c r="U107" t="s">
        <v>62</v>
      </c>
      <c r="V107" t="s">
        <v>62</v>
      </c>
      <c r="W107" t="s">
        <v>62</v>
      </c>
      <c r="X107">
        <v>0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4</v>
      </c>
      <c r="AM107">
        <v>2</v>
      </c>
      <c r="AN107">
        <v>17</v>
      </c>
      <c r="AO107">
        <v>0</v>
      </c>
      <c r="AP107">
        <v>30</v>
      </c>
      <c r="AQ107">
        <v>1</v>
      </c>
      <c r="AR107" t="s">
        <v>64</v>
      </c>
      <c r="AS107" t="s">
        <v>3486</v>
      </c>
      <c r="AT107">
        <v>0.79800000000000004</v>
      </c>
      <c r="AU107" t="s">
        <v>65</v>
      </c>
      <c r="AV107">
        <v>47</v>
      </c>
      <c r="AW107">
        <v>1</v>
      </c>
      <c r="AX107" t="s">
        <v>3487</v>
      </c>
      <c r="AY107" t="s">
        <v>3488</v>
      </c>
      <c r="AZ107" t="s">
        <v>2190</v>
      </c>
      <c r="BA107">
        <v>6.4900000000000001E-3</v>
      </c>
      <c r="BB107">
        <v>1</v>
      </c>
      <c r="BC107" t="s">
        <v>69</v>
      </c>
      <c r="BD107">
        <v>0.96299999999999997</v>
      </c>
      <c r="BE107">
        <v>0.65500000000000003</v>
      </c>
    </row>
    <row r="108" spans="1:57">
      <c r="A108">
        <v>0</v>
      </c>
      <c r="B108">
        <v>0</v>
      </c>
      <c r="C108">
        <v>0</v>
      </c>
      <c r="D108">
        <v>2627</v>
      </c>
      <c r="E108" t="s">
        <v>3489</v>
      </c>
      <c r="F108" t="s">
        <v>5762</v>
      </c>
      <c r="G108" t="s">
        <v>62</v>
      </c>
      <c r="H108">
        <v>2604962</v>
      </c>
      <c r="I108">
        <v>2605597</v>
      </c>
      <c r="J108" t="s">
        <v>3490</v>
      </c>
      <c r="K108">
        <v>212</v>
      </c>
      <c r="L108" t="s">
        <v>59</v>
      </c>
      <c r="M108">
        <v>5</v>
      </c>
      <c r="N108" t="str">
        <f>HYPERLINK("Gene2627-zp_tree_all.dnd", "Gene2627-tree")</f>
        <v>Gene2627-tree</v>
      </c>
      <c r="O108">
        <v>5</v>
      </c>
      <c r="P108">
        <v>0</v>
      </c>
      <c r="Q108">
        <v>5</v>
      </c>
      <c r="R108">
        <v>0</v>
      </c>
      <c r="S108">
        <v>0</v>
      </c>
      <c r="T108" t="s">
        <v>98</v>
      </c>
      <c r="U108" t="s">
        <v>62</v>
      </c>
      <c r="V108" t="s">
        <v>62</v>
      </c>
      <c r="W108" t="s">
        <v>62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4</v>
      </c>
      <c r="AM108">
        <v>2</v>
      </c>
      <c r="AN108">
        <v>11</v>
      </c>
      <c r="AO108">
        <v>0</v>
      </c>
      <c r="AP108">
        <v>19</v>
      </c>
      <c r="AQ108">
        <v>0</v>
      </c>
      <c r="AR108" t="s">
        <v>64</v>
      </c>
      <c r="AS108" t="s">
        <v>64</v>
      </c>
      <c r="AT108">
        <v>0</v>
      </c>
      <c r="AU108" t="s">
        <v>65</v>
      </c>
      <c r="AV108">
        <v>30</v>
      </c>
      <c r="AW108">
        <v>0</v>
      </c>
      <c r="AX108" t="s">
        <v>3491</v>
      </c>
      <c r="AY108" t="s">
        <v>3492</v>
      </c>
      <c r="AZ108" t="s">
        <v>64</v>
      </c>
      <c r="BA108">
        <v>0</v>
      </c>
      <c r="BB108">
        <v>1</v>
      </c>
      <c r="BC108" t="s">
        <v>69</v>
      </c>
      <c r="BD108">
        <v>1.385</v>
      </c>
      <c r="BE108">
        <v>0.191</v>
      </c>
    </row>
    <row r="109" spans="1:57">
      <c r="A109">
        <v>0</v>
      </c>
      <c r="B109">
        <v>0</v>
      </c>
      <c r="C109">
        <v>0</v>
      </c>
      <c r="D109">
        <v>2629</v>
      </c>
      <c r="E109" t="s">
        <v>3493</v>
      </c>
      <c r="F109" t="s">
        <v>5762</v>
      </c>
      <c r="G109" t="s">
        <v>62</v>
      </c>
      <c r="H109">
        <v>2607765</v>
      </c>
      <c r="I109">
        <v>2608649</v>
      </c>
      <c r="J109" t="s">
        <v>3494</v>
      </c>
      <c r="K109">
        <v>295</v>
      </c>
      <c r="L109" t="s">
        <v>83</v>
      </c>
      <c r="M109">
        <v>4</v>
      </c>
      <c r="N109" t="str">
        <f>HYPERLINK("Gene2629-zp_tree_all.dnd", "Gene2629-tree")</f>
        <v>Gene2629-tree</v>
      </c>
      <c r="O109">
        <v>4</v>
      </c>
      <c r="P109">
        <v>0</v>
      </c>
      <c r="Q109">
        <v>4</v>
      </c>
      <c r="R109">
        <v>0</v>
      </c>
      <c r="S109">
        <v>0</v>
      </c>
      <c r="T109" t="s">
        <v>60</v>
      </c>
      <c r="U109" t="s">
        <v>62</v>
      </c>
      <c r="V109" t="s">
        <v>62</v>
      </c>
      <c r="W109" t="s">
        <v>62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3</v>
      </c>
      <c r="AM109">
        <v>1</v>
      </c>
      <c r="AN109">
        <v>43</v>
      </c>
      <c r="AO109">
        <v>0</v>
      </c>
      <c r="AP109">
        <v>4</v>
      </c>
      <c r="AQ109">
        <v>0</v>
      </c>
      <c r="AR109" t="s">
        <v>64</v>
      </c>
      <c r="AS109" t="s">
        <v>64</v>
      </c>
      <c r="AT109">
        <v>0</v>
      </c>
      <c r="AU109" t="s">
        <v>65</v>
      </c>
      <c r="AV109">
        <v>47</v>
      </c>
      <c r="AW109">
        <v>0</v>
      </c>
      <c r="AX109" t="s">
        <v>3495</v>
      </c>
      <c r="AY109" t="s">
        <v>3496</v>
      </c>
      <c r="AZ109" t="s">
        <v>64</v>
      </c>
      <c r="BA109">
        <v>0</v>
      </c>
      <c r="BB109">
        <v>1</v>
      </c>
      <c r="BC109" t="s">
        <v>69</v>
      </c>
      <c r="BD109">
        <v>-0.59599999999999997</v>
      </c>
      <c r="BE109">
        <v>-0.59599999999999997</v>
      </c>
    </row>
    <row r="110" spans="1:57">
      <c r="A110">
        <v>0</v>
      </c>
      <c r="B110">
        <v>0</v>
      </c>
      <c r="C110">
        <v>0</v>
      </c>
      <c r="D110">
        <v>2631</v>
      </c>
      <c r="E110" t="s">
        <v>3497</v>
      </c>
      <c r="F110" t="s">
        <v>5762</v>
      </c>
      <c r="G110" t="s">
        <v>62</v>
      </c>
      <c r="H110">
        <v>2609753</v>
      </c>
      <c r="I110">
        <v>2609893</v>
      </c>
      <c r="J110" t="s">
        <v>118</v>
      </c>
      <c r="K110">
        <v>47</v>
      </c>
      <c r="L110" t="s">
        <v>59</v>
      </c>
      <c r="M110">
        <v>5</v>
      </c>
      <c r="N110" t="str">
        <f>HYPERLINK("Gene2631-zp_tree_all.dnd", "Gene2631-tree")</f>
        <v>Gene2631-tree</v>
      </c>
    </row>
    <row r="111" spans="1:57">
      <c r="A111">
        <v>0</v>
      </c>
      <c r="B111">
        <v>0</v>
      </c>
      <c r="C111">
        <v>4</v>
      </c>
      <c r="D111">
        <v>2632</v>
      </c>
      <c r="E111" t="s">
        <v>3498</v>
      </c>
      <c r="F111" t="s">
        <v>5762</v>
      </c>
      <c r="G111" t="s">
        <v>62</v>
      </c>
      <c r="H111">
        <v>2610044</v>
      </c>
      <c r="I111">
        <v>2610946</v>
      </c>
      <c r="J111" t="s">
        <v>3499</v>
      </c>
      <c r="K111">
        <v>301</v>
      </c>
      <c r="L111" t="s">
        <v>59</v>
      </c>
      <c r="M111">
        <v>5</v>
      </c>
      <c r="N111" t="str">
        <f>HYPERLINK("Gene2632-zp_tree_all.dnd", "Gene2632-tree")</f>
        <v>Gene2632-tree</v>
      </c>
      <c r="O111">
        <v>2</v>
      </c>
      <c r="P111">
        <v>3</v>
      </c>
      <c r="Q111">
        <v>2</v>
      </c>
      <c r="R111">
        <v>2</v>
      </c>
      <c r="S111">
        <v>0.5</v>
      </c>
      <c r="T111" t="s">
        <v>135</v>
      </c>
      <c r="U111" t="s">
        <v>217</v>
      </c>
      <c r="V111">
        <v>0.30599999999999999</v>
      </c>
      <c r="W111" t="s">
        <v>65</v>
      </c>
      <c r="X111">
        <v>2</v>
      </c>
      <c r="Y111">
        <v>4</v>
      </c>
      <c r="Z111">
        <v>1</v>
      </c>
      <c r="AA111">
        <v>0.8</v>
      </c>
      <c r="AB111">
        <v>0</v>
      </c>
      <c r="AC111">
        <v>0</v>
      </c>
      <c r="AD111">
        <v>0</v>
      </c>
      <c r="AE111">
        <v>2</v>
      </c>
      <c r="AF111">
        <v>0</v>
      </c>
      <c r="AG111">
        <v>0</v>
      </c>
      <c r="AH111">
        <v>0</v>
      </c>
      <c r="AI111">
        <v>0</v>
      </c>
      <c r="AJ111">
        <v>3</v>
      </c>
      <c r="AK111">
        <v>0</v>
      </c>
      <c r="AL111">
        <v>4</v>
      </c>
      <c r="AM111">
        <v>1</v>
      </c>
      <c r="AN111">
        <v>21</v>
      </c>
      <c r="AO111">
        <v>3</v>
      </c>
      <c r="AP111">
        <v>25</v>
      </c>
      <c r="AQ111">
        <v>2</v>
      </c>
      <c r="AR111" t="s">
        <v>3500</v>
      </c>
      <c r="AS111" t="s">
        <v>3501</v>
      </c>
      <c r="AT111">
        <v>0.629</v>
      </c>
      <c r="AU111" t="s">
        <v>65</v>
      </c>
      <c r="AV111">
        <v>46</v>
      </c>
      <c r="AW111">
        <v>5</v>
      </c>
      <c r="AX111" t="s">
        <v>3502</v>
      </c>
      <c r="AY111" t="s">
        <v>3503</v>
      </c>
      <c r="AZ111" t="s">
        <v>3504</v>
      </c>
      <c r="BA111">
        <v>2.333E-2</v>
      </c>
      <c r="BB111">
        <v>1</v>
      </c>
      <c r="BC111" t="s">
        <v>69</v>
      </c>
      <c r="BD111">
        <v>0.86</v>
      </c>
      <c r="BE111">
        <v>0.86</v>
      </c>
    </row>
    <row r="112" spans="1:57">
      <c r="A112">
        <v>0</v>
      </c>
      <c r="B112">
        <v>0</v>
      </c>
      <c r="C112">
        <v>0</v>
      </c>
      <c r="D112">
        <v>2633</v>
      </c>
      <c r="E112" t="s">
        <v>3505</v>
      </c>
      <c r="F112" t="s">
        <v>5762</v>
      </c>
      <c r="G112" t="s">
        <v>62</v>
      </c>
      <c r="H112">
        <v>2610930</v>
      </c>
      <c r="I112">
        <v>2611337</v>
      </c>
      <c r="J112" t="s">
        <v>3506</v>
      </c>
      <c r="K112">
        <v>136</v>
      </c>
      <c r="L112" t="s">
        <v>59</v>
      </c>
      <c r="M112">
        <v>5</v>
      </c>
      <c r="N112" t="str">
        <f>HYPERLINK("Gene2633-zp_tree_all.dnd", "Gene2633-tree")</f>
        <v>Gene2633-tree</v>
      </c>
      <c r="O112">
        <v>5</v>
      </c>
      <c r="P112">
        <v>0</v>
      </c>
      <c r="Q112">
        <v>5</v>
      </c>
      <c r="R112">
        <v>0</v>
      </c>
      <c r="S112">
        <v>0</v>
      </c>
      <c r="T112" t="s">
        <v>98</v>
      </c>
      <c r="U112" t="s">
        <v>62</v>
      </c>
      <c r="V112" t="s">
        <v>62</v>
      </c>
      <c r="W112" t="s">
        <v>62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4</v>
      </c>
      <c r="AM112">
        <v>2</v>
      </c>
      <c r="AN112">
        <v>8</v>
      </c>
      <c r="AO112">
        <v>0</v>
      </c>
      <c r="AP112">
        <v>6</v>
      </c>
      <c r="AQ112">
        <v>1</v>
      </c>
      <c r="AR112" t="s">
        <v>64</v>
      </c>
      <c r="AS112" t="s">
        <v>3507</v>
      </c>
      <c r="AT112">
        <v>1.268</v>
      </c>
      <c r="AU112" t="s">
        <v>65</v>
      </c>
      <c r="AV112">
        <v>14</v>
      </c>
      <c r="AW112">
        <v>1</v>
      </c>
      <c r="AX112" t="s">
        <v>3508</v>
      </c>
      <c r="AY112" t="s">
        <v>3509</v>
      </c>
      <c r="AZ112" t="s">
        <v>3510</v>
      </c>
      <c r="BA112">
        <v>2.5999999999999999E-2</v>
      </c>
      <c r="BB112">
        <v>1</v>
      </c>
      <c r="BC112" t="s">
        <v>69</v>
      </c>
      <c r="BD112">
        <v>0.41199999999999998</v>
      </c>
      <c r="BE112">
        <v>-0.13</v>
      </c>
    </row>
    <row r="113" spans="1:57">
      <c r="A113">
        <v>0</v>
      </c>
      <c r="B113">
        <v>0</v>
      </c>
      <c r="C113">
        <v>0</v>
      </c>
      <c r="D113">
        <v>2637</v>
      </c>
      <c r="E113" t="s">
        <v>3511</v>
      </c>
      <c r="F113" t="s">
        <v>5762</v>
      </c>
      <c r="G113" t="s">
        <v>62</v>
      </c>
      <c r="H113">
        <v>2614499</v>
      </c>
      <c r="I113">
        <v>2615455</v>
      </c>
      <c r="J113" t="s">
        <v>3512</v>
      </c>
      <c r="K113">
        <v>319</v>
      </c>
      <c r="L113" t="s">
        <v>59</v>
      </c>
      <c r="M113">
        <v>5</v>
      </c>
      <c r="N113" t="str">
        <f>HYPERLINK("Gene2637-zp_tree_all.dnd", "Gene2637-tree")</f>
        <v>Gene2637-tree</v>
      </c>
      <c r="O113">
        <v>4</v>
      </c>
      <c r="P113">
        <v>1</v>
      </c>
      <c r="Q113">
        <v>4</v>
      </c>
      <c r="R113">
        <v>1</v>
      </c>
      <c r="S113">
        <v>0.2</v>
      </c>
      <c r="T113" t="s">
        <v>60</v>
      </c>
      <c r="U113" t="s">
        <v>61</v>
      </c>
      <c r="V113" t="s">
        <v>62</v>
      </c>
      <c r="W113" t="s">
        <v>62</v>
      </c>
      <c r="X113">
        <v>0</v>
      </c>
      <c r="Y113">
        <v>0</v>
      </c>
      <c r="Z113">
        <v>7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0</v>
      </c>
      <c r="AL113">
        <v>4</v>
      </c>
      <c r="AM113">
        <v>1</v>
      </c>
      <c r="AN113">
        <v>13</v>
      </c>
      <c r="AO113">
        <v>1</v>
      </c>
      <c r="AP113">
        <v>9</v>
      </c>
      <c r="AQ113">
        <v>6</v>
      </c>
      <c r="AR113" t="s">
        <v>3513</v>
      </c>
      <c r="AS113" t="s">
        <v>3514</v>
      </c>
      <c r="AT113">
        <v>4.1790000000000003</v>
      </c>
      <c r="AU113" t="s">
        <v>65</v>
      </c>
      <c r="AV113">
        <v>22</v>
      </c>
      <c r="AW113">
        <v>7</v>
      </c>
      <c r="AX113" t="s">
        <v>3515</v>
      </c>
      <c r="AY113" t="s">
        <v>3516</v>
      </c>
      <c r="AZ113" t="s">
        <v>3517</v>
      </c>
      <c r="BA113">
        <v>0.10943</v>
      </c>
      <c r="BB113">
        <v>1</v>
      </c>
      <c r="BC113" t="s">
        <v>69</v>
      </c>
      <c r="BD113">
        <v>0.36499999999999999</v>
      </c>
      <c r="BE113">
        <v>0.36499999999999999</v>
      </c>
    </row>
    <row r="114" spans="1:57">
      <c r="A114">
        <v>0</v>
      </c>
      <c r="B114">
        <v>0</v>
      </c>
      <c r="C114">
        <v>0</v>
      </c>
      <c r="D114">
        <v>2638</v>
      </c>
      <c r="E114" t="s">
        <v>3518</v>
      </c>
      <c r="F114" t="s">
        <v>5762</v>
      </c>
      <c r="G114" t="s">
        <v>62</v>
      </c>
      <c r="H114">
        <v>2615455</v>
      </c>
      <c r="I114">
        <v>2616648</v>
      </c>
      <c r="J114" t="s">
        <v>3519</v>
      </c>
      <c r="K114">
        <v>398</v>
      </c>
      <c r="L114" t="s">
        <v>59</v>
      </c>
      <c r="M114">
        <v>5</v>
      </c>
      <c r="N114" t="str">
        <f>HYPERLINK("Gene2638-zp_tree_all.dnd", "Gene2638-tree")</f>
        <v>Gene2638-tree</v>
      </c>
      <c r="O114">
        <v>2</v>
      </c>
      <c r="P114">
        <v>3</v>
      </c>
      <c r="Q114">
        <v>2</v>
      </c>
      <c r="R114">
        <v>3</v>
      </c>
      <c r="S114">
        <v>0.6</v>
      </c>
      <c r="T114" t="s">
        <v>135</v>
      </c>
      <c r="U114" t="s">
        <v>84</v>
      </c>
      <c r="V114" t="s">
        <v>62</v>
      </c>
      <c r="W114" t="s">
        <v>62</v>
      </c>
      <c r="X114">
        <v>0</v>
      </c>
      <c r="Y114">
        <v>0</v>
      </c>
      <c r="Z114">
        <v>14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6</v>
      </c>
      <c r="AK114">
        <v>0</v>
      </c>
      <c r="AL114">
        <v>5</v>
      </c>
      <c r="AM114">
        <v>2</v>
      </c>
      <c r="AN114">
        <v>32</v>
      </c>
      <c r="AO114">
        <v>6</v>
      </c>
      <c r="AP114">
        <v>23</v>
      </c>
      <c r="AQ114">
        <v>8</v>
      </c>
      <c r="AR114" t="s">
        <v>3520</v>
      </c>
      <c r="AS114" t="s">
        <v>3521</v>
      </c>
      <c r="AT114">
        <v>0.42899999999999999</v>
      </c>
      <c r="AU114" t="s">
        <v>65</v>
      </c>
      <c r="AV114">
        <v>55</v>
      </c>
      <c r="AW114">
        <v>14</v>
      </c>
      <c r="AX114" t="s">
        <v>3522</v>
      </c>
      <c r="AY114" t="s">
        <v>3523</v>
      </c>
      <c r="AZ114" t="s">
        <v>3524</v>
      </c>
      <c r="BA114">
        <v>7.3580000000000007E-2</v>
      </c>
      <c r="BB114">
        <v>1</v>
      </c>
      <c r="BC114" t="s">
        <v>69</v>
      </c>
      <c r="BD114">
        <v>0.46500000000000002</v>
      </c>
      <c r="BE114">
        <v>0.09</v>
      </c>
    </row>
    <row r="115" spans="1:57">
      <c r="A115">
        <v>0</v>
      </c>
      <c r="B115">
        <v>0</v>
      </c>
      <c r="C115">
        <v>0</v>
      </c>
      <c r="D115">
        <v>2639</v>
      </c>
      <c r="E115" t="s">
        <v>3525</v>
      </c>
      <c r="F115" t="s">
        <v>5762</v>
      </c>
      <c r="G115" t="s">
        <v>62</v>
      </c>
      <c r="H115">
        <v>2616670</v>
      </c>
      <c r="I115">
        <v>2616948</v>
      </c>
      <c r="J115" t="s">
        <v>3526</v>
      </c>
      <c r="K115">
        <v>93</v>
      </c>
      <c r="L115" t="s">
        <v>59</v>
      </c>
      <c r="M115">
        <v>5</v>
      </c>
      <c r="N115" t="str">
        <f>HYPERLINK("Gene2639-zp_tree_all.dnd", "Gene2639-tree")</f>
        <v>Gene2639-tree</v>
      </c>
      <c r="O115">
        <v>5</v>
      </c>
      <c r="P115">
        <v>0</v>
      </c>
      <c r="Q115">
        <v>4</v>
      </c>
      <c r="R115">
        <v>0</v>
      </c>
      <c r="S115">
        <v>0</v>
      </c>
      <c r="T115" t="s">
        <v>150</v>
      </c>
      <c r="U115" t="s">
        <v>62</v>
      </c>
      <c r="V115" t="s">
        <v>62</v>
      </c>
      <c r="W115" t="s">
        <v>62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4</v>
      </c>
      <c r="AM115">
        <v>1</v>
      </c>
      <c r="AN115">
        <v>9</v>
      </c>
      <c r="AO115">
        <v>0</v>
      </c>
      <c r="AP115">
        <v>3</v>
      </c>
      <c r="AQ115">
        <v>0</v>
      </c>
      <c r="AR115" t="s">
        <v>64</v>
      </c>
      <c r="AS115" t="s">
        <v>64</v>
      </c>
      <c r="AT115">
        <v>0</v>
      </c>
      <c r="AU115" t="s">
        <v>65</v>
      </c>
      <c r="AV115">
        <v>12</v>
      </c>
      <c r="AW115">
        <v>0</v>
      </c>
      <c r="AX115" t="s">
        <v>3527</v>
      </c>
      <c r="AY115" t="s">
        <v>3528</v>
      </c>
      <c r="AZ115" t="s">
        <v>3529</v>
      </c>
      <c r="BA115">
        <v>6.8999999999999999E-3</v>
      </c>
      <c r="BB115">
        <v>1</v>
      </c>
      <c r="BC115" t="s">
        <v>69</v>
      </c>
      <c r="BD115">
        <v>-0.20100000000000001</v>
      </c>
      <c r="BE115">
        <v>-0.20100000000000001</v>
      </c>
    </row>
    <row r="116" spans="1:57">
      <c r="A116">
        <v>0</v>
      </c>
      <c r="B116">
        <v>0</v>
      </c>
      <c r="C116">
        <v>0</v>
      </c>
      <c r="D116">
        <v>2643</v>
      </c>
      <c r="E116" t="s">
        <v>3530</v>
      </c>
      <c r="F116" t="s">
        <v>5762</v>
      </c>
      <c r="G116" t="s">
        <v>62</v>
      </c>
      <c r="H116">
        <v>2619913</v>
      </c>
      <c r="I116">
        <v>2620356</v>
      </c>
      <c r="J116" t="s">
        <v>3531</v>
      </c>
      <c r="K116">
        <v>148</v>
      </c>
      <c r="L116" t="s">
        <v>59</v>
      </c>
      <c r="M116">
        <v>5</v>
      </c>
      <c r="N116" t="str">
        <f>HYPERLINK("Gene2643-zp_tree_all.dnd", "Gene2643-tree")</f>
        <v>Gene2643-tree</v>
      </c>
    </row>
    <row r="117" spans="1:57">
      <c r="A117">
        <v>0</v>
      </c>
      <c r="B117">
        <v>0</v>
      </c>
      <c r="C117">
        <v>0</v>
      </c>
      <c r="D117">
        <v>2644</v>
      </c>
      <c r="E117" t="s">
        <v>3532</v>
      </c>
      <c r="F117" t="s">
        <v>5762</v>
      </c>
      <c r="G117" t="s">
        <v>62</v>
      </c>
      <c r="H117">
        <v>2620374</v>
      </c>
      <c r="I117">
        <v>2620544</v>
      </c>
      <c r="J117" t="s">
        <v>3533</v>
      </c>
      <c r="K117">
        <v>57</v>
      </c>
      <c r="L117" t="s">
        <v>59</v>
      </c>
      <c r="M117">
        <v>5</v>
      </c>
      <c r="N117" t="str">
        <f>HYPERLINK("Gene2644-zp_tree_all.dnd", "Gene2644-tree")</f>
        <v>Gene2644-tree</v>
      </c>
    </row>
    <row r="118" spans="1:57">
      <c r="A118">
        <v>0</v>
      </c>
      <c r="B118">
        <v>0</v>
      </c>
      <c r="C118">
        <v>0</v>
      </c>
      <c r="D118">
        <v>2647</v>
      </c>
      <c r="E118" t="s">
        <v>3534</v>
      </c>
      <c r="F118" t="s">
        <v>5762</v>
      </c>
      <c r="G118" t="s">
        <v>62</v>
      </c>
      <c r="H118">
        <v>2623035</v>
      </c>
      <c r="I118">
        <v>2623802</v>
      </c>
      <c r="J118" t="s">
        <v>3535</v>
      </c>
      <c r="K118">
        <v>256</v>
      </c>
      <c r="L118" t="s">
        <v>59</v>
      </c>
      <c r="M118">
        <v>5</v>
      </c>
      <c r="N118" t="str">
        <f>HYPERLINK("Gene2647-zp_tree_all.dnd", "Gene2647-tree")</f>
        <v>Gene2647-tree</v>
      </c>
      <c r="O118">
        <v>2</v>
      </c>
      <c r="P118">
        <v>3</v>
      </c>
      <c r="Q118">
        <v>2</v>
      </c>
      <c r="R118">
        <v>3</v>
      </c>
      <c r="S118">
        <v>0.6</v>
      </c>
      <c r="T118" t="s">
        <v>135</v>
      </c>
      <c r="U118" t="s">
        <v>84</v>
      </c>
      <c r="V118" t="s">
        <v>62</v>
      </c>
      <c r="W118" t="s">
        <v>62</v>
      </c>
      <c r="X118">
        <v>0</v>
      </c>
      <c r="Y118">
        <v>0</v>
      </c>
      <c r="Z118">
        <v>18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6</v>
      </c>
      <c r="AK118">
        <v>0</v>
      </c>
      <c r="AL118">
        <v>5</v>
      </c>
      <c r="AM118">
        <v>2</v>
      </c>
      <c r="AN118">
        <v>15</v>
      </c>
      <c r="AO118">
        <v>6</v>
      </c>
      <c r="AP118">
        <v>12</v>
      </c>
      <c r="AQ118">
        <v>12</v>
      </c>
      <c r="AR118" t="s">
        <v>3536</v>
      </c>
      <c r="AS118" t="s">
        <v>3537</v>
      </c>
      <c r="AT118">
        <v>0.48299999999999998</v>
      </c>
      <c r="AU118" t="s">
        <v>65</v>
      </c>
      <c r="AV118">
        <v>27</v>
      </c>
      <c r="AW118">
        <v>18</v>
      </c>
      <c r="AX118" t="s">
        <v>3538</v>
      </c>
      <c r="AY118" t="s">
        <v>3539</v>
      </c>
      <c r="AZ118" t="s">
        <v>3540</v>
      </c>
      <c r="BA118">
        <v>0.19442000000000001</v>
      </c>
      <c r="BB118">
        <v>1</v>
      </c>
      <c r="BC118" t="s">
        <v>69</v>
      </c>
      <c r="BD118">
        <v>0.41899999999999998</v>
      </c>
      <c r="BE118">
        <v>0.41899999999999998</v>
      </c>
    </row>
    <row r="119" spans="1:57">
      <c r="A119">
        <v>0</v>
      </c>
      <c r="B119">
        <v>0</v>
      </c>
      <c r="C119">
        <v>0</v>
      </c>
      <c r="D119">
        <v>2648</v>
      </c>
      <c r="E119" t="s">
        <v>3541</v>
      </c>
      <c r="F119" t="s">
        <v>5762</v>
      </c>
      <c r="G119" t="s">
        <v>62</v>
      </c>
      <c r="H119">
        <v>2623828</v>
      </c>
      <c r="I119">
        <v>2624760</v>
      </c>
      <c r="J119" t="s">
        <v>3542</v>
      </c>
      <c r="K119">
        <v>311</v>
      </c>
      <c r="L119" t="s">
        <v>83</v>
      </c>
      <c r="M119">
        <v>4</v>
      </c>
      <c r="N119" t="str">
        <f>HYPERLINK("Gene2648-zp_tree_all.dnd", "Gene2648-tree")</f>
        <v>Gene2648-tree</v>
      </c>
      <c r="O119">
        <v>3</v>
      </c>
      <c r="P119">
        <v>1</v>
      </c>
      <c r="Q119">
        <v>3</v>
      </c>
      <c r="R119">
        <v>1</v>
      </c>
      <c r="S119">
        <v>0.25</v>
      </c>
      <c r="T119" t="s">
        <v>84</v>
      </c>
      <c r="U119" t="s">
        <v>61</v>
      </c>
      <c r="V119" t="s">
        <v>62</v>
      </c>
      <c r="W119" t="s">
        <v>62</v>
      </c>
      <c r="X119">
        <v>0</v>
      </c>
      <c r="Y119">
        <v>0</v>
      </c>
      <c r="Z119">
        <v>3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3</v>
      </c>
      <c r="AK119">
        <v>0</v>
      </c>
      <c r="AL119">
        <v>4</v>
      </c>
      <c r="AM119">
        <v>1</v>
      </c>
      <c r="AN119">
        <v>38</v>
      </c>
      <c r="AO119">
        <v>3</v>
      </c>
      <c r="AP119">
        <v>1</v>
      </c>
      <c r="AQ119">
        <v>0</v>
      </c>
      <c r="AR119" t="s">
        <v>3543</v>
      </c>
      <c r="AS119" t="s">
        <v>64</v>
      </c>
      <c r="AT119">
        <v>0.39100000000000001</v>
      </c>
      <c r="AU119" t="s">
        <v>65</v>
      </c>
      <c r="AV119">
        <v>39</v>
      </c>
      <c r="AW119">
        <v>3</v>
      </c>
      <c r="AX119" t="s">
        <v>3544</v>
      </c>
      <c r="AY119" t="s">
        <v>3545</v>
      </c>
      <c r="AZ119" t="s">
        <v>3546</v>
      </c>
      <c r="BA119">
        <v>1.9949999999999999E-2</v>
      </c>
      <c r="BB119">
        <v>1</v>
      </c>
      <c r="BC119" t="s">
        <v>69</v>
      </c>
      <c r="BD119">
        <v>-0.79</v>
      </c>
      <c r="BE119">
        <v>-0.79</v>
      </c>
    </row>
    <row r="120" spans="1:57">
      <c r="A120">
        <v>0</v>
      </c>
      <c r="B120">
        <v>0</v>
      </c>
      <c r="C120">
        <v>0</v>
      </c>
      <c r="D120">
        <v>2649</v>
      </c>
      <c r="E120" t="s">
        <v>3547</v>
      </c>
      <c r="F120" t="s">
        <v>5762</v>
      </c>
      <c r="G120" t="s">
        <v>62</v>
      </c>
      <c r="H120">
        <v>2624788</v>
      </c>
      <c r="I120">
        <v>2625912</v>
      </c>
      <c r="J120" t="s">
        <v>3548</v>
      </c>
      <c r="K120">
        <v>375</v>
      </c>
      <c r="L120" t="s">
        <v>83</v>
      </c>
      <c r="M120">
        <v>4</v>
      </c>
      <c r="N120" t="str">
        <f>HYPERLINK("Gene2649-zp_tree_all.dnd", "Gene2649-tree")</f>
        <v>Gene2649-tree</v>
      </c>
      <c r="O120">
        <v>3</v>
      </c>
      <c r="P120">
        <v>1</v>
      </c>
      <c r="Q120">
        <v>3</v>
      </c>
      <c r="R120">
        <v>1</v>
      </c>
      <c r="S120">
        <v>0.25</v>
      </c>
      <c r="T120" t="s">
        <v>84</v>
      </c>
      <c r="U120" t="s">
        <v>61</v>
      </c>
      <c r="V120" t="s">
        <v>62</v>
      </c>
      <c r="W120" t="s">
        <v>62</v>
      </c>
      <c r="X120">
        <v>0</v>
      </c>
      <c r="Y120">
        <v>0</v>
      </c>
      <c r="Z120">
        <v>4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4</v>
      </c>
      <c r="AK120">
        <v>0</v>
      </c>
      <c r="AL120">
        <v>4</v>
      </c>
      <c r="AM120">
        <v>1</v>
      </c>
      <c r="AN120">
        <v>53</v>
      </c>
      <c r="AO120">
        <v>4</v>
      </c>
      <c r="AP120">
        <v>5</v>
      </c>
      <c r="AQ120">
        <v>0</v>
      </c>
      <c r="AR120" t="s">
        <v>3549</v>
      </c>
      <c r="AS120" t="s">
        <v>64</v>
      </c>
      <c r="AT120">
        <v>0.40799999999999997</v>
      </c>
      <c r="AU120" t="s">
        <v>65</v>
      </c>
      <c r="AV120">
        <v>58</v>
      </c>
      <c r="AW120">
        <v>4</v>
      </c>
      <c r="AX120" t="s">
        <v>3550</v>
      </c>
      <c r="AY120" t="s">
        <v>3551</v>
      </c>
      <c r="AZ120" t="s">
        <v>3552</v>
      </c>
      <c r="BA120">
        <v>1.789E-2</v>
      </c>
      <c r="BB120">
        <v>1</v>
      </c>
      <c r="BC120" t="s">
        <v>69</v>
      </c>
      <c r="BD120">
        <v>-0.374</v>
      </c>
      <c r="BE120">
        <v>-0.70399999999999996</v>
      </c>
    </row>
    <row r="121" spans="1:57">
      <c r="A121">
        <v>0</v>
      </c>
      <c r="B121">
        <v>0</v>
      </c>
      <c r="C121">
        <v>0</v>
      </c>
      <c r="D121">
        <v>2650</v>
      </c>
      <c r="E121" t="s">
        <v>3553</v>
      </c>
      <c r="F121" t="s">
        <v>5762</v>
      </c>
      <c r="G121" t="s">
        <v>62</v>
      </c>
      <c r="H121">
        <v>2626115</v>
      </c>
      <c r="I121">
        <v>2627947</v>
      </c>
      <c r="J121" t="s">
        <v>3554</v>
      </c>
      <c r="K121">
        <v>611</v>
      </c>
      <c r="L121" t="s">
        <v>59</v>
      </c>
      <c r="M121">
        <v>5</v>
      </c>
      <c r="N121" t="str">
        <f>HYPERLINK("Gene2650-zp_tree_all.dnd", "Gene2650-tree")</f>
        <v>Gene2650-tree</v>
      </c>
      <c r="O121">
        <v>4</v>
      </c>
      <c r="P121">
        <v>1</v>
      </c>
      <c r="Q121">
        <v>4</v>
      </c>
      <c r="R121">
        <v>1</v>
      </c>
      <c r="S121">
        <v>0.2</v>
      </c>
      <c r="T121" t="s">
        <v>60</v>
      </c>
      <c r="U121" t="s">
        <v>61</v>
      </c>
      <c r="V121" t="s">
        <v>62</v>
      </c>
      <c r="W121" t="s">
        <v>62</v>
      </c>
      <c r="X121">
        <v>0</v>
      </c>
      <c r="Y121">
        <v>0</v>
      </c>
      <c r="Z121">
        <v>4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4</v>
      </c>
      <c r="AM121">
        <v>2</v>
      </c>
      <c r="AN121">
        <v>53</v>
      </c>
      <c r="AO121">
        <v>1</v>
      </c>
      <c r="AP121">
        <v>28</v>
      </c>
      <c r="AQ121">
        <v>3</v>
      </c>
      <c r="AR121" t="s">
        <v>3555</v>
      </c>
      <c r="AS121" t="s">
        <v>3556</v>
      </c>
      <c r="AT121">
        <v>1.8380000000000001</v>
      </c>
      <c r="AU121" t="s">
        <v>65</v>
      </c>
      <c r="AV121">
        <v>81</v>
      </c>
      <c r="AW121">
        <v>4</v>
      </c>
      <c r="AX121" t="s">
        <v>3557</v>
      </c>
      <c r="AY121" t="s">
        <v>3558</v>
      </c>
      <c r="AZ121" t="s">
        <v>3559</v>
      </c>
      <c r="BA121">
        <v>1.643E-2</v>
      </c>
      <c r="BB121">
        <v>1</v>
      </c>
      <c r="BC121" t="s">
        <v>69</v>
      </c>
      <c r="BD121">
        <v>-8.0000000000000002E-3</v>
      </c>
      <c r="BE121">
        <v>-0.19800000000000001</v>
      </c>
    </row>
    <row r="122" spans="1:57">
      <c r="A122">
        <v>0</v>
      </c>
      <c r="B122">
        <v>0</v>
      </c>
      <c r="C122">
        <v>2</v>
      </c>
      <c r="D122">
        <v>2651</v>
      </c>
      <c r="E122" t="s">
        <v>3560</v>
      </c>
      <c r="F122" t="s">
        <v>5762</v>
      </c>
      <c r="G122" t="s">
        <v>62</v>
      </c>
      <c r="H122">
        <v>2627974</v>
      </c>
      <c r="I122">
        <v>2628534</v>
      </c>
      <c r="J122" t="s">
        <v>3561</v>
      </c>
      <c r="K122">
        <v>187</v>
      </c>
      <c r="L122" t="s">
        <v>59</v>
      </c>
      <c r="M122">
        <v>5</v>
      </c>
      <c r="N122" t="str">
        <f>HYPERLINK("Gene2651-zp_tree_all.dnd", "Gene2651-tree")</f>
        <v>Gene2651-tree</v>
      </c>
      <c r="O122">
        <v>3</v>
      </c>
      <c r="P122">
        <v>2</v>
      </c>
      <c r="Q122">
        <v>3</v>
      </c>
      <c r="R122">
        <v>2</v>
      </c>
      <c r="S122">
        <v>0.4</v>
      </c>
      <c r="T122" t="s">
        <v>84</v>
      </c>
      <c r="U122" t="s">
        <v>135</v>
      </c>
      <c r="V122" t="s">
        <v>62</v>
      </c>
      <c r="W122" t="s">
        <v>62</v>
      </c>
      <c r="X122">
        <v>1</v>
      </c>
      <c r="Y122">
        <v>2</v>
      </c>
      <c r="Z122">
        <v>4</v>
      </c>
      <c r="AA122">
        <v>0.33333000000000002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2</v>
      </c>
      <c r="AI122">
        <v>2</v>
      </c>
      <c r="AJ122">
        <v>2</v>
      </c>
      <c r="AK122">
        <v>0.5</v>
      </c>
      <c r="AL122">
        <v>5</v>
      </c>
      <c r="AM122">
        <v>1</v>
      </c>
      <c r="AN122">
        <v>24</v>
      </c>
      <c r="AO122">
        <v>4</v>
      </c>
      <c r="AP122">
        <v>7</v>
      </c>
      <c r="AQ122">
        <v>2</v>
      </c>
      <c r="AR122" t="s">
        <v>3562</v>
      </c>
      <c r="AS122" t="s">
        <v>3563</v>
      </c>
      <c r="AT122">
        <v>0.68700000000000006</v>
      </c>
      <c r="AU122" t="s">
        <v>65</v>
      </c>
      <c r="AV122">
        <v>31</v>
      </c>
      <c r="AW122">
        <v>6</v>
      </c>
      <c r="AX122" t="s">
        <v>3564</v>
      </c>
      <c r="AY122" t="s">
        <v>3565</v>
      </c>
      <c r="AZ122" t="s">
        <v>3566</v>
      </c>
      <c r="BA122">
        <v>4.8379999999999999E-2</v>
      </c>
      <c r="BB122">
        <v>1</v>
      </c>
      <c r="BC122" t="s">
        <v>69</v>
      </c>
      <c r="BD122">
        <v>-0.23899999999999999</v>
      </c>
      <c r="BE122">
        <v>-0.69799999999999995</v>
      </c>
    </row>
    <row r="123" spans="1:57">
      <c r="A123">
        <v>0</v>
      </c>
      <c r="B123">
        <v>0</v>
      </c>
      <c r="C123">
        <v>0</v>
      </c>
      <c r="D123">
        <v>2652</v>
      </c>
      <c r="E123" t="s">
        <v>3567</v>
      </c>
      <c r="F123" t="s">
        <v>5762</v>
      </c>
      <c r="G123" t="s">
        <v>62</v>
      </c>
      <c r="H123">
        <v>2628609</v>
      </c>
      <c r="I123">
        <v>2629637</v>
      </c>
      <c r="J123" t="s">
        <v>3568</v>
      </c>
      <c r="K123">
        <v>343</v>
      </c>
      <c r="L123" t="s">
        <v>59</v>
      </c>
      <c r="M123">
        <v>5</v>
      </c>
      <c r="N123" t="str">
        <f>HYPERLINK("Gene2652-zp_tree_all.dnd", "Gene2652-tree")</f>
        <v>Gene2652-tree</v>
      </c>
      <c r="O123">
        <v>4</v>
      </c>
      <c r="P123">
        <v>1</v>
      </c>
      <c r="Q123">
        <v>4</v>
      </c>
      <c r="R123">
        <v>1</v>
      </c>
      <c r="S123">
        <v>0.2</v>
      </c>
      <c r="T123" t="s">
        <v>60</v>
      </c>
      <c r="U123" t="s">
        <v>61</v>
      </c>
      <c r="V123" t="s">
        <v>62</v>
      </c>
      <c r="W123" t="s">
        <v>62</v>
      </c>
      <c r="X123">
        <v>0</v>
      </c>
      <c r="Y123">
        <v>0</v>
      </c>
      <c r="Z123">
        <v>2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5</v>
      </c>
      <c r="AM123">
        <v>2</v>
      </c>
      <c r="AN123">
        <v>30</v>
      </c>
      <c r="AO123">
        <v>1</v>
      </c>
      <c r="AP123">
        <v>31</v>
      </c>
      <c r="AQ123">
        <v>1</v>
      </c>
      <c r="AR123" t="s">
        <v>3569</v>
      </c>
      <c r="AS123" t="s">
        <v>3570</v>
      </c>
      <c r="AT123">
        <v>0.04</v>
      </c>
      <c r="AU123" t="s">
        <v>65</v>
      </c>
      <c r="AV123">
        <v>61</v>
      </c>
      <c r="AW123">
        <v>2</v>
      </c>
      <c r="AX123" t="s">
        <v>3571</v>
      </c>
      <c r="AY123" t="s">
        <v>3572</v>
      </c>
      <c r="AZ123" t="s">
        <v>3573</v>
      </c>
      <c r="BA123">
        <v>8.6199999999999992E-3</v>
      </c>
      <c r="BB123">
        <v>1</v>
      </c>
      <c r="BC123" t="s">
        <v>69</v>
      </c>
      <c r="BD123">
        <v>0.60399999999999998</v>
      </c>
      <c r="BE123">
        <v>0.47299999999999998</v>
      </c>
    </row>
    <row r="124" spans="1:57">
      <c r="A124">
        <v>0</v>
      </c>
      <c r="B124">
        <v>0</v>
      </c>
      <c r="C124">
        <v>2</v>
      </c>
      <c r="D124">
        <v>2659</v>
      </c>
      <c r="E124" t="s">
        <v>3576</v>
      </c>
      <c r="F124" t="s">
        <v>5762</v>
      </c>
      <c r="G124" t="s">
        <v>62</v>
      </c>
      <c r="H124">
        <v>2636099</v>
      </c>
      <c r="I124">
        <v>2637139</v>
      </c>
      <c r="J124" t="s">
        <v>3577</v>
      </c>
      <c r="K124">
        <v>347</v>
      </c>
      <c r="L124" t="s">
        <v>59</v>
      </c>
      <c r="M124">
        <v>5</v>
      </c>
      <c r="N124" t="str">
        <f>HYPERLINK("Gene2659-zp_tree_all.dnd", "Gene2659-tree")</f>
        <v>Gene2659-tree</v>
      </c>
      <c r="O124">
        <v>1</v>
      </c>
      <c r="P124">
        <v>4</v>
      </c>
      <c r="Q124">
        <v>1</v>
      </c>
      <c r="R124">
        <v>4</v>
      </c>
      <c r="S124">
        <v>0.8</v>
      </c>
      <c r="T124" t="s">
        <v>61</v>
      </c>
      <c r="U124" t="s">
        <v>60</v>
      </c>
      <c r="V124" t="s">
        <v>62</v>
      </c>
      <c r="W124" t="s">
        <v>62</v>
      </c>
      <c r="X124">
        <v>1</v>
      </c>
      <c r="Y124">
        <v>2</v>
      </c>
      <c r="Z124">
        <v>8</v>
      </c>
      <c r="AA124">
        <v>0.2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6</v>
      </c>
      <c r="AK124">
        <v>0</v>
      </c>
      <c r="AL124">
        <v>5</v>
      </c>
      <c r="AM124">
        <v>2</v>
      </c>
      <c r="AN124">
        <v>46</v>
      </c>
      <c r="AO124">
        <v>6</v>
      </c>
      <c r="AP124">
        <v>28</v>
      </c>
      <c r="AQ124">
        <v>4</v>
      </c>
      <c r="AR124" t="s">
        <v>3578</v>
      </c>
      <c r="AS124" t="s">
        <v>3579</v>
      </c>
      <c r="AT124">
        <v>9.5000000000000001E-2</v>
      </c>
      <c r="AU124" t="s">
        <v>65</v>
      </c>
      <c r="AV124">
        <v>74</v>
      </c>
      <c r="AW124">
        <v>10</v>
      </c>
      <c r="AX124" t="s">
        <v>3580</v>
      </c>
      <c r="AY124" t="s">
        <v>3581</v>
      </c>
      <c r="AZ124" t="s">
        <v>3582</v>
      </c>
      <c r="BA124">
        <v>3.4049999999999997E-2</v>
      </c>
      <c r="BB124">
        <v>1</v>
      </c>
      <c r="BC124" t="s">
        <v>69</v>
      </c>
      <c r="BD124">
        <v>0.29499999999999998</v>
      </c>
      <c r="BE124">
        <v>-8.4000000000000005E-2</v>
      </c>
    </row>
    <row r="125" spans="1:57">
      <c r="A125">
        <v>0</v>
      </c>
      <c r="B125">
        <v>0</v>
      </c>
      <c r="C125">
        <v>0</v>
      </c>
      <c r="D125">
        <v>2660</v>
      </c>
      <c r="E125" t="s">
        <v>3583</v>
      </c>
      <c r="F125" t="s">
        <v>5762</v>
      </c>
      <c r="G125" t="s">
        <v>62</v>
      </c>
      <c r="H125">
        <v>2637182</v>
      </c>
      <c r="I125">
        <v>2637328</v>
      </c>
      <c r="J125" t="s">
        <v>3584</v>
      </c>
      <c r="K125">
        <v>49</v>
      </c>
      <c r="L125" t="s">
        <v>59</v>
      </c>
      <c r="M125">
        <v>5</v>
      </c>
      <c r="N125" t="str">
        <f>HYPERLINK("Gene2660-zp_tree_all.dnd", "Gene2660-tree")</f>
        <v>Gene2660-tree</v>
      </c>
    </row>
    <row r="126" spans="1:57">
      <c r="A126">
        <v>0</v>
      </c>
      <c r="B126">
        <v>0</v>
      </c>
      <c r="C126">
        <v>0</v>
      </c>
      <c r="D126">
        <v>2668</v>
      </c>
      <c r="E126" t="s">
        <v>3591</v>
      </c>
      <c r="F126" t="s">
        <v>5762</v>
      </c>
      <c r="G126" t="s">
        <v>62</v>
      </c>
      <c r="H126">
        <v>2643768</v>
      </c>
      <c r="I126">
        <v>2644334</v>
      </c>
      <c r="J126" t="s">
        <v>3592</v>
      </c>
      <c r="K126">
        <v>189</v>
      </c>
      <c r="L126" t="s">
        <v>59</v>
      </c>
      <c r="M126">
        <v>5</v>
      </c>
      <c r="N126" t="str">
        <f>HYPERLINK("Gene2668-zp_tree_all.dnd", "Gene2668-tree")</f>
        <v>Gene2668-tree</v>
      </c>
      <c r="O126">
        <v>4</v>
      </c>
      <c r="P126">
        <v>1</v>
      </c>
      <c r="Q126">
        <v>4</v>
      </c>
      <c r="R126">
        <v>1</v>
      </c>
      <c r="S126">
        <v>0.2</v>
      </c>
      <c r="T126" t="s">
        <v>60</v>
      </c>
      <c r="U126" t="s">
        <v>61</v>
      </c>
      <c r="V126" t="s">
        <v>62</v>
      </c>
      <c r="W126" t="s">
        <v>62</v>
      </c>
      <c r="X126">
        <v>0</v>
      </c>
      <c r="Y126">
        <v>0</v>
      </c>
      <c r="Z126">
        <v>4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</v>
      </c>
      <c r="AK126">
        <v>0</v>
      </c>
      <c r="AL126">
        <v>5</v>
      </c>
      <c r="AM126">
        <v>2</v>
      </c>
      <c r="AN126">
        <v>9</v>
      </c>
      <c r="AO126">
        <v>1</v>
      </c>
      <c r="AP126">
        <v>13</v>
      </c>
      <c r="AQ126">
        <v>3</v>
      </c>
      <c r="AR126" t="s">
        <v>3593</v>
      </c>
      <c r="AS126" t="s">
        <v>3594</v>
      </c>
      <c r="AT126">
        <v>0.47199999999999998</v>
      </c>
      <c r="AU126" t="s">
        <v>65</v>
      </c>
      <c r="AV126">
        <v>22</v>
      </c>
      <c r="AW126">
        <v>4</v>
      </c>
      <c r="AX126" t="s">
        <v>3595</v>
      </c>
      <c r="AY126" t="s">
        <v>3596</v>
      </c>
      <c r="AZ126" t="s">
        <v>3597</v>
      </c>
      <c r="BA126">
        <v>5.4030000000000002E-2</v>
      </c>
      <c r="BB126">
        <v>1</v>
      </c>
      <c r="BC126" t="s">
        <v>69</v>
      </c>
      <c r="BD126">
        <v>1.1839999999999999</v>
      </c>
      <c r="BE126">
        <v>0.64600000000000002</v>
      </c>
    </row>
    <row r="127" spans="1:57">
      <c r="A127">
        <v>0</v>
      </c>
      <c r="B127">
        <v>0</v>
      </c>
      <c r="C127">
        <v>0</v>
      </c>
      <c r="D127">
        <v>2669</v>
      </c>
      <c r="E127" t="s">
        <v>3598</v>
      </c>
      <c r="F127" t="s">
        <v>5762</v>
      </c>
      <c r="G127" t="s">
        <v>62</v>
      </c>
      <c r="H127">
        <v>2644349</v>
      </c>
      <c r="I127">
        <v>2644636</v>
      </c>
      <c r="J127" t="s">
        <v>3599</v>
      </c>
      <c r="K127">
        <v>96</v>
      </c>
      <c r="L127" t="s">
        <v>59</v>
      </c>
      <c r="M127">
        <v>5</v>
      </c>
      <c r="N127" t="str">
        <f>HYPERLINK("Gene2669-zp_tree_all.dnd", "Gene2669-tree")</f>
        <v>Gene2669-tree</v>
      </c>
      <c r="O127">
        <v>3</v>
      </c>
      <c r="P127">
        <v>2</v>
      </c>
      <c r="Q127">
        <v>2</v>
      </c>
      <c r="R127">
        <v>2</v>
      </c>
      <c r="S127">
        <v>0.5</v>
      </c>
      <c r="T127" t="s">
        <v>217</v>
      </c>
      <c r="U127" t="s">
        <v>135</v>
      </c>
      <c r="V127" t="s">
        <v>62</v>
      </c>
      <c r="W127" t="s">
        <v>62</v>
      </c>
      <c r="X127">
        <v>0</v>
      </c>
      <c r="Y127">
        <v>0</v>
      </c>
      <c r="Z127">
        <v>2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2</v>
      </c>
      <c r="AK127">
        <v>0</v>
      </c>
      <c r="AL127">
        <v>3</v>
      </c>
      <c r="AM127">
        <v>1</v>
      </c>
      <c r="AN127">
        <v>5</v>
      </c>
      <c r="AO127">
        <v>2</v>
      </c>
      <c r="AP127">
        <v>4</v>
      </c>
      <c r="AQ127">
        <v>0</v>
      </c>
      <c r="AR127" t="s">
        <v>3600</v>
      </c>
      <c r="AS127" t="s">
        <v>64</v>
      </c>
      <c r="AT127">
        <v>2.9750000000000001</v>
      </c>
      <c r="AU127" t="s">
        <v>286</v>
      </c>
      <c r="AV127">
        <v>9</v>
      </c>
      <c r="AW127">
        <v>2</v>
      </c>
      <c r="AX127" t="s">
        <v>3601</v>
      </c>
      <c r="AY127" t="s">
        <v>3602</v>
      </c>
      <c r="AZ127" t="s">
        <v>3603</v>
      </c>
      <c r="BA127">
        <v>5.7209999999999997E-2</v>
      </c>
      <c r="BB127">
        <v>1</v>
      </c>
      <c r="BC127" t="s">
        <v>69</v>
      </c>
      <c r="BD127">
        <v>0.625</v>
      </c>
      <c r="BE127">
        <v>-0.19700000000000001</v>
      </c>
    </row>
    <row r="128" spans="1:57">
      <c r="A128">
        <v>0</v>
      </c>
      <c r="B128">
        <v>0</v>
      </c>
      <c r="C128">
        <v>0</v>
      </c>
      <c r="D128">
        <v>2672</v>
      </c>
      <c r="E128" t="s">
        <v>3604</v>
      </c>
      <c r="F128" t="s">
        <v>5762</v>
      </c>
      <c r="G128" t="s">
        <v>62</v>
      </c>
      <c r="H128">
        <v>2646597</v>
      </c>
      <c r="I128">
        <v>2647112</v>
      </c>
      <c r="J128" t="s">
        <v>3605</v>
      </c>
      <c r="K128">
        <v>172</v>
      </c>
      <c r="L128" t="s">
        <v>59</v>
      </c>
      <c r="M128">
        <v>5</v>
      </c>
      <c r="N128" t="str">
        <f>HYPERLINK("Gene2672-zp_tree_all.dnd", "Gene2672-tree")</f>
        <v>Gene2672-tree</v>
      </c>
      <c r="O128">
        <v>5</v>
      </c>
      <c r="P128">
        <v>0</v>
      </c>
      <c r="Q128">
        <v>5</v>
      </c>
      <c r="R128">
        <v>0</v>
      </c>
      <c r="S128">
        <v>0</v>
      </c>
      <c r="T128" t="s">
        <v>98</v>
      </c>
      <c r="U128" t="s">
        <v>62</v>
      </c>
      <c r="V128" t="s">
        <v>62</v>
      </c>
      <c r="W128" t="s">
        <v>62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4</v>
      </c>
      <c r="AM128">
        <v>1</v>
      </c>
      <c r="AN128">
        <v>13</v>
      </c>
      <c r="AO128">
        <v>0</v>
      </c>
      <c r="AP128">
        <v>12</v>
      </c>
      <c r="AQ128">
        <v>0</v>
      </c>
      <c r="AR128" t="s">
        <v>64</v>
      </c>
      <c r="AS128" t="s">
        <v>64</v>
      </c>
      <c r="AT128">
        <v>0</v>
      </c>
      <c r="AU128" t="s">
        <v>65</v>
      </c>
      <c r="AV128">
        <v>25</v>
      </c>
      <c r="AW128">
        <v>0</v>
      </c>
      <c r="AX128" t="s">
        <v>3606</v>
      </c>
      <c r="AY128" t="s">
        <v>3607</v>
      </c>
      <c r="AZ128" t="s">
        <v>64</v>
      </c>
      <c r="BA128">
        <v>0</v>
      </c>
      <c r="BB128">
        <v>1</v>
      </c>
      <c r="BC128" t="s">
        <v>69</v>
      </c>
      <c r="BD128">
        <v>0.248</v>
      </c>
      <c r="BE128">
        <v>0.248</v>
      </c>
    </row>
    <row r="129" spans="1:57">
      <c r="A129">
        <v>0</v>
      </c>
      <c r="B129">
        <v>2</v>
      </c>
      <c r="C129">
        <v>0</v>
      </c>
      <c r="D129">
        <v>2819</v>
      </c>
      <c r="E129" t="s">
        <v>3624</v>
      </c>
      <c r="F129" t="s">
        <v>5762</v>
      </c>
      <c r="G129" t="s">
        <v>62</v>
      </c>
      <c r="H129">
        <v>2762398</v>
      </c>
      <c r="I129">
        <v>2762835</v>
      </c>
      <c r="J129" t="s">
        <v>3625</v>
      </c>
      <c r="K129">
        <v>146</v>
      </c>
      <c r="L129" t="s">
        <v>59</v>
      </c>
      <c r="M129">
        <v>5</v>
      </c>
      <c r="N129" t="str">
        <f>HYPERLINK("Gene2819-zp_tree_all.dnd", "Gene2819-tree")</f>
        <v>Gene2819-tree</v>
      </c>
      <c r="O129">
        <v>1</v>
      </c>
      <c r="P129">
        <v>4</v>
      </c>
      <c r="Q129">
        <v>1</v>
      </c>
      <c r="R129">
        <v>4</v>
      </c>
      <c r="S129">
        <v>0.8</v>
      </c>
      <c r="T129" t="s">
        <v>61</v>
      </c>
      <c r="U129" t="s">
        <v>60</v>
      </c>
      <c r="V129" t="s">
        <v>62</v>
      </c>
      <c r="W129" t="s">
        <v>62</v>
      </c>
      <c r="X129">
        <v>1</v>
      </c>
      <c r="Y129">
        <v>2</v>
      </c>
      <c r="Z129">
        <v>10</v>
      </c>
      <c r="AA129">
        <v>0.16667000000000001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2</v>
      </c>
      <c r="AH129">
        <v>0</v>
      </c>
      <c r="AI129">
        <v>2</v>
      </c>
      <c r="AJ129">
        <v>6</v>
      </c>
      <c r="AK129">
        <v>0.25</v>
      </c>
      <c r="AL129">
        <v>5</v>
      </c>
      <c r="AM129">
        <v>2</v>
      </c>
      <c r="AN129">
        <v>8</v>
      </c>
      <c r="AO129">
        <v>8</v>
      </c>
      <c r="AP129">
        <v>11</v>
      </c>
      <c r="AQ129">
        <v>4</v>
      </c>
      <c r="AR129" t="s">
        <v>3626</v>
      </c>
      <c r="AS129" t="s">
        <v>3627</v>
      </c>
      <c r="AT129">
        <v>0.84599999999999997</v>
      </c>
      <c r="AU129" t="s">
        <v>65</v>
      </c>
      <c r="AV129">
        <v>19</v>
      </c>
      <c r="AW129">
        <v>12</v>
      </c>
      <c r="AX129" t="s">
        <v>3628</v>
      </c>
      <c r="AY129" t="s">
        <v>3629</v>
      </c>
      <c r="AZ129" t="s">
        <v>3630</v>
      </c>
      <c r="BA129">
        <v>0.14179</v>
      </c>
      <c r="BB129">
        <v>1</v>
      </c>
      <c r="BC129" t="s">
        <v>69</v>
      </c>
      <c r="BD129">
        <v>0.52600000000000002</v>
      </c>
      <c r="BE129">
        <v>0.25800000000000001</v>
      </c>
    </row>
    <row r="130" spans="1:57">
      <c r="A130">
        <v>0</v>
      </c>
      <c r="B130">
        <v>0</v>
      </c>
      <c r="C130">
        <v>0</v>
      </c>
      <c r="D130">
        <v>2831</v>
      </c>
      <c r="E130" t="s">
        <v>3639</v>
      </c>
      <c r="F130" t="s">
        <v>5762</v>
      </c>
      <c r="G130" t="s">
        <v>62</v>
      </c>
      <c r="H130">
        <v>2778611</v>
      </c>
      <c r="I130">
        <v>2778766</v>
      </c>
      <c r="J130" t="s">
        <v>3640</v>
      </c>
      <c r="K130">
        <v>52</v>
      </c>
      <c r="L130" t="s">
        <v>59</v>
      </c>
      <c r="M130">
        <v>5</v>
      </c>
      <c r="N130" t="str">
        <f>HYPERLINK("Gene2831-zp_tree_all.dnd", "Gene2831-tree")</f>
        <v>Gene2831-tree</v>
      </c>
      <c r="O130">
        <v>4</v>
      </c>
      <c r="P130">
        <v>1</v>
      </c>
      <c r="Q130">
        <v>3</v>
      </c>
      <c r="R130">
        <v>1</v>
      </c>
      <c r="S130">
        <v>0.25</v>
      </c>
      <c r="T130" t="s">
        <v>119</v>
      </c>
      <c r="U130" t="s">
        <v>61</v>
      </c>
      <c r="V130" t="s">
        <v>62</v>
      </c>
      <c r="W130" t="s">
        <v>62</v>
      </c>
      <c r="X130">
        <v>0</v>
      </c>
      <c r="Y130">
        <v>0</v>
      </c>
      <c r="Z130">
        <v>3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0</v>
      </c>
      <c r="AG130">
        <v>0</v>
      </c>
      <c r="AH130">
        <v>0</v>
      </c>
      <c r="AI130">
        <v>0</v>
      </c>
      <c r="AJ130">
        <v>2</v>
      </c>
      <c r="AK130">
        <v>0</v>
      </c>
      <c r="AL130">
        <v>3</v>
      </c>
      <c r="AM130">
        <v>1</v>
      </c>
      <c r="AN130">
        <v>2</v>
      </c>
      <c r="AO130">
        <v>2</v>
      </c>
      <c r="AP130">
        <v>3</v>
      </c>
      <c r="AQ130">
        <v>1</v>
      </c>
      <c r="AR130" t="s">
        <v>3641</v>
      </c>
      <c r="AS130" t="s">
        <v>3642</v>
      </c>
      <c r="AT130">
        <v>0.47299999999999998</v>
      </c>
      <c r="AU130" t="s">
        <v>65</v>
      </c>
      <c r="AV130">
        <v>5</v>
      </c>
      <c r="AW130">
        <v>3</v>
      </c>
      <c r="AX130" t="s">
        <v>3643</v>
      </c>
      <c r="AY130" t="s">
        <v>3644</v>
      </c>
      <c r="AZ130" t="s">
        <v>3645</v>
      </c>
      <c r="BA130">
        <v>0.15909000000000001</v>
      </c>
      <c r="BB130">
        <v>0.98899999999999999</v>
      </c>
      <c r="BC130" t="s">
        <v>69</v>
      </c>
      <c r="BD130">
        <v>1.1200000000000001</v>
      </c>
      <c r="BE130">
        <v>8.3000000000000004E-2</v>
      </c>
    </row>
    <row r="131" spans="1:57">
      <c r="A131">
        <v>0</v>
      </c>
      <c r="B131">
        <v>0</v>
      </c>
      <c r="C131">
        <v>0</v>
      </c>
      <c r="D131">
        <v>2844</v>
      </c>
      <c r="E131" t="s">
        <v>3652</v>
      </c>
      <c r="F131" t="s">
        <v>5762</v>
      </c>
      <c r="G131" t="s">
        <v>62</v>
      </c>
      <c r="H131">
        <v>2791497</v>
      </c>
      <c r="I131">
        <v>2791967</v>
      </c>
      <c r="J131" t="s">
        <v>3653</v>
      </c>
      <c r="K131">
        <v>157</v>
      </c>
      <c r="L131" t="s">
        <v>59</v>
      </c>
      <c r="M131">
        <v>5</v>
      </c>
      <c r="N131" t="str">
        <f>HYPERLINK("Gene2844-zp_tree_all.dnd", "Gene2844-tree")</f>
        <v>Gene2844-tree</v>
      </c>
      <c r="O131">
        <v>5</v>
      </c>
      <c r="P131">
        <v>0</v>
      </c>
      <c r="Q131">
        <v>5</v>
      </c>
      <c r="R131">
        <v>0</v>
      </c>
      <c r="S131">
        <v>0</v>
      </c>
      <c r="T131" t="s">
        <v>98</v>
      </c>
      <c r="U131" t="s">
        <v>62</v>
      </c>
      <c r="V131" t="s">
        <v>62</v>
      </c>
      <c r="W131" t="s">
        <v>62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3</v>
      </c>
      <c r="AM131">
        <v>2</v>
      </c>
      <c r="AN131">
        <v>10</v>
      </c>
      <c r="AO131">
        <v>0</v>
      </c>
      <c r="AP131">
        <v>17</v>
      </c>
      <c r="AQ131">
        <v>1</v>
      </c>
      <c r="AR131" t="s">
        <v>64</v>
      </c>
      <c r="AS131" t="s">
        <v>3654</v>
      </c>
      <c r="AT131">
        <v>0.97699999999999998</v>
      </c>
      <c r="AU131" t="s">
        <v>65</v>
      </c>
      <c r="AV131">
        <v>27</v>
      </c>
      <c r="AW131">
        <v>1</v>
      </c>
      <c r="AX131" t="s">
        <v>3655</v>
      </c>
      <c r="AY131" t="s">
        <v>3656</v>
      </c>
      <c r="AZ131" t="s">
        <v>3657</v>
      </c>
      <c r="BA131">
        <v>1.7319999999999999E-2</v>
      </c>
      <c r="BB131">
        <v>1</v>
      </c>
      <c r="BC131" t="s">
        <v>69</v>
      </c>
      <c r="BD131">
        <v>0.96699999999999997</v>
      </c>
      <c r="BE131">
        <v>0.66900000000000004</v>
      </c>
    </row>
    <row r="132" spans="1:57">
      <c r="A132">
        <v>0</v>
      </c>
      <c r="B132">
        <v>0</v>
      </c>
      <c r="C132">
        <v>0</v>
      </c>
      <c r="D132">
        <v>2845</v>
      </c>
      <c r="E132" t="s">
        <v>3658</v>
      </c>
      <c r="F132" t="s">
        <v>5762</v>
      </c>
      <c r="G132" t="s">
        <v>62</v>
      </c>
      <c r="H132">
        <v>2792221</v>
      </c>
      <c r="I132">
        <v>2792853</v>
      </c>
      <c r="J132" t="s">
        <v>3659</v>
      </c>
      <c r="K132">
        <v>211</v>
      </c>
      <c r="L132" t="s">
        <v>59</v>
      </c>
      <c r="M132">
        <v>5</v>
      </c>
      <c r="N132" t="str">
        <f>HYPERLINK("Gene2845-zp_tree_all.dnd", "Gene2845-tree")</f>
        <v>Gene2845-tree</v>
      </c>
      <c r="O132">
        <v>5</v>
      </c>
      <c r="P132">
        <v>0</v>
      </c>
      <c r="Q132">
        <v>4</v>
      </c>
      <c r="R132">
        <v>0</v>
      </c>
      <c r="S132">
        <v>0</v>
      </c>
      <c r="T132" t="s">
        <v>150</v>
      </c>
      <c r="U132" t="s">
        <v>62</v>
      </c>
      <c r="V132" t="s">
        <v>62</v>
      </c>
      <c r="W132" t="s">
        <v>62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4</v>
      </c>
      <c r="AM132">
        <v>1</v>
      </c>
      <c r="AN132">
        <v>20</v>
      </c>
      <c r="AO132">
        <v>0</v>
      </c>
      <c r="AP132">
        <v>14</v>
      </c>
      <c r="AQ132">
        <v>0</v>
      </c>
      <c r="AR132" t="s">
        <v>64</v>
      </c>
      <c r="AS132" t="s">
        <v>64</v>
      </c>
      <c r="AT132">
        <v>0</v>
      </c>
      <c r="AU132" t="s">
        <v>65</v>
      </c>
      <c r="AV132">
        <v>34</v>
      </c>
      <c r="AW132">
        <v>0</v>
      </c>
      <c r="AX132" t="s">
        <v>3660</v>
      </c>
      <c r="AY132" t="s">
        <v>3661</v>
      </c>
      <c r="AZ132" t="s">
        <v>64</v>
      </c>
      <c r="BA132">
        <v>0</v>
      </c>
      <c r="BB132">
        <v>1</v>
      </c>
      <c r="BC132" t="s">
        <v>69</v>
      </c>
      <c r="BD132">
        <v>0.65300000000000002</v>
      </c>
      <c r="BE132">
        <v>0.40899999999999997</v>
      </c>
    </row>
    <row r="133" spans="1:57">
      <c r="A133">
        <v>0</v>
      </c>
      <c r="B133">
        <v>0</v>
      </c>
      <c r="C133">
        <v>0</v>
      </c>
      <c r="D133">
        <v>2846</v>
      </c>
      <c r="E133" t="s">
        <v>3662</v>
      </c>
      <c r="F133" t="s">
        <v>5762</v>
      </c>
      <c r="G133" t="s">
        <v>62</v>
      </c>
      <c r="H133">
        <v>2792863</v>
      </c>
      <c r="I133">
        <v>2794128</v>
      </c>
      <c r="J133" t="s">
        <v>3663</v>
      </c>
      <c r="K133">
        <v>422</v>
      </c>
      <c r="L133" t="s">
        <v>83</v>
      </c>
      <c r="M133">
        <v>4</v>
      </c>
      <c r="N133" t="str">
        <f>HYPERLINK("Gene2846-zp_tree_all.dnd", "Gene2846-tree")</f>
        <v>Gene2846-tree</v>
      </c>
      <c r="O133">
        <v>2</v>
      </c>
      <c r="P133">
        <v>2</v>
      </c>
      <c r="Q133">
        <v>2</v>
      </c>
      <c r="R133">
        <v>2</v>
      </c>
      <c r="S133">
        <v>0.5</v>
      </c>
      <c r="T133" t="s">
        <v>135</v>
      </c>
      <c r="U133" t="s">
        <v>135</v>
      </c>
      <c r="V133" t="s">
        <v>62</v>
      </c>
      <c r="W133" t="s">
        <v>62</v>
      </c>
      <c r="X133">
        <v>0</v>
      </c>
      <c r="Y133">
        <v>0</v>
      </c>
      <c r="Z133">
        <v>6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6</v>
      </c>
      <c r="AK133">
        <v>0</v>
      </c>
      <c r="AL133">
        <v>4</v>
      </c>
      <c r="AM133">
        <v>1</v>
      </c>
      <c r="AN133">
        <v>64</v>
      </c>
      <c r="AO133">
        <v>7</v>
      </c>
      <c r="AP133">
        <v>7</v>
      </c>
      <c r="AQ133">
        <v>0</v>
      </c>
      <c r="AR133" t="s">
        <v>3664</v>
      </c>
      <c r="AS133" t="s">
        <v>64</v>
      </c>
      <c r="AT133">
        <v>0.91400000000000003</v>
      </c>
      <c r="AU133" t="s">
        <v>65</v>
      </c>
      <c r="AV133">
        <v>71</v>
      </c>
      <c r="AW133">
        <v>7</v>
      </c>
      <c r="AX133" t="s">
        <v>3665</v>
      </c>
      <c r="AY133" t="s">
        <v>3666</v>
      </c>
      <c r="AZ133" t="s">
        <v>3667</v>
      </c>
      <c r="BA133">
        <v>2.453E-2</v>
      </c>
      <c r="BB133">
        <v>1</v>
      </c>
      <c r="BC133" t="s">
        <v>69</v>
      </c>
      <c r="BD133">
        <v>-0.39600000000000002</v>
      </c>
      <c r="BE133">
        <v>-0.52500000000000002</v>
      </c>
    </row>
    <row r="134" spans="1:57">
      <c r="A134">
        <v>0</v>
      </c>
      <c r="B134">
        <v>0</v>
      </c>
      <c r="C134">
        <v>0</v>
      </c>
      <c r="D134">
        <v>2847</v>
      </c>
      <c r="E134" t="s">
        <v>3668</v>
      </c>
      <c r="F134" t="s">
        <v>5762</v>
      </c>
      <c r="G134" t="s">
        <v>62</v>
      </c>
      <c r="H134">
        <v>2794150</v>
      </c>
      <c r="I134">
        <v>2795076</v>
      </c>
      <c r="J134" t="s">
        <v>3669</v>
      </c>
      <c r="K134">
        <v>309</v>
      </c>
      <c r="L134" t="s">
        <v>59</v>
      </c>
      <c r="M134">
        <v>5</v>
      </c>
      <c r="N134" t="str">
        <f>HYPERLINK("Gene2847-zp_tree_all.dnd", "Gene2847-tree")</f>
        <v>Gene2847-tree</v>
      </c>
      <c r="O134">
        <v>1</v>
      </c>
      <c r="P134">
        <v>4</v>
      </c>
      <c r="Q134">
        <v>1</v>
      </c>
      <c r="R134">
        <v>4</v>
      </c>
      <c r="S134">
        <v>0.8</v>
      </c>
      <c r="T134" t="s">
        <v>61</v>
      </c>
      <c r="U134" t="s">
        <v>60</v>
      </c>
      <c r="V134" t="s">
        <v>62</v>
      </c>
      <c r="W134" t="s">
        <v>62</v>
      </c>
      <c r="X134">
        <v>0</v>
      </c>
      <c r="Y134">
        <v>0</v>
      </c>
      <c r="Z134">
        <v>8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5</v>
      </c>
      <c r="AK134">
        <v>0</v>
      </c>
      <c r="AL134">
        <v>5</v>
      </c>
      <c r="AM134">
        <v>2</v>
      </c>
      <c r="AN134">
        <v>22</v>
      </c>
      <c r="AO134">
        <v>5</v>
      </c>
      <c r="AP134">
        <v>37</v>
      </c>
      <c r="AQ134">
        <v>3</v>
      </c>
      <c r="AR134" t="s">
        <v>3670</v>
      </c>
      <c r="AS134" t="s">
        <v>3671</v>
      </c>
      <c r="AT134">
        <v>1.27</v>
      </c>
      <c r="AU134" t="s">
        <v>65</v>
      </c>
      <c r="AV134">
        <v>59</v>
      </c>
      <c r="AW134">
        <v>8</v>
      </c>
      <c r="AX134" t="s">
        <v>3672</v>
      </c>
      <c r="AY134" t="s">
        <v>3673</v>
      </c>
      <c r="AZ134" t="s">
        <v>3674</v>
      </c>
      <c r="BA134">
        <v>2.9839999999999998E-2</v>
      </c>
      <c r="BB134">
        <v>1</v>
      </c>
      <c r="BC134" t="s">
        <v>69</v>
      </c>
      <c r="BD134">
        <v>0.65</v>
      </c>
      <c r="BE134">
        <v>0.55500000000000005</v>
      </c>
    </row>
    <row r="135" spans="1:57">
      <c r="A135">
        <v>0</v>
      </c>
      <c r="B135">
        <v>0</v>
      </c>
      <c r="C135">
        <v>0</v>
      </c>
      <c r="D135">
        <v>2848</v>
      </c>
      <c r="E135" t="s">
        <v>3675</v>
      </c>
      <c r="F135" t="s">
        <v>5762</v>
      </c>
      <c r="G135" t="s">
        <v>62</v>
      </c>
      <c r="H135">
        <v>2795085</v>
      </c>
      <c r="I135">
        <v>2795735</v>
      </c>
      <c r="J135" t="s">
        <v>3676</v>
      </c>
      <c r="K135">
        <v>217</v>
      </c>
      <c r="L135" t="s">
        <v>59</v>
      </c>
      <c r="M135">
        <v>5</v>
      </c>
      <c r="N135" t="str">
        <f>HYPERLINK("Gene2848-zp_tree_all.dnd", "Gene2848-tree")</f>
        <v>Gene2848-tree</v>
      </c>
      <c r="O135">
        <v>2</v>
      </c>
      <c r="P135">
        <v>3</v>
      </c>
      <c r="Q135">
        <v>2</v>
      </c>
      <c r="R135">
        <v>3</v>
      </c>
      <c r="S135">
        <v>0.6</v>
      </c>
      <c r="T135" t="s">
        <v>135</v>
      </c>
      <c r="U135" t="s">
        <v>84</v>
      </c>
      <c r="V135" t="s">
        <v>62</v>
      </c>
      <c r="W135" t="s">
        <v>62</v>
      </c>
      <c r="X135">
        <v>0</v>
      </c>
      <c r="Y135">
        <v>0</v>
      </c>
      <c r="Z135">
        <v>8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6</v>
      </c>
      <c r="AK135">
        <v>0</v>
      </c>
      <c r="AL135">
        <v>5</v>
      </c>
      <c r="AM135">
        <v>2</v>
      </c>
      <c r="AN135">
        <v>19</v>
      </c>
      <c r="AO135">
        <v>6</v>
      </c>
      <c r="AP135">
        <v>9</v>
      </c>
      <c r="AQ135">
        <v>2</v>
      </c>
      <c r="AR135" t="s">
        <v>3677</v>
      </c>
      <c r="AS135" t="s">
        <v>3678</v>
      </c>
      <c r="AT135">
        <v>0.51</v>
      </c>
      <c r="AU135" t="s">
        <v>65</v>
      </c>
      <c r="AV135">
        <v>28</v>
      </c>
      <c r="AW135">
        <v>8</v>
      </c>
      <c r="AX135" t="s">
        <v>3679</v>
      </c>
      <c r="AY135" t="s">
        <v>3680</v>
      </c>
      <c r="AZ135" t="s">
        <v>3681</v>
      </c>
      <c r="BA135">
        <v>8.6010000000000003E-2</v>
      </c>
      <c r="BB135">
        <v>1</v>
      </c>
      <c r="BC135" t="s">
        <v>69</v>
      </c>
      <c r="BD135">
        <v>-7.8E-2</v>
      </c>
      <c r="BE135">
        <v>-0.27300000000000002</v>
      </c>
    </row>
    <row r="136" spans="1:57">
      <c r="A136">
        <v>0</v>
      </c>
      <c r="B136">
        <v>0</v>
      </c>
      <c r="C136">
        <v>2</v>
      </c>
      <c r="D136">
        <v>2850</v>
      </c>
      <c r="E136" t="s">
        <v>3682</v>
      </c>
      <c r="F136" t="s">
        <v>5762</v>
      </c>
      <c r="G136" t="s">
        <v>62</v>
      </c>
      <c r="H136">
        <v>2797103</v>
      </c>
      <c r="I136">
        <v>2797381</v>
      </c>
      <c r="J136" t="s">
        <v>3683</v>
      </c>
      <c r="K136">
        <v>93</v>
      </c>
      <c r="L136" t="s">
        <v>59</v>
      </c>
      <c r="M136">
        <v>5</v>
      </c>
      <c r="N136" t="str">
        <f>HYPERLINK("Gene2850-zp_tree_all.dnd", "Gene2850-tree")</f>
        <v>Gene2850-tree</v>
      </c>
      <c r="O136">
        <v>3</v>
      </c>
      <c r="P136">
        <v>2</v>
      </c>
      <c r="Q136">
        <v>3</v>
      </c>
      <c r="R136">
        <v>2</v>
      </c>
      <c r="S136">
        <v>0.4</v>
      </c>
      <c r="T136" t="s">
        <v>84</v>
      </c>
      <c r="U136" t="s">
        <v>135</v>
      </c>
      <c r="V136" t="s">
        <v>62</v>
      </c>
      <c r="W136" t="s">
        <v>62</v>
      </c>
      <c r="X136">
        <v>1</v>
      </c>
      <c r="Y136">
        <v>2</v>
      </c>
      <c r="Z136">
        <v>2</v>
      </c>
      <c r="AA136">
        <v>0.5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3</v>
      </c>
      <c r="AK136">
        <v>0</v>
      </c>
      <c r="AL136">
        <v>5</v>
      </c>
      <c r="AM136">
        <v>2</v>
      </c>
      <c r="AN136">
        <v>10</v>
      </c>
      <c r="AO136">
        <v>3</v>
      </c>
      <c r="AP136">
        <v>4</v>
      </c>
      <c r="AQ136">
        <v>1</v>
      </c>
      <c r="AR136" t="s">
        <v>3684</v>
      </c>
      <c r="AS136" t="s">
        <v>3685</v>
      </c>
      <c r="AT136">
        <v>0.153</v>
      </c>
      <c r="AU136" t="s">
        <v>65</v>
      </c>
      <c r="AV136">
        <v>14</v>
      </c>
      <c r="AW136">
        <v>4</v>
      </c>
      <c r="AX136" t="s">
        <v>3686</v>
      </c>
      <c r="AY136" t="s">
        <v>3687</v>
      </c>
      <c r="AZ136" t="s">
        <v>3688</v>
      </c>
      <c r="BA136">
        <v>5.4809999999999998E-2</v>
      </c>
      <c r="BB136">
        <v>1</v>
      </c>
      <c r="BC136" t="s">
        <v>69</v>
      </c>
      <c r="BD136">
        <v>-7.5999999999999998E-2</v>
      </c>
      <c r="BE136">
        <v>-1.0309999999999999</v>
      </c>
    </row>
    <row r="137" spans="1:57">
      <c r="A137">
        <v>0</v>
      </c>
      <c r="B137">
        <v>0</v>
      </c>
      <c r="C137">
        <v>0</v>
      </c>
      <c r="D137">
        <v>2851</v>
      </c>
      <c r="E137" t="s">
        <v>3689</v>
      </c>
      <c r="F137" t="s">
        <v>5762</v>
      </c>
      <c r="G137" t="s">
        <v>62</v>
      </c>
      <c r="H137">
        <v>2797402</v>
      </c>
      <c r="I137">
        <v>2797815</v>
      </c>
      <c r="J137" t="s">
        <v>3690</v>
      </c>
      <c r="K137">
        <v>138</v>
      </c>
      <c r="L137" t="s">
        <v>59</v>
      </c>
      <c r="M137">
        <v>5</v>
      </c>
      <c r="N137" t="str">
        <f>HYPERLINK("Gene2851-zp_tree_all.dnd", "Gene2851-tree")</f>
        <v>Gene2851-tree</v>
      </c>
      <c r="O137">
        <v>4</v>
      </c>
      <c r="P137">
        <v>0</v>
      </c>
      <c r="Q137">
        <v>4</v>
      </c>
      <c r="R137">
        <v>0</v>
      </c>
      <c r="S137">
        <v>0</v>
      </c>
      <c r="T137" t="s">
        <v>60</v>
      </c>
      <c r="U137" t="s">
        <v>62</v>
      </c>
      <c r="V137" t="s">
        <v>62</v>
      </c>
      <c r="W137" t="s">
        <v>62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0</v>
      </c>
      <c r="AE137">
        <v>1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3</v>
      </c>
      <c r="AM137">
        <v>1</v>
      </c>
      <c r="AN137">
        <v>6</v>
      </c>
      <c r="AO137">
        <v>0</v>
      </c>
      <c r="AP137">
        <v>5</v>
      </c>
      <c r="AQ137">
        <v>1</v>
      </c>
      <c r="AR137" t="s">
        <v>64</v>
      </c>
      <c r="AS137" t="s">
        <v>3691</v>
      </c>
      <c r="AT137">
        <v>0</v>
      </c>
      <c r="AU137" t="s">
        <v>65</v>
      </c>
      <c r="AV137">
        <v>11</v>
      </c>
      <c r="AW137">
        <v>1</v>
      </c>
      <c r="AX137" t="s">
        <v>3692</v>
      </c>
      <c r="AY137" t="s">
        <v>3693</v>
      </c>
      <c r="AZ137" t="s">
        <v>3694</v>
      </c>
      <c r="BA137">
        <v>2.9590000000000002E-2</v>
      </c>
      <c r="BB137">
        <v>1</v>
      </c>
      <c r="BC137" t="s">
        <v>69</v>
      </c>
      <c r="BD137">
        <v>0.30099999999999999</v>
      </c>
      <c r="BE137">
        <v>0.30099999999999999</v>
      </c>
    </row>
    <row r="138" spans="1:57">
      <c r="A138">
        <v>0</v>
      </c>
      <c r="B138">
        <v>0</v>
      </c>
      <c r="C138">
        <v>0</v>
      </c>
      <c r="D138">
        <v>2852</v>
      </c>
      <c r="E138" t="s">
        <v>3695</v>
      </c>
      <c r="F138" t="s">
        <v>5762</v>
      </c>
      <c r="G138" t="s">
        <v>62</v>
      </c>
      <c r="H138">
        <v>2797826</v>
      </c>
      <c r="I138">
        <v>2798089</v>
      </c>
      <c r="J138" t="s">
        <v>118</v>
      </c>
      <c r="K138">
        <v>88</v>
      </c>
      <c r="L138" t="s">
        <v>59</v>
      </c>
      <c r="M138">
        <v>5</v>
      </c>
      <c r="N138" t="str">
        <f>HYPERLINK("Gene2852-zp_tree_all.dnd", "Gene2852-tree")</f>
        <v>Gene2852-tree</v>
      </c>
    </row>
    <row r="139" spans="1:57">
      <c r="A139">
        <v>0</v>
      </c>
      <c r="B139">
        <v>0</v>
      </c>
      <c r="C139">
        <v>0</v>
      </c>
      <c r="D139">
        <v>2859</v>
      </c>
      <c r="E139" t="s">
        <v>3696</v>
      </c>
      <c r="F139" t="s">
        <v>5762</v>
      </c>
      <c r="G139" t="s">
        <v>62</v>
      </c>
      <c r="H139">
        <v>2805351</v>
      </c>
      <c r="I139">
        <v>2805479</v>
      </c>
      <c r="J139" t="s">
        <v>118</v>
      </c>
      <c r="K139">
        <v>43</v>
      </c>
      <c r="L139" t="s">
        <v>59</v>
      </c>
      <c r="M139">
        <v>5</v>
      </c>
      <c r="N139" t="str">
        <f>HYPERLINK("Gene2859-zp_tree_all.dnd", "Gene2859-tree")</f>
        <v>Gene2859-tree</v>
      </c>
    </row>
    <row r="140" spans="1:57">
      <c r="A140">
        <v>0</v>
      </c>
      <c r="B140">
        <v>0</v>
      </c>
      <c r="C140">
        <v>0</v>
      </c>
      <c r="D140">
        <v>2860</v>
      </c>
      <c r="E140" t="s">
        <v>3697</v>
      </c>
      <c r="F140" t="s">
        <v>5762</v>
      </c>
      <c r="G140" t="s">
        <v>62</v>
      </c>
      <c r="H140">
        <v>2805504</v>
      </c>
      <c r="I140">
        <v>2805692</v>
      </c>
      <c r="J140" t="s">
        <v>118</v>
      </c>
      <c r="K140">
        <v>63</v>
      </c>
      <c r="L140" t="s">
        <v>59</v>
      </c>
      <c r="M140">
        <v>5</v>
      </c>
      <c r="N140" t="str">
        <f>HYPERLINK("Gene2860-zp_tree_all.dnd", "Gene2860-tree")</f>
        <v>Gene2860-tree</v>
      </c>
    </row>
    <row r="141" spans="1:57">
      <c r="A141">
        <v>0</v>
      </c>
      <c r="B141">
        <v>0</v>
      </c>
      <c r="C141">
        <v>2</v>
      </c>
      <c r="D141">
        <v>2861</v>
      </c>
      <c r="E141" t="s">
        <v>3698</v>
      </c>
      <c r="F141" t="s">
        <v>5762</v>
      </c>
      <c r="G141" t="s">
        <v>62</v>
      </c>
      <c r="H141">
        <v>2805707</v>
      </c>
      <c r="I141">
        <v>2806228</v>
      </c>
      <c r="J141" t="s">
        <v>118</v>
      </c>
      <c r="K141">
        <v>174</v>
      </c>
      <c r="L141" t="s">
        <v>59</v>
      </c>
      <c r="M141">
        <v>5</v>
      </c>
      <c r="N141" t="str">
        <f>HYPERLINK("Gene2861-zp_tree_all.dnd", "Gene2861-tree")</f>
        <v>Gene2861-tree</v>
      </c>
      <c r="O141">
        <v>2</v>
      </c>
      <c r="P141">
        <v>3</v>
      </c>
      <c r="Q141">
        <v>2</v>
      </c>
      <c r="R141">
        <v>3</v>
      </c>
      <c r="S141">
        <v>0.6</v>
      </c>
      <c r="T141" t="s">
        <v>135</v>
      </c>
      <c r="U141" t="s">
        <v>84</v>
      </c>
      <c r="V141" t="s">
        <v>62</v>
      </c>
      <c r="W141" t="s">
        <v>62</v>
      </c>
      <c r="X141">
        <v>1</v>
      </c>
      <c r="Y141">
        <v>2</v>
      </c>
      <c r="Z141">
        <v>9</v>
      </c>
      <c r="AA141">
        <v>0.18182000000000001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5</v>
      </c>
      <c r="AK141">
        <v>0</v>
      </c>
      <c r="AL141">
        <v>5</v>
      </c>
      <c r="AM141">
        <v>2</v>
      </c>
      <c r="AN141">
        <v>12</v>
      </c>
      <c r="AO141">
        <v>5</v>
      </c>
      <c r="AP141">
        <v>14</v>
      </c>
      <c r="AQ141">
        <v>6</v>
      </c>
      <c r="AR141" t="s">
        <v>3699</v>
      </c>
      <c r="AS141" t="s">
        <v>3700</v>
      </c>
      <c r="AT141">
        <v>1.2E-2</v>
      </c>
      <c r="AU141" t="s">
        <v>65</v>
      </c>
      <c r="AV141">
        <v>26</v>
      </c>
      <c r="AW141">
        <v>11</v>
      </c>
      <c r="AX141" t="s">
        <v>3701</v>
      </c>
      <c r="AY141" t="s">
        <v>3702</v>
      </c>
      <c r="AZ141" t="s">
        <v>3703</v>
      </c>
      <c r="BA141">
        <v>0.11801</v>
      </c>
      <c r="BB141">
        <v>1</v>
      </c>
      <c r="BC141" t="s">
        <v>69</v>
      </c>
      <c r="BD141">
        <v>0.68</v>
      </c>
      <c r="BE141">
        <v>0.312</v>
      </c>
    </row>
    <row r="142" spans="1:57">
      <c r="A142">
        <v>0</v>
      </c>
      <c r="B142">
        <v>0</v>
      </c>
      <c r="C142">
        <v>0</v>
      </c>
      <c r="D142">
        <v>2864</v>
      </c>
      <c r="E142" t="s">
        <v>3704</v>
      </c>
      <c r="F142" t="s">
        <v>5762</v>
      </c>
      <c r="G142" t="s">
        <v>62</v>
      </c>
      <c r="H142">
        <v>2809416</v>
      </c>
      <c r="I142">
        <v>2810528</v>
      </c>
      <c r="J142" t="s">
        <v>3705</v>
      </c>
      <c r="K142">
        <v>371</v>
      </c>
      <c r="L142" t="s">
        <v>59</v>
      </c>
      <c r="M142">
        <v>5</v>
      </c>
      <c r="N142" t="str">
        <f>HYPERLINK("Gene2864-zp_tree_all.dnd", "Gene2864-tree")</f>
        <v>Gene2864-tree</v>
      </c>
      <c r="O142">
        <v>1</v>
      </c>
      <c r="P142">
        <v>4</v>
      </c>
      <c r="Q142">
        <v>1</v>
      </c>
      <c r="R142">
        <v>4</v>
      </c>
      <c r="S142">
        <v>0.8</v>
      </c>
      <c r="T142" t="s">
        <v>61</v>
      </c>
      <c r="U142" t="s">
        <v>60</v>
      </c>
      <c r="V142" t="s">
        <v>62</v>
      </c>
      <c r="W142" t="s">
        <v>62</v>
      </c>
      <c r="X142">
        <v>0</v>
      </c>
      <c r="Y142">
        <v>0</v>
      </c>
      <c r="Z142">
        <v>8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6</v>
      </c>
      <c r="AK142">
        <v>0</v>
      </c>
      <c r="AL142">
        <v>5</v>
      </c>
      <c r="AM142">
        <v>2</v>
      </c>
      <c r="AN142">
        <v>37</v>
      </c>
      <c r="AO142">
        <v>6</v>
      </c>
      <c r="AP142">
        <v>34</v>
      </c>
      <c r="AQ142">
        <v>3</v>
      </c>
      <c r="AR142" t="s">
        <v>3706</v>
      </c>
      <c r="AS142" t="s">
        <v>3707</v>
      </c>
      <c r="AT142">
        <v>0.77</v>
      </c>
      <c r="AU142" t="s">
        <v>65</v>
      </c>
      <c r="AV142">
        <v>71</v>
      </c>
      <c r="AW142">
        <v>9</v>
      </c>
      <c r="AX142" t="s">
        <v>3708</v>
      </c>
      <c r="AY142" t="s">
        <v>3709</v>
      </c>
      <c r="AZ142" t="s">
        <v>3710</v>
      </c>
      <c r="BA142">
        <v>3.4160000000000003E-2</v>
      </c>
      <c r="BB142">
        <v>1</v>
      </c>
      <c r="BC142" t="s">
        <v>69</v>
      </c>
      <c r="BD142">
        <v>0.40100000000000002</v>
      </c>
      <c r="BE142">
        <v>0.316</v>
      </c>
    </row>
    <row r="143" spans="1:57">
      <c r="A143">
        <v>0</v>
      </c>
      <c r="B143">
        <v>0</v>
      </c>
      <c r="C143">
        <v>0</v>
      </c>
      <c r="D143">
        <v>2866</v>
      </c>
      <c r="E143" t="s">
        <v>3711</v>
      </c>
      <c r="F143" t="s">
        <v>5762</v>
      </c>
      <c r="G143" t="s">
        <v>62</v>
      </c>
      <c r="H143">
        <v>2811720</v>
      </c>
      <c r="I143">
        <v>2812133</v>
      </c>
      <c r="J143" t="s">
        <v>3712</v>
      </c>
      <c r="K143">
        <v>138</v>
      </c>
      <c r="L143" t="s">
        <v>59</v>
      </c>
      <c r="M143">
        <v>5</v>
      </c>
      <c r="N143" t="str">
        <f>HYPERLINK("Gene2866-zp_tree_all.dnd", "Gene2866-tree")</f>
        <v>Gene2866-tree</v>
      </c>
      <c r="O143">
        <v>5</v>
      </c>
      <c r="P143">
        <v>0</v>
      </c>
      <c r="Q143">
        <v>5</v>
      </c>
      <c r="R143">
        <v>0</v>
      </c>
      <c r="S143">
        <v>0</v>
      </c>
      <c r="T143" t="s">
        <v>98</v>
      </c>
      <c r="U143" t="s">
        <v>62</v>
      </c>
      <c r="V143" t="s">
        <v>62</v>
      </c>
      <c r="W143" t="s">
        <v>62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4</v>
      </c>
      <c r="AM143">
        <v>1</v>
      </c>
      <c r="AN143">
        <v>8</v>
      </c>
      <c r="AO143">
        <v>0</v>
      </c>
      <c r="AP143">
        <v>13</v>
      </c>
      <c r="AQ143">
        <v>0</v>
      </c>
      <c r="AR143" t="s">
        <v>64</v>
      </c>
      <c r="AS143" t="s">
        <v>64</v>
      </c>
      <c r="AT143">
        <v>0</v>
      </c>
      <c r="AU143" t="s">
        <v>65</v>
      </c>
      <c r="AV143">
        <v>21</v>
      </c>
      <c r="AW143">
        <v>0</v>
      </c>
      <c r="AX143" t="s">
        <v>3713</v>
      </c>
      <c r="AY143" t="s">
        <v>3714</v>
      </c>
      <c r="AZ143" t="s">
        <v>64</v>
      </c>
      <c r="BA143">
        <v>0</v>
      </c>
      <c r="BB143">
        <v>1</v>
      </c>
      <c r="BC143" t="s">
        <v>69</v>
      </c>
      <c r="BD143">
        <v>1.117</v>
      </c>
      <c r="BE143">
        <v>0.38800000000000001</v>
      </c>
    </row>
    <row r="144" spans="1:57">
      <c r="A144">
        <v>0</v>
      </c>
      <c r="B144">
        <v>2</v>
      </c>
      <c r="C144">
        <v>0</v>
      </c>
      <c r="D144">
        <v>2870</v>
      </c>
      <c r="E144" t="s">
        <v>3715</v>
      </c>
      <c r="F144" t="s">
        <v>5762</v>
      </c>
      <c r="G144" t="s">
        <v>62</v>
      </c>
      <c r="H144">
        <v>2816538</v>
      </c>
      <c r="I144">
        <v>2817809</v>
      </c>
      <c r="J144" t="s">
        <v>3716</v>
      </c>
      <c r="K144">
        <v>424</v>
      </c>
      <c r="L144" t="s">
        <v>83</v>
      </c>
      <c r="M144">
        <v>4</v>
      </c>
      <c r="N144" t="str">
        <f>HYPERLINK("Gene2870-zp_tree_all.dnd", "Gene2870-tree")</f>
        <v>Gene2870-tree</v>
      </c>
      <c r="O144">
        <v>0</v>
      </c>
      <c r="P144">
        <v>4</v>
      </c>
      <c r="Q144">
        <v>0</v>
      </c>
      <c r="R144">
        <v>4</v>
      </c>
      <c r="S144">
        <v>1</v>
      </c>
      <c r="T144" t="s">
        <v>62</v>
      </c>
      <c r="U144" t="s">
        <v>60</v>
      </c>
      <c r="V144" t="s">
        <v>62</v>
      </c>
      <c r="W144" t="s">
        <v>62</v>
      </c>
      <c r="X144">
        <v>1</v>
      </c>
      <c r="Y144">
        <v>2</v>
      </c>
      <c r="Z144">
        <v>13</v>
      </c>
      <c r="AA144">
        <v>0.13333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2</v>
      </c>
      <c r="AH144">
        <v>0</v>
      </c>
      <c r="AI144">
        <v>2</v>
      </c>
      <c r="AJ144">
        <v>11</v>
      </c>
      <c r="AK144">
        <v>0.15384999999999999</v>
      </c>
      <c r="AL144">
        <v>4</v>
      </c>
      <c r="AM144">
        <v>1</v>
      </c>
      <c r="AN144">
        <v>61</v>
      </c>
      <c r="AO144">
        <v>13</v>
      </c>
      <c r="AP144">
        <v>8</v>
      </c>
      <c r="AQ144">
        <v>2</v>
      </c>
      <c r="AR144" t="s">
        <v>3717</v>
      </c>
      <c r="AS144" t="s">
        <v>3718</v>
      </c>
      <c r="AT144">
        <v>0.29299999999999998</v>
      </c>
      <c r="AU144" t="s">
        <v>65</v>
      </c>
      <c r="AV144">
        <v>69</v>
      </c>
      <c r="AW144">
        <v>15</v>
      </c>
      <c r="AX144" t="s">
        <v>3719</v>
      </c>
      <c r="AY144" t="s">
        <v>3720</v>
      </c>
      <c r="AZ144" t="s">
        <v>3721</v>
      </c>
      <c r="BA144">
        <v>5.6309999999999999E-2</v>
      </c>
      <c r="BB144">
        <v>1</v>
      </c>
      <c r="BC144" t="s">
        <v>69</v>
      </c>
      <c r="BD144">
        <v>-0.14299999999999999</v>
      </c>
      <c r="BE144">
        <v>-0.628</v>
      </c>
    </row>
    <row r="145" spans="1:57">
      <c r="A145">
        <v>0</v>
      </c>
      <c r="B145">
        <v>0</v>
      </c>
      <c r="C145">
        <v>0</v>
      </c>
      <c r="D145">
        <v>2871</v>
      </c>
      <c r="E145" t="s">
        <v>3722</v>
      </c>
      <c r="F145" t="s">
        <v>5762</v>
      </c>
      <c r="G145" t="s">
        <v>62</v>
      </c>
      <c r="H145">
        <v>2818194</v>
      </c>
      <c r="I145">
        <v>2818361</v>
      </c>
      <c r="J145" t="s">
        <v>118</v>
      </c>
      <c r="K145">
        <v>56</v>
      </c>
      <c r="L145" t="s">
        <v>59</v>
      </c>
      <c r="M145">
        <v>5</v>
      </c>
      <c r="N145" t="str">
        <f>HYPERLINK("Gene2871-zp_tree_all.dnd", "Gene2871-tree")</f>
        <v>Gene2871-tree</v>
      </c>
      <c r="O145">
        <v>2</v>
      </c>
      <c r="P145">
        <v>2</v>
      </c>
      <c r="Q145">
        <v>2</v>
      </c>
      <c r="R145">
        <v>2</v>
      </c>
      <c r="S145">
        <v>0.5</v>
      </c>
      <c r="T145" t="s">
        <v>135</v>
      </c>
      <c r="U145" t="s">
        <v>135</v>
      </c>
      <c r="V145" t="s">
        <v>62</v>
      </c>
      <c r="W145" t="s">
        <v>62</v>
      </c>
      <c r="X145">
        <v>0</v>
      </c>
      <c r="Y145">
        <v>0</v>
      </c>
      <c r="Z145">
        <v>3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3</v>
      </c>
      <c r="AK145">
        <v>0</v>
      </c>
      <c r="AL145">
        <v>2</v>
      </c>
      <c r="AM145">
        <v>1</v>
      </c>
      <c r="AN145">
        <v>5</v>
      </c>
      <c r="AO145">
        <v>1</v>
      </c>
      <c r="AP145">
        <v>3</v>
      </c>
      <c r="AQ145">
        <v>2</v>
      </c>
      <c r="AR145" t="s">
        <v>3723</v>
      </c>
      <c r="AS145" t="s">
        <v>3724</v>
      </c>
      <c r="AT145">
        <v>2.4350000000000001</v>
      </c>
      <c r="AU145" t="s">
        <v>65</v>
      </c>
      <c r="AV145">
        <v>8</v>
      </c>
      <c r="AW145">
        <v>3</v>
      </c>
      <c r="AX145" t="s">
        <v>3725</v>
      </c>
      <c r="AY145" t="s">
        <v>3726</v>
      </c>
      <c r="AZ145" t="s">
        <v>3727</v>
      </c>
      <c r="BA145">
        <v>0.10206999999999999</v>
      </c>
      <c r="BB145">
        <v>1</v>
      </c>
      <c r="BC145" t="s">
        <v>69</v>
      </c>
      <c r="BD145">
        <v>0.16400000000000001</v>
      </c>
      <c r="BE145">
        <v>0.16400000000000001</v>
      </c>
    </row>
    <row r="146" spans="1:57">
      <c r="A146">
        <v>0</v>
      </c>
      <c r="B146">
        <v>0</v>
      </c>
      <c r="C146">
        <v>0</v>
      </c>
      <c r="D146">
        <v>2873</v>
      </c>
      <c r="E146" t="s">
        <v>3728</v>
      </c>
      <c r="F146" t="s">
        <v>5762</v>
      </c>
      <c r="G146" t="s">
        <v>62</v>
      </c>
      <c r="H146">
        <v>2820080</v>
      </c>
      <c r="I146">
        <v>2820475</v>
      </c>
      <c r="J146" t="s">
        <v>3729</v>
      </c>
      <c r="K146">
        <v>132</v>
      </c>
      <c r="L146" t="s">
        <v>59</v>
      </c>
      <c r="M146">
        <v>5</v>
      </c>
      <c r="N146" t="str">
        <f>HYPERLINK("Gene2873-zp_tree_all.dnd", "Gene2873-tree")</f>
        <v>Gene2873-tree</v>
      </c>
      <c r="O146">
        <v>3</v>
      </c>
      <c r="P146">
        <v>2</v>
      </c>
      <c r="Q146">
        <v>3</v>
      </c>
      <c r="R146">
        <v>2</v>
      </c>
      <c r="S146">
        <v>0.4</v>
      </c>
      <c r="T146" t="s">
        <v>84</v>
      </c>
      <c r="U146" t="s">
        <v>135</v>
      </c>
      <c r="V146" t="s">
        <v>62</v>
      </c>
      <c r="W146" t="s">
        <v>62</v>
      </c>
      <c r="X146">
        <v>0</v>
      </c>
      <c r="Y146">
        <v>0</v>
      </c>
      <c r="Z146">
        <v>9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5</v>
      </c>
      <c r="AK146">
        <v>0</v>
      </c>
      <c r="AL146">
        <v>5</v>
      </c>
      <c r="AM146">
        <v>2</v>
      </c>
      <c r="AN146">
        <v>12</v>
      </c>
      <c r="AO146">
        <v>5</v>
      </c>
      <c r="AP146">
        <v>8</v>
      </c>
      <c r="AQ146">
        <v>4</v>
      </c>
      <c r="AR146" t="s">
        <v>3730</v>
      </c>
      <c r="AS146" t="s">
        <v>3731</v>
      </c>
      <c r="AT146">
        <v>9.7000000000000003E-2</v>
      </c>
      <c r="AU146" t="s">
        <v>65</v>
      </c>
      <c r="AV146">
        <v>20</v>
      </c>
      <c r="AW146">
        <v>9</v>
      </c>
      <c r="AX146" t="s">
        <v>3732</v>
      </c>
      <c r="AY146" t="s">
        <v>3733</v>
      </c>
      <c r="AZ146" t="s">
        <v>3734</v>
      </c>
      <c r="BA146">
        <v>0.13159000000000001</v>
      </c>
      <c r="BB146">
        <v>1</v>
      </c>
      <c r="BC146" t="s">
        <v>69</v>
      </c>
      <c r="BD146">
        <v>0.14399999999999999</v>
      </c>
      <c r="BE146">
        <v>-0.13300000000000001</v>
      </c>
    </row>
    <row r="147" spans="1:57">
      <c r="A147">
        <v>0</v>
      </c>
      <c r="B147">
        <v>0</v>
      </c>
      <c r="C147">
        <v>0</v>
      </c>
      <c r="D147">
        <v>2874</v>
      </c>
      <c r="E147" t="s">
        <v>3735</v>
      </c>
      <c r="F147" t="s">
        <v>5762</v>
      </c>
      <c r="G147" t="s">
        <v>62</v>
      </c>
      <c r="H147">
        <v>2820532</v>
      </c>
      <c r="I147">
        <v>2822733</v>
      </c>
      <c r="J147" t="s">
        <v>3736</v>
      </c>
      <c r="K147">
        <v>734</v>
      </c>
      <c r="L147" t="s">
        <v>59</v>
      </c>
      <c r="M147">
        <v>5</v>
      </c>
      <c r="N147" t="str">
        <f>HYPERLINK("Gene2874-zp_tree_all.dnd", "Gene2874-tree")</f>
        <v>Gene2874-tree</v>
      </c>
      <c r="O147">
        <v>4</v>
      </c>
      <c r="P147">
        <v>1</v>
      </c>
      <c r="Q147">
        <v>4</v>
      </c>
      <c r="R147">
        <v>1</v>
      </c>
      <c r="S147">
        <v>0.2</v>
      </c>
      <c r="T147" t="s">
        <v>60</v>
      </c>
      <c r="U147" t="s">
        <v>61</v>
      </c>
      <c r="V147" t="s">
        <v>62</v>
      </c>
      <c r="W147" t="s">
        <v>62</v>
      </c>
      <c r="X147">
        <v>0</v>
      </c>
      <c r="Y147">
        <v>0</v>
      </c>
      <c r="Z147">
        <v>4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</v>
      </c>
      <c r="AK147">
        <v>0</v>
      </c>
      <c r="AL147">
        <v>5</v>
      </c>
      <c r="AM147">
        <v>2</v>
      </c>
      <c r="AN147">
        <v>78</v>
      </c>
      <c r="AO147">
        <v>1</v>
      </c>
      <c r="AP147">
        <v>69</v>
      </c>
      <c r="AQ147">
        <v>3</v>
      </c>
      <c r="AR147" t="s">
        <v>3737</v>
      </c>
      <c r="AS147" t="s">
        <v>3738</v>
      </c>
      <c r="AT147">
        <v>0.52600000000000002</v>
      </c>
      <c r="AU147" t="s">
        <v>65</v>
      </c>
      <c r="AV147">
        <v>147</v>
      </c>
      <c r="AW147">
        <v>4</v>
      </c>
      <c r="AX147" t="s">
        <v>3739</v>
      </c>
      <c r="AY147" t="s">
        <v>3740</v>
      </c>
      <c r="AZ147" t="s">
        <v>3741</v>
      </c>
      <c r="BA147">
        <v>8.6400000000000001E-3</v>
      </c>
      <c r="BB147">
        <v>1</v>
      </c>
      <c r="BC147" t="s">
        <v>69</v>
      </c>
      <c r="BD147">
        <v>0.47499999999999998</v>
      </c>
      <c r="BE147">
        <v>0.26100000000000001</v>
      </c>
    </row>
    <row r="148" spans="1:57">
      <c r="A148">
        <v>0</v>
      </c>
      <c r="B148">
        <v>0</v>
      </c>
      <c r="C148">
        <v>2</v>
      </c>
      <c r="D148">
        <v>2875</v>
      </c>
      <c r="E148" t="s">
        <v>3742</v>
      </c>
      <c r="F148" t="s">
        <v>5762</v>
      </c>
      <c r="G148" t="s">
        <v>62</v>
      </c>
      <c r="H148">
        <v>2822904</v>
      </c>
      <c r="I148">
        <v>2823413</v>
      </c>
      <c r="J148" t="s">
        <v>3743</v>
      </c>
      <c r="K148">
        <v>170</v>
      </c>
      <c r="L148" t="s">
        <v>59</v>
      </c>
      <c r="M148">
        <v>5</v>
      </c>
      <c r="N148" t="str">
        <f>HYPERLINK("Gene2875-zp_tree_all.dnd", "Gene2875-tree")</f>
        <v>Gene2875-tree</v>
      </c>
      <c r="O148">
        <v>2</v>
      </c>
      <c r="P148">
        <v>3</v>
      </c>
      <c r="Q148">
        <v>2</v>
      </c>
      <c r="R148">
        <v>3</v>
      </c>
      <c r="S148">
        <v>0.6</v>
      </c>
      <c r="T148" t="s">
        <v>135</v>
      </c>
      <c r="U148" t="s">
        <v>84</v>
      </c>
      <c r="V148" t="s">
        <v>62</v>
      </c>
      <c r="W148" t="s">
        <v>62</v>
      </c>
      <c r="X148">
        <v>1</v>
      </c>
      <c r="Y148">
        <v>2</v>
      </c>
      <c r="Z148">
        <v>2</v>
      </c>
      <c r="AA148">
        <v>0.5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3</v>
      </c>
      <c r="AK148">
        <v>0</v>
      </c>
      <c r="AL148">
        <v>4</v>
      </c>
      <c r="AM148">
        <v>1</v>
      </c>
      <c r="AN148">
        <v>6</v>
      </c>
      <c r="AO148">
        <v>3</v>
      </c>
      <c r="AP148">
        <v>13</v>
      </c>
      <c r="AQ148">
        <v>1</v>
      </c>
      <c r="AR148" t="s">
        <v>3744</v>
      </c>
      <c r="AS148" t="s">
        <v>3745</v>
      </c>
      <c r="AT148">
        <v>1.9159999999999999</v>
      </c>
      <c r="AU148" t="s">
        <v>65</v>
      </c>
      <c r="AV148">
        <v>19</v>
      </c>
      <c r="AW148">
        <v>4</v>
      </c>
      <c r="AX148" t="s">
        <v>3746</v>
      </c>
      <c r="AY148" t="s">
        <v>3747</v>
      </c>
      <c r="AZ148" t="s">
        <v>3748</v>
      </c>
      <c r="BA148">
        <v>5.1749999999999997E-2</v>
      </c>
      <c r="BB148">
        <v>1</v>
      </c>
      <c r="BC148" t="s">
        <v>69</v>
      </c>
      <c r="BD148">
        <v>0.64600000000000002</v>
      </c>
      <c r="BE148">
        <v>0.64600000000000002</v>
      </c>
    </row>
    <row r="149" spans="1:57">
      <c r="A149">
        <v>0</v>
      </c>
      <c r="B149">
        <v>0</v>
      </c>
      <c r="C149">
        <v>2</v>
      </c>
      <c r="D149">
        <v>2880</v>
      </c>
      <c r="E149" t="s">
        <v>3749</v>
      </c>
      <c r="F149" t="s">
        <v>5762</v>
      </c>
      <c r="G149" t="s">
        <v>62</v>
      </c>
      <c r="H149">
        <v>2829155</v>
      </c>
      <c r="I149">
        <v>2829448</v>
      </c>
      <c r="J149" t="s">
        <v>3750</v>
      </c>
      <c r="K149">
        <v>98</v>
      </c>
      <c r="L149" t="s">
        <v>59</v>
      </c>
      <c r="M149">
        <v>5</v>
      </c>
      <c r="N149" t="str">
        <f>HYPERLINK("Gene2880-zp_tree_all.dnd", "Gene2880-tree")</f>
        <v>Gene2880-tree</v>
      </c>
      <c r="O149">
        <v>0</v>
      </c>
      <c r="P149">
        <v>5</v>
      </c>
      <c r="Q149">
        <v>0</v>
      </c>
      <c r="R149">
        <v>5</v>
      </c>
      <c r="S149">
        <v>1</v>
      </c>
      <c r="T149" t="s">
        <v>62</v>
      </c>
      <c r="U149" t="s">
        <v>98</v>
      </c>
      <c r="V149" t="s">
        <v>62</v>
      </c>
      <c r="W149" t="s">
        <v>62</v>
      </c>
      <c r="X149">
        <v>1</v>
      </c>
      <c r="Y149">
        <v>2</v>
      </c>
      <c r="Z149">
        <v>4</v>
      </c>
      <c r="AA149">
        <v>0.33333000000000002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2</v>
      </c>
      <c r="AI149">
        <v>2</v>
      </c>
      <c r="AJ149">
        <v>4</v>
      </c>
      <c r="AK149">
        <v>0.33333000000000002</v>
      </c>
      <c r="AL149">
        <v>2</v>
      </c>
      <c r="AM149">
        <v>2</v>
      </c>
      <c r="AN149">
        <v>0</v>
      </c>
      <c r="AO149">
        <v>2</v>
      </c>
      <c r="AP149">
        <v>6</v>
      </c>
      <c r="AQ149">
        <v>4</v>
      </c>
      <c r="AR149" t="s">
        <v>64</v>
      </c>
      <c r="AS149" t="s">
        <v>3751</v>
      </c>
      <c r="AT149">
        <v>1.129</v>
      </c>
      <c r="AU149" t="s">
        <v>65</v>
      </c>
      <c r="AV149">
        <v>6</v>
      </c>
      <c r="AW149">
        <v>6</v>
      </c>
      <c r="AX149" t="s">
        <v>3752</v>
      </c>
      <c r="AY149" t="s">
        <v>3753</v>
      </c>
      <c r="AZ149" t="s">
        <v>3754</v>
      </c>
      <c r="BA149">
        <v>0.22691</v>
      </c>
      <c r="BB149">
        <v>0.97899999999999998</v>
      </c>
      <c r="BC149" t="s">
        <v>69</v>
      </c>
      <c r="BD149">
        <v>1.306</v>
      </c>
      <c r="BE149">
        <v>1.306</v>
      </c>
    </row>
    <row r="150" spans="1:57">
      <c r="A150">
        <v>0</v>
      </c>
      <c r="B150">
        <v>0</v>
      </c>
      <c r="C150">
        <v>0</v>
      </c>
      <c r="D150">
        <v>2884</v>
      </c>
      <c r="E150" t="s">
        <v>3755</v>
      </c>
      <c r="F150" t="s">
        <v>5762</v>
      </c>
      <c r="G150" t="s">
        <v>62</v>
      </c>
      <c r="H150">
        <v>2832427</v>
      </c>
      <c r="I150">
        <v>2832690</v>
      </c>
      <c r="J150" t="s">
        <v>3756</v>
      </c>
      <c r="K150">
        <v>88</v>
      </c>
      <c r="L150" t="s">
        <v>59</v>
      </c>
      <c r="M150">
        <v>5</v>
      </c>
      <c r="N150" t="str">
        <f>HYPERLINK("Gene2884-zp_tree_all.dnd", "Gene2884-tree")</f>
        <v>Gene2884-tree</v>
      </c>
      <c r="O150">
        <v>3</v>
      </c>
      <c r="P150">
        <v>2</v>
      </c>
      <c r="Q150">
        <v>2</v>
      </c>
      <c r="R150">
        <v>2</v>
      </c>
      <c r="S150">
        <v>0.5</v>
      </c>
      <c r="T150" t="s">
        <v>217</v>
      </c>
      <c r="U150" t="s">
        <v>135</v>
      </c>
      <c r="V150" t="s">
        <v>62</v>
      </c>
      <c r="W150" t="s">
        <v>62</v>
      </c>
      <c r="X150">
        <v>0</v>
      </c>
      <c r="Y150">
        <v>0</v>
      </c>
      <c r="Z150">
        <v>3</v>
      </c>
      <c r="AA150">
        <v>0</v>
      </c>
      <c r="AB150">
        <v>0</v>
      </c>
      <c r="AC150">
        <v>0</v>
      </c>
      <c r="AD150">
        <v>0</v>
      </c>
      <c r="AE150">
        <v>2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  <c r="AL150">
        <v>2</v>
      </c>
      <c r="AM150">
        <v>1</v>
      </c>
      <c r="AN150">
        <v>2</v>
      </c>
      <c r="AO150">
        <v>1</v>
      </c>
      <c r="AP150">
        <v>3</v>
      </c>
      <c r="AQ150">
        <v>2</v>
      </c>
      <c r="AR150" t="s">
        <v>3757</v>
      </c>
      <c r="AS150" t="s">
        <v>3758</v>
      </c>
      <c r="AT150">
        <v>0.437</v>
      </c>
      <c r="AU150" t="s">
        <v>65</v>
      </c>
      <c r="AV150">
        <v>5</v>
      </c>
      <c r="AW150">
        <v>3</v>
      </c>
      <c r="AX150" t="s">
        <v>3759</v>
      </c>
      <c r="AY150" t="s">
        <v>3760</v>
      </c>
      <c r="AZ150" t="s">
        <v>3761</v>
      </c>
      <c r="BA150">
        <v>0.18525</v>
      </c>
      <c r="BB150">
        <v>0.97399999999999998</v>
      </c>
      <c r="BC150" t="s">
        <v>69</v>
      </c>
      <c r="BD150">
        <v>1.028</v>
      </c>
      <c r="BE150">
        <v>1.028</v>
      </c>
    </row>
    <row r="151" spans="1:57">
      <c r="A151">
        <v>0</v>
      </c>
      <c r="B151">
        <v>0</v>
      </c>
      <c r="C151">
        <v>0</v>
      </c>
      <c r="D151">
        <v>2885</v>
      </c>
      <c r="E151" t="s">
        <v>3762</v>
      </c>
      <c r="F151" t="s">
        <v>5762</v>
      </c>
      <c r="G151" t="s">
        <v>62</v>
      </c>
      <c r="H151">
        <v>2832730</v>
      </c>
      <c r="I151">
        <v>2833872</v>
      </c>
      <c r="J151" t="s">
        <v>3763</v>
      </c>
      <c r="K151">
        <v>381</v>
      </c>
      <c r="L151" t="s">
        <v>83</v>
      </c>
      <c r="M151">
        <v>4</v>
      </c>
      <c r="N151" t="str">
        <f>HYPERLINK("Gene2885-zp_tree_all.dnd", "Gene2885-tree")</f>
        <v>Gene2885-tree</v>
      </c>
      <c r="O151">
        <v>3</v>
      </c>
      <c r="P151">
        <v>1</v>
      </c>
      <c r="Q151">
        <v>3</v>
      </c>
      <c r="R151">
        <v>1</v>
      </c>
      <c r="S151">
        <v>0.25</v>
      </c>
      <c r="T151" t="s">
        <v>84</v>
      </c>
      <c r="U151" t="s">
        <v>61</v>
      </c>
      <c r="V151" t="s">
        <v>62</v>
      </c>
      <c r="W151" t="s">
        <v>62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0</v>
      </c>
      <c r="AL151">
        <v>4</v>
      </c>
      <c r="AM151">
        <v>1</v>
      </c>
      <c r="AN151">
        <v>57</v>
      </c>
      <c r="AO151">
        <v>1</v>
      </c>
      <c r="AP151">
        <v>7</v>
      </c>
      <c r="AQ151">
        <v>0</v>
      </c>
      <c r="AR151" t="s">
        <v>3764</v>
      </c>
      <c r="AS151" t="s">
        <v>64</v>
      </c>
      <c r="AT151">
        <v>0.38400000000000001</v>
      </c>
      <c r="AU151" t="s">
        <v>65</v>
      </c>
      <c r="AV151">
        <v>64</v>
      </c>
      <c r="AW151">
        <v>1</v>
      </c>
      <c r="AX151" t="s">
        <v>3765</v>
      </c>
      <c r="AY151" t="s">
        <v>3766</v>
      </c>
      <c r="AZ151" t="s">
        <v>3767</v>
      </c>
      <c r="BA151">
        <v>3.8800000000000002E-3</v>
      </c>
      <c r="BB151">
        <v>1</v>
      </c>
      <c r="BC151" t="s">
        <v>69</v>
      </c>
      <c r="BD151">
        <v>-0.41399999999999998</v>
      </c>
      <c r="BE151">
        <v>-0.56599999999999995</v>
      </c>
    </row>
    <row r="152" spans="1:57">
      <c r="A152">
        <v>0</v>
      </c>
      <c r="B152">
        <v>0</v>
      </c>
      <c r="C152">
        <v>0</v>
      </c>
      <c r="D152">
        <v>2887</v>
      </c>
      <c r="E152" t="s">
        <v>3768</v>
      </c>
      <c r="F152" t="s">
        <v>5762</v>
      </c>
      <c r="G152" t="s">
        <v>62</v>
      </c>
      <c r="H152">
        <v>2834960</v>
      </c>
      <c r="I152">
        <v>2835157</v>
      </c>
      <c r="J152" t="s">
        <v>3769</v>
      </c>
      <c r="K152">
        <v>66</v>
      </c>
      <c r="L152" t="s">
        <v>59</v>
      </c>
      <c r="M152">
        <v>5</v>
      </c>
      <c r="N152" t="str">
        <f>HYPERLINK("Gene2887-zp_tree_all.dnd", "Gene2887-tree")</f>
        <v>Gene2887-tree</v>
      </c>
      <c r="O152">
        <v>4</v>
      </c>
      <c r="P152">
        <v>1</v>
      </c>
      <c r="Q152">
        <v>4</v>
      </c>
      <c r="R152">
        <v>1</v>
      </c>
      <c r="S152">
        <v>0.2</v>
      </c>
      <c r="T152" t="s">
        <v>60</v>
      </c>
      <c r="U152" t="s">
        <v>61</v>
      </c>
      <c r="V152" t="s">
        <v>62</v>
      </c>
      <c r="W152" t="s">
        <v>62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1</v>
      </c>
      <c r="AK152">
        <v>0</v>
      </c>
      <c r="AL152">
        <v>4</v>
      </c>
      <c r="AM152">
        <v>2</v>
      </c>
      <c r="AN152">
        <v>5</v>
      </c>
      <c r="AO152">
        <v>1</v>
      </c>
      <c r="AP152">
        <v>7</v>
      </c>
      <c r="AQ152">
        <v>0</v>
      </c>
      <c r="AR152" t="s">
        <v>3770</v>
      </c>
      <c r="AS152" t="s">
        <v>64</v>
      </c>
      <c r="AT152">
        <v>0.58099999999999996</v>
      </c>
      <c r="AU152" t="s">
        <v>65</v>
      </c>
      <c r="AV152">
        <v>12</v>
      </c>
      <c r="AW152">
        <v>1</v>
      </c>
      <c r="AX152" t="s">
        <v>3771</v>
      </c>
      <c r="AY152" t="s">
        <v>3772</v>
      </c>
      <c r="AZ152" t="s">
        <v>3773</v>
      </c>
      <c r="BA152">
        <v>1.737E-2</v>
      </c>
      <c r="BB152">
        <v>1</v>
      </c>
      <c r="BC152" t="s">
        <v>69</v>
      </c>
      <c r="BD152">
        <v>0.67800000000000005</v>
      </c>
      <c r="BE152">
        <v>0.05</v>
      </c>
    </row>
    <row r="153" spans="1:57">
      <c r="A153">
        <v>0</v>
      </c>
      <c r="B153">
        <v>0</v>
      </c>
      <c r="C153">
        <v>2</v>
      </c>
      <c r="D153">
        <v>2894</v>
      </c>
      <c r="E153" t="s">
        <v>3776</v>
      </c>
      <c r="F153" t="s">
        <v>5762</v>
      </c>
      <c r="G153" t="s">
        <v>62</v>
      </c>
      <c r="H153">
        <v>2840806</v>
      </c>
      <c r="I153">
        <v>2840925</v>
      </c>
      <c r="J153" t="s">
        <v>1082</v>
      </c>
      <c r="K153">
        <v>40</v>
      </c>
      <c r="L153" t="s">
        <v>112</v>
      </c>
      <c r="M153">
        <v>4</v>
      </c>
      <c r="N153" t="str">
        <f>HYPERLINK("Gene2894-zp_tree_all.dnd", "Gene2894-tree")</f>
        <v>Gene2894-tree</v>
      </c>
      <c r="O153">
        <v>2</v>
      </c>
      <c r="P153">
        <v>2</v>
      </c>
      <c r="Q153">
        <v>2</v>
      </c>
      <c r="R153">
        <v>2</v>
      </c>
      <c r="S153">
        <v>0.5</v>
      </c>
      <c r="T153" t="s">
        <v>135</v>
      </c>
      <c r="U153" t="s">
        <v>135</v>
      </c>
      <c r="V153" t="s">
        <v>62</v>
      </c>
      <c r="W153" t="s">
        <v>62</v>
      </c>
      <c r="X153">
        <v>1</v>
      </c>
      <c r="Y153">
        <v>2</v>
      </c>
      <c r="Z153">
        <v>2</v>
      </c>
      <c r="AA153">
        <v>0.5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2</v>
      </c>
      <c r="AI153">
        <v>2</v>
      </c>
      <c r="AJ153">
        <v>2</v>
      </c>
      <c r="AK153">
        <v>0.5</v>
      </c>
      <c r="AL153">
        <v>2</v>
      </c>
      <c r="AM153">
        <v>1</v>
      </c>
      <c r="AN153">
        <v>4</v>
      </c>
      <c r="AO153">
        <v>4</v>
      </c>
      <c r="AP153">
        <v>1</v>
      </c>
      <c r="AQ153">
        <v>0</v>
      </c>
      <c r="AR153" t="s">
        <v>3777</v>
      </c>
      <c r="AS153" t="s">
        <v>64</v>
      </c>
      <c r="AT153">
        <v>5.5330000000000004</v>
      </c>
      <c r="AU153" t="s">
        <v>286</v>
      </c>
      <c r="AV153">
        <v>5</v>
      </c>
      <c r="AW153">
        <v>4</v>
      </c>
      <c r="AX153" t="s">
        <v>3778</v>
      </c>
      <c r="AY153" t="s">
        <v>3779</v>
      </c>
      <c r="AZ153" t="s">
        <v>3780</v>
      </c>
      <c r="BA153">
        <v>0.19932</v>
      </c>
      <c r="BB153">
        <v>0.94599999999999995</v>
      </c>
      <c r="BC153" t="s">
        <v>793</v>
      </c>
      <c r="BD153">
        <v>0.309</v>
      </c>
      <c r="BE153">
        <v>-0.82399999999999995</v>
      </c>
    </row>
    <row r="154" spans="1:57">
      <c r="A154">
        <v>0</v>
      </c>
      <c r="B154">
        <v>0</v>
      </c>
      <c r="C154">
        <v>0</v>
      </c>
      <c r="D154">
        <v>2907</v>
      </c>
      <c r="E154" t="s">
        <v>3781</v>
      </c>
      <c r="F154" t="s">
        <v>5762</v>
      </c>
      <c r="G154" t="s">
        <v>62</v>
      </c>
      <c r="H154">
        <v>2852160</v>
      </c>
      <c r="I154">
        <v>2852600</v>
      </c>
      <c r="J154" t="s">
        <v>3782</v>
      </c>
      <c r="K154">
        <v>147</v>
      </c>
      <c r="L154" t="s">
        <v>59</v>
      </c>
      <c r="M154">
        <v>5</v>
      </c>
      <c r="N154" t="str">
        <f>HYPERLINK("Gene2907-zp_tree_all.dnd", "Gene2907-tree")</f>
        <v>Gene2907-tree</v>
      </c>
      <c r="O154">
        <v>5</v>
      </c>
      <c r="P154">
        <v>0</v>
      </c>
      <c r="Q154">
        <v>5</v>
      </c>
      <c r="R154">
        <v>0</v>
      </c>
      <c r="S154">
        <v>0</v>
      </c>
      <c r="T154" t="s">
        <v>98</v>
      </c>
      <c r="U154" t="s">
        <v>62</v>
      </c>
      <c r="V154" t="s">
        <v>62</v>
      </c>
      <c r="W154" t="s">
        <v>62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5</v>
      </c>
      <c r="AM154">
        <v>2</v>
      </c>
      <c r="AN154">
        <v>15</v>
      </c>
      <c r="AO154">
        <v>0</v>
      </c>
      <c r="AP154">
        <v>12</v>
      </c>
      <c r="AQ154">
        <v>0</v>
      </c>
      <c r="AR154" t="s">
        <v>64</v>
      </c>
      <c r="AS154" t="s">
        <v>64</v>
      </c>
      <c r="AT154">
        <v>0</v>
      </c>
      <c r="AU154" t="s">
        <v>65</v>
      </c>
      <c r="AV154">
        <v>27</v>
      </c>
      <c r="AW154">
        <v>0</v>
      </c>
      <c r="AX154" t="s">
        <v>3783</v>
      </c>
      <c r="AY154" t="s">
        <v>3784</v>
      </c>
      <c r="AZ154" t="s">
        <v>64</v>
      </c>
      <c r="BA154">
        <v>0</v>
      </c>
      <c r="BB154">
        <v>1</v>
      </c>
      <c r="BC154" t="s">
        <v>69</v>
      </c>
      <c r="BD154">
        <v>0.13800000000000001</v>
      </c>
      <c r="BE154">
        <v>0.13800000000000001</v>
      </c>
    </row>
    <row r="155" spans="1:57">
      <c r="A155">
        <v>0</v>
      </c>
      <c r="B155">
        <v>2</v>
      </c>
      <c r="C155">
        <v>0</v>
      </c>
      <c r="D155">
        <v>2908</v>
      </c>
      <c r="E155" t="s">
        <v>3785</v>
      </c>
      <c r="F155" t="s">
        <v>5762</v>
      </c>
      <c r="G155" t="s">
        <v>62</v>
      </c>
      <c r="H155">
        <v>2852664</v>
      </c>
      <c r="I155">
        <v>2853947</v>
      </c>
      <c r="J155" t="s">
        <v>3786</v>
      </c>
      <c r="K155">
        <v>428</v>
      </c>
      <c r="L155" t="s">
        <v>59</v>
      </c>
      <c r="M155">
        <v>5</v>
      </c>
      <c r="N155" t="str">
        <f>HYPERLINK("Gene2908-zp_tree_all.dnd", "Gene2908-tree")</f>
        <v>Gene2908-tree</v>
      </c>
      <c r="O155">
        <v>1</v>
      </c>
      <c r="P155">
        <v>4</v>
      </c>
      <c r="Q155">
        <v>1</v>
      </c>
      <c r="R155">
        <v>4</v>
      </c>
      <c r="S155">
        <v>0.8</v>
      </c>
      <c r="T155" t="s">
        <v>61</v>
      </c>
      <c r="U155" t="s">
        <v>60</v>
      </c>
      <c r="V155" t="s">
        <v>62</v>
      </c>
      <c r="W155" t="s">
        <v>62</v>
      </c>
      <c r="X155">
        <v>1</v>
      </c>
      <c r="Y155">
        <v>2</v>
      </c>
      <c r="Z155">
        <v>8</v>
      </c>
      <c r="AA155">
        <v>0.2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2</v>
      </c>
      <c r="AH155">
        <v>0</v>
      </c>
      <c r="AI155">
        <v>2</v>
      </c>
      <c r="AJ155">
        <v>3</v>
      </c>
      <c r="AK155">
        <v>0.4</v>
      </c>
      <c r="AL155">
        <v>5</v>
      </c>
      <c r="AM155">
        <v>2</v>
      </c>
      <c r="AN155">
        <v>58</v>
      </c>
      <c r="AO155">
        <v>5</v>
      </c>
      <c r="AP155">
        <v>33</v>
      </c>
      <c r="AQ155">
        <v>7</v>
      </c>
      <c r="AR155" t="s">
        <v>3787</v>
      </c>
      <c r="AS155" t="s">
        <v>3788</v>
      </c>
      <c r="AT155">
        <v>2.4860000000000002</v>
      </c>
      <c r="AU155" t="s">
        <v>65</v>
      </c>
      <c r="AV155">
        <v>91</v>
      </c>
      <c r="AW155">
        <v>12</v>
      </c>
      <c r="AX155" t="s">
        <v>3789</v>
      </c>
      <c r="AY155" t="s">
        <v>3790</v>
      </c>
      <c r="AZ155" t="s">
        <v>3791</v>
      </c>
      <c r="BA155">
        <v>4.0809999999999999E-2</v>
      </c>
      <c r="BB155">
        <v>1</v>
      </c>
      <c r="BC155" t="s">
        <v>69</v>
      </c>
      <c r="BD155">
        <v>0.28199999999999997</v>
      </c>
      <c r="BE155">
        <v>6.0999999999999999E-2</v>
      </c>
    </row>
    <row r="156" spans="1:57">
      <c r="A156">
        <v>0</v>
      </c>
      <c r="B156">
        <v>0</v>
      </c>
      <c r="C156">
        <v>0</v>
      </c>
      <c r="D156">
        <v>2909</v>
      </c>
      <c r="E156" t="s">
        <v>3792</v>
      </c>
      <c r="F156" t="s">
        <v>5762</v>
      </c>
      <c r="G156" t="s">
        <v>62</v>
      </c>
      <c r="H156">
        <v>2853984</v>
      </c>
      <c r="I156">
        <v>2854559</v>
      </c>
      <c r="J156" t="s">
        <v>3793</v>
      </c>
      <c r="K156">
        <v>192</v>
      </c>
      <c r="L156" t="s">
        <v>59</v>
      </c>
      <c r="M156">
        <v>5</v>
      </c>
      <c r="N156" t="str">
        <f>HYPERLINK("Gene2909-zp_tree_all.dnd", "Gene2909-tree")</f>
        <v>Gene2909-tree</v>
      </c>
      <c r="O156">
        <v>4</v>
      </c>
      <c r="P156">
        <v>1</v>
      </c>
      <c r="Q156">
        <v>4</v>
      </c>
      <c r="R156">
        <v>1</v>
      </c>
      <c r="S156">
        <v>0.2</v>
      </c>
      <c r="T156" t="s">
        <v>60</v>
      </c>
      <c r="U156" t="s">
        <v>61</v>
      </c>
      <c r="V156" t="s">
        <v>62</v>
      </c>
      <c r="W156" t="s">
        <v>62</v>
      </c>
      <c r="X156">
        <v>0</v>
      </c>
      <c r="Y156">
        <v>0</v>
      </c>
      <c r="Z156">
        <v>2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0</v>
      </c>
      <c r="AL156">
        <v>5</v>
      </c>
      <c r="AM156">
        <v>2</v>
      </c>
      <c r="AN156">
        <v>11</v>
      </c>
      <c r="AO156">
        <v>1</v>
      </c>
      <c r="AP156">
        <v>6</v>
      </c>
      <c r="AQ156">
        <v>1</v>
      </c>
      <c r="AR156" t="s">
        <v>3794</v>
      </c>
      <c r="AS156" t="s">
        <v>3795</v>
      </c>
      <c r="AT156">
        <v>0.34499999999999997</v>
      </c>
      <c r="AU156" t="s">
        <v>65</v>
      </c>
      <c r="AV156">
        <v>17</v>
      </c>
      <c r="AW156">
        <v>2</v>
      </c>
      <c r="AX156" t="s">
        <v>3796</v>
      </c>
      <c r="AY156" t="s">
        <v>3797</v>
      </c>
      <c r="AZ156" t="s">
        <v>3798</v>
      </c>
      <c r="BA156">
        <v>3.116E-2</v>
      </c>
      <c r="BB156">
        <v>1</v>
      </c>
      <c r="BC156" t="s">
        <v>69</v>
      </c>
      <c r="BD156">
        <v>-9.7000000000000003E-2</v>
      </c>
      <c r="BE156">
        <v>-9.7000000000000003E-2</v>
      </c>
    </row>
    <row r="157" spans="1:57">
      <c r="A157">
        <v>0</v>
      </c>
      <c r="B157">
        <v>0</v>
      </c>
      <c r="C157">
        <v>0</v>
      </c>
      <c r="D157">
        <v>2911</v>
      </c>
      <c r="E157" t="s">
        <v>3801</v>
      </c>
      <c r="F157" t="s">
        <v>5762</v>
      </c>
      <c r="G157" t="s">
        <v>62</v>
      </c>
      <c r="H157">
        <v>2855180</v>
      </c>
      <c r="I157">
        <v>2855515</v>
      </c>
      <c r="J157" t="s">
        <v>3802</v>
      </c>
      <c r="K157">
        <v>112</v>
      </c>
      <c r="L157" t="s">
        <v>83</v>
      </c>
      <c r="M157">
        <v>4</v>
      </c>
      <c r="N157" t="str">
        <f>HYPERLINK("Gene2911-zp_tree_all.dnd", "Gene2911-tree")</f>
        <v>Gene2911-tree</v>
      </c>
      <c r="O157">
        <v>2</v>
      </c>
      <c r="P157">
        <v>2</v>
      </c>
      <c r="Q157">
        <v>2</v>
      </c>
      <c r="R157">
        <v>2</v>
      </c>
      <c r="S157">
        <v>0.5</v>
      </c>
      <c r="T157" t="s">
        <v>135</v>
      </c>
      <c r="U157" t="s">
        <v>135</v>
      </c>
      <c r="V157" t="s">
        <v>62</v>
      </c>
      <c r="W157" t="s">
        <v>62</v>
      </c>
      <c r="X157">
        <v>0</v>
      </c>
      <c r="Y157">
        <v>0</v>
      </c>
      <c r="Z157">
        <v>3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3</v>
      </c>
      <c r="AK157">
        <v>0</v>
      </c>
      <c r="AL157">
        <v>3</v>
      </c>
      <c r="AM157">
        <v>1</v>
      </c>
      <c r="AN157">
        <v>9</v>
      </c>
      <c r="AO157">
        <v>3</v>
      </c>
      <c r="AP157">
        <v>2</v>
      </c>
      <c r="AQ157">
        <v>0</v>
      </c>
      <c r="AR157" t="s">
        <v>3803</v>
      </c>
      <c r="AS157" t="s">
        <v>64</v>
      </c>
      <c r="AT157">
        <v>1.917</v>
      </c>
      <c r="AU157" t="s">
        <v>65</v>
      </c>
      <c r="AV157">
        <v>11</v>
      </c>
      <c r="AW157">
        <v>3</v>
      </c>
      <c r="AX157" t="s">
        <v>3804</v>
      </c>
      <c r="AY157" t="s">
        <v>3805</v>
      </c>
      <c r="AZ157" t="s">
        <v>3806</v>
      </c>
      <c r="BA157">
        <v>7.5289999999999996E-2</v>
      </c>
      <c r="BB157">
        <v>1</v>
      </c>
      <c r="BC157" t="s">
        <v>69</v>
      </c>
      <c r="BD157">
        <v>-0.40300000000000002</v>
      </c>
      <c r="BE157">
        <v>-0.40300000000000002</v>
      </c>
    </row>
    <row r="158" spans="1:57">
      <c r="A158">
        <v>0</v>
      </c>
      <c r="B158">
        <v>0</v>
      </c>
      <c r="C158">
        <v>0</v>
      </c>
      <c r="D158">
        <v>2912</v>
      </c>
      <c r="E158" t="s">
        <v>3807</v>
      </c>
      <c r="F158" t="s">
        <v>5762</v>
      </c>
      <c r="G158" t="s">
        <v>62</v>
      </c>
      <c r="H158">
        <v>2855521</v>
      </c>
      <c r="I158">
        <v>2855826</v>
      </c>
      <c r="J158" t="s">
        <v>3808</v>
      </c>
      <c r="K158">
        <v>102</v>
      </c>
      <c r="L158" t="s">
        <v>59</v>
      </c>
      <c r="M158">
        <v>5</v>
      </c>
      <c r="N158" t="str">
        <f>HYPERLINK("Gene2912-zp_tree_all.dnd", "Gene2912-tree")</f>
        <v>Gene2912-tree</v>
      </c>
      <c r="O158">
        <v>0</v>
      </c>
      <c r="P158">
        <v>4</v>
      </c>
      <c r="Q158">
        <v>0</v>
      </c>
      <c r="R158">
        <v>4</v>
      </c>
      <c r="S158">
        <v>1</v>
      </c>
      <c r="T158" t="s">
        <v>62</v>
      </c>
      <c r="U158" t="s">
        <v>60</v>
      </c>
      <c r="V158" t="s">
        <v>62</v>
      </c>
      <c r="W158" t="s">
        <v>62</v>
      </c>
      <c r="X158">
        <v>0</v>
      </c>
      <c r="Y158">
        <v>0</v>
      </c>
      <c r="Z158">
        <v>3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3</v>
      </c>
      <c r="AK158">
        <v>0</v>
      </c>
      <c r="AL158">
        <v>3</v>
      </c>
      <c r="AM158">
        <v>0</v>
      </c>
      <c r="AN158">
        <v>5</v>
      </c>
      <c r="AO158">
        <v>3</v>
      </c>
      <c r="AP158">
        <v>0</v>
      </c>
      <c r="AQ158">
        <v>0</v>
      </c>
      <c r="AR158" t="s">
        <v>3809</v>
      </c>
      <c r="AS158" t="s">
        <v>64</v>
      </c>
      <c r="AT158">
        <v>1.639</v>
      </c>
      <c r="AU158" t="s">
        <v>65</v>
      </c>
      <c r="AV158">
        <v>5</v>
      </c>
      <c r="AW158">
        <v>3</v>
      </c>
      <c r="AX158" t="s">
        <v>3810</v>
      </c>
      <c r="AY158" t="s">
        <v>3811</v>
      </c>
      <c r="AZ158" t="s">
        <v>3812</v>
      </c>
      <c r="BA158">
        <v>0.17363999999999999</v>
      </c>
      <c r="BB158">
        <v>0.96599999999999997</v>
      </c>
      <c r="BC158" t="s">
        <v>69</v>
      </c>
      <c r="BD158">
        <v>-1.1739999999999999</v>
      </c>
      <c r="BE158">
        <v>-1.1739999999999999</v>
      </c>
    </row>
    <row r="159" spans="1:57">
      <c r="A159">
        <v>0</v>
      </c>
      <c r="B159">
        <v>0</v>
      </c>
      <c r="C159">
        <v>0</v>
      </c>
      <c r="D159">
        <v>2915</v>
      </c>
      <c r="E159" t="s">
        <v>3813</v>
      </c>
      <c r="F159" t="s">
        <v>5762</v>
      </c>
      <c r="G159" t="s">
        <v>62</v>
      </c>
      <c r="H159">
        <v>2857779</v>
      </c>
      <c r="I159">
        <v>2858582</v>
      </c>
      <c r="J159" t="s">
        <v>3814</v>
      </c>
      <c r="K159">
        <v>268</v>
      </c>
      <c r="L159" t="s">
        <v>59</v>
      </c>
      <c r="M159">
        <v>5</v>
      </c>
      <c r="N159" t="str">
        <f>HYPERLINK("Gene2915-zp_tree_all.dnd", "Gene2915-tree")</f>
        <v>Gene2915-tree</v>
      </c>
      <c r="O159">
        <v>3</v>
      </c>
      <c r="P159">
        <v>2</v>
      </c>
      <c r="Q159">
        <v>3</v>
      </c>
      <c r="R159">
        <v>2</v>
      </c>
      <c r="S159">
        <v>0.4</v>
      </c>
      <c r="T159" t="s">
        <v>84</v>
      </c>
      <c r="U159" t="s">
        <v>135</v>
      </c>
      <c r="V159" t="s">
        <v>62</v>
      </c>
      <c r="W159" t="s">
        <v>62</v>
      </c>
      <c r="X159">
        <v>0</v>
      </c>
      <c r="Y159">
        <v>0</v>
      </c>
      <c r="Z159">
        <v>6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4</v>
      </c>
      <c r="AK159">
        <v>0</v>
      </c>
      <c r="AL159">
        <v>5</v>
      </c>
      <c r="AM159">
        <v>2</v>
      </c>
      <c r="AN159">
        <v>31</v>
      </c>
      <c r="AO159">
        <v>4</v>
      </c>
      <c r="AP159">
        <v>16</v>
      </c>
      <c r="AQ159">
        <v>2</v>
      </c>
      <c r="AR159" t="s">
        <v>3815</v>
      </c>
      <c r="AS159" t="s">
        <v>3816</v>
      </c>
      <c r="AT159">
        <v>3.9E-2</v>
      </c>
      <c r="AU159" t="s">
        <v>65</v>
      </c>
      <c r="AV159">
        <v>47</v>
      </c>
      <c r="AW159">
        <v>6</v>
      </c>
      <c r="AX159" t="s">
        <v>3817</v>
      </c>
      <c r="AY159" t="s">
        <v>3818</v>
      </c>
      <c r="AZ159" t="s">
        <v>3819</v>
      </c>
      <c r="BA159">
        <v>3.7769999999999998E-2</v>
      </c>
      <c r="BB159">
        <v>1</v>
      </c>
      <c r="BC159" t="s">
        <v>69</v>
      </c>
      <c r="BD159">
        <v>0.41599999999999998</v>
      </c>
      <c r="BE159">
        <v>0.109</v>
      </c>
    </row>
    <row r="160" spans="1:57">
      <c r="A160">
        <v>0</v>
      </c>
      <c r="B160">
        <v>0</v>
      </c>
      <c r="C160">
        <v>0</v>
      </c>
      <c r="D160">
        <v>2916</v>
      </c>
      <c r="E160" t="s">
        <v>3820</v>
      </c>
      <c r="F160" t="s">
        <v>5762</v>
      </c>
      <c r="G160" t="s">
        <v>62</v>
      </c>
      <c r="H160">
        <v>2858587</v>
      </c>
      <c r="I160">
        <v>2859264</v>
      </c>
      <c r="J160" t="s">
        <v>3821</v>
      </c>
      <c r="K160">
        <v>226</v>
      </c>
      <c r="L160" t="s">
        <v>59</v>
      </c>
      <c r="M160">
        <v>5</v>
      </c>
      <c r="N160" t="str">
        <f>HYPERLINK("Gene2916-zp_tree_all.dnd", "Gene2916-tree")</f>
        <v>Gene2916-tree</v>
      </c>
      <c r="O160">
        <v>4</v>
      </c>
      <c r="P160">
        <v>1</v>
      </c>
      <c r="Q160">
        <v>4</v>
      </c>
      <c r="R160">
        <v>1</v>
      </c>
      <c r="S160">
        <v>0.2</v>
      </c>
      <c r="T160" t="s">
        <v>60</v>
      </c>
      <c r="U160" t="s">
        <v>61</v>
      </c>
      <c r="V160" t="s">
        <v>62</v>
      </c>
      <c r="W160" t="s">
        <v>62</v>
      </c>
      <c r="X160">
        <v>0</v>
      </c>
      <c r="Y160">
        <v>0</v>
      </c>
      <c r="Z160">
        <v>5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5</v>
      </c>
      <c r="AM160">
        <v>2</v>
      </c>
      <c r="AN160">
        <v>14</v>
      </c>
      <c r="AO160">
        <v>1</v>
      </c>
      <c r="AP160">
        <v>12</v>
      </c>
      <c r="AQ160">
        <v>4</v>
      </c>
      <c r="AR160" t="s">
        <v>3822</v>
      </c>
      <c r="AS160" t="s">
        <v>3823</v>
      </c>
      <c r="AT160">
        <v>0.79700000000000004</v>
      </c>
      <c r="AU160" t="s">
        <v>65</v>
      </c>
      <c r="AV160">
        <v>26</v>
      </c>
      <c r="AW160">
        <v>5</v>
      </c>
      <c r="AX160" t="s">
        <v>3824</v>
      </c>
      <c r="AY160" t="s">
        <v>3825</v>
      </c>
      <c r="AZ160" t="s">
        <v>3826</v>
      </c>
      <c r="BA160">
        <v>6.1809999999999997E-2</v>
      </c>
      <c r="BB160">
        <v>1</v>
      </c>
      <c r="BC160" t="s">
        <v>69</v>
      </c>
      <c r="BD160">
        <v>0.68700000000000006</v>
      </c>
      <c r="BE160">
        <v>0.47199999999999998</v>
      </c>
    </row>
    <row r="161" spans="1:57">
      <c r="A161">
        <v>0</v>
      </c>
      <c r="B161">
        <v>0</v>
      </c>
      <c r="C161">
        <v>0</v>
      </c>
      <c r="D161">
        <v>2918</v>
      </c>
      <c r="E161" t="s">
        <v>3827</v>
      </c>
      <c r="F161" t="s">
        <v>5762</v>
      </c>
      <c r="G161" t="s">
        <v>62</v>
      </c>
      <c r="H161">
        <v>2859835</v>
      </c>
      <c r="I161">
        <v>2860704</v>
      </c>
      <c r="J161" t="s">
        <v>3828</v>
      </c>
      <c r="K161">
        <v>290</v>
      </c>
      <c r="L161" t="s">
        <v>59</v>
      </c>
      <c r="M161">
        <v>5</v>
      </c>
      <c r="N161" t="str">
        <f>HYPERLINK("Gene2918-zp_tree_all.dnd", "Gene2918-tree")</f>
        <v>Gene2918-tree</v>
      </c>
      <c r="O161">
        <v>5</v>
      </c>
      <c r="P161">
        <v>0</v>
      </c>
      <c r="Q161">
        <v>5</v>
      </c>
      <c r="R161">
        <v>0</v>
      </c>
      <c r="S161">
        <v>0</v>
      </c>
      <c r="T161" t="s">
        <v>98</v>
      </c>
      <c r="U161" t="s">
        <v>62</v>
      </c>
      <c r="V161" t="s">
        <v>62</v>
      </c>
      <c r="W161" t="s">
        <v>62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4</v>
      </c>
      <c r="AM161">
        <v>2</v>
      </c>
      <c r="AN161">
        <v>22</v>
      </c>
      <c r="AO161">
        <v>0</v>
      </c>
      <c r="AP161">
        <v>21</v>
      </c>
      <c r="AQ161">
        <v>1</v>
      </c>
      <c r="AR161" t="s">
        <v>64</v>
      </c>
      <c r="AS161" t="s">
        <v>3829</v>
      </c>
      <c r="AT161">
        <v>1.097</v>
      </c>
      <c r="AU161" t="s">
        <v>65</v>
      </c>
      <c r="AV161">
        <v>43</v>
      </c>
      <c r="AW161">
        <v>1</v>
      </c>
      <c r="AX161" t="s">
        <v>3830</v>
      </c>
      <c r="AY161" t="s">
        <v>3831</v>
      </c>
      <c r="AZ161" t="s">
        <v>3832</v>
      </c>
      <c r="BA161">
        <v>7.6499999999999997E-3</v>
      </c>
      <c r="BB161">
        <v>1</v>
      </c>
      <c r="BC161" t="s">
        <v>69</v>
      </c>
      <c r="BD161">
        <v>0.42599999999999999</v>
      </c>
      <c r="BE161">
        <v>0.23899999999999999</v>
      </c>
    </row>
    <row r="162" spans="1:57">
      <c r="A162">
        <v>0</v>
      </c>
      <c r="B162">
        <v>0</v>
      </c>
      <c r="C162">
        <v>0</v>
      </c>
      <c r="D162">
        <v>2919</v>
      </c>
      <c r="E162" t="s">
        <v>3833</v>
      </c>
      <c r="F162" t="s">
        <v>5762</v>
      </c>
      <c r="G162" t="s">
        <v>62</v>
      </c>
      <c r="H162">
        <v>2860738</v>
      </c>
      <c r="I162">
        <v>2861748</v>
      </c>
      <c r="J162" t="s">
        <v>3828</v>
      </c>
      <c r="K162">
        <v>337</v>
      </c>
      <c r="L162" t="s">
        <v>59</v>
      </c>
      <c r="M162">
        <v>5</v>
      </c>
      <c r="N162" t="str">
        <f>HYPERLINK("Gene2919-zp_tree_all.dnd", "Gene2919-tree")</f>
        <v>Gene2919-tree</v>
      </c>
      <c r="O162">
        <v>4</v>
      </c>
      <c r="P162">
        <v>1</v>
      </c>
      <c r="Q162">
        <v>4</v>
      </c>
      <c r="R162">
        <v>1</v>
      </c>
      <c r="S162">
        <v>0.2</v>
      </c>
      <c r="T162" t="s">
        <v>60</v>
      </c>
      <c r="U162" t="s">
        <v>61</v>
      </c>
      <c r="V162" t="s">
        <v>62</v>
      </c>
      <c r="W162" t="s">
        <v>62</v>
      </c>
      <c r="X162">
        <v>0</v>
      </c>
      <c r="Y162">
        <v>0</v>
      </c>
      <c r="Z162">
        <v>2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</v>
      </c>
      <c r="AK162">
        <v>0</v>
      </c>
      <c r="AL162">
        <v>5</v>
      </c>
      <c r="AM162">
        <v>2</v>
      </c>
      <c r="AN162">
        <v>27</v>
      </c>
      <c r="AO162">
        <v>1</v>
      </c>
      <c r="AP162">
        <v>40</v>
      </c>
      <c r="AQ162">
        <v>2</v>
      </c>
      <c r="AR162" t="s">
        <v>3834</v>
      </c>
      <c r="AS162" t="s">
        <v>3835</v>
      </c>
      <c r="AT162">
        <v>0.10100000000000001</v>
      </c>
      <c r="AU162" t="s">
        <v>65</v>
      </c>
      <c r="AV162">
        <v>67</v>
      </c>
      <c r="AW162">
        <v>3</v>
      </c>
      <c r="AX162" t="s">
        <v>3836</v>
      </c>
      <c r="AY162" t="s">
        <v>3837</v>
      </c>
      <c r="AZ162" t="s">
        <v>3838</v>
      </c>
      <c r="BA162">
        <v>1.302E-2</v>
      </c>
      <c r="BB162">
        <v>1</v>
      </c>
      <c r="BC162" t="s">
        <v>69</v>
      </c>
      <c r="BD162">
        <v>0.70399999999999996</v>
      </c>
      <c r="BE162">
        <v>0.61299999999999999</v>
      </c>
    </row>
    <row r="163" spans="1:57">
      <c r="A163">
        <v>0</v>
      </c>
      <c r="B163">
        <v>0</v>
      </c>
      <c r="C163">
        <v>0</v>
      </c>
      <c r="D163">
        <v>2920</v>
      </c>
      <c r="E163" t="s">
        <v>3839</v>
      </c>
      <c r="F163" t="s">
        <v>5762</v>
      </c>
      <c r="G163" t="s">
        <v>62</v>
      </c>
      <c r="H163">
        <v>2861843</v>
      </c>
      <c r="I163">
        <v>2862535</v>
      </c>
      <c r="J163" t="s">
        <v>3840</v>
      </c>
      <c r="K163">
        <v>231</v>
      </c>
      <c r="L163" t="s">
        <v>112</v>
      </c>
      <c r="M163">
        <v>4</v>
      </c>
      <c r="N163" t="str">
        <f>HYPERLINK("Gene2920-zp_tree_all.dnd", "Gene2920-tree")</f>
        <v>Gene2920-tree</v>
      </c>
      <c r="O163">
        <v>2</v>
      </c>
      <c r="P163">
        <v>2</v>
      </c>
      <c r="Q163">
        <v>2</v>
      </c>
      <c r="R163">
        <v>2</v>
      </c>
      <c r="S163">
        <v>0.5</v>
      </c>
      <c r="T163" t="s">
        <v>135</v>
      </c>
      <c r="U163" t="s">
        <v>135</v>
      </c>
      <c r="V163" t="s">
        <v>62</v>
      </c>
      <c r="W163" t="s">
        <v>62</v>
      </c>
      <c r="X163">
        <v>0</v>
      </c>
      <c r="Y163">
        <v>0</v>
      </c>
      <c r="Z163">
        <v>7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7</v>
      </c>
      <c r="AK163">
        <v>0</v>
      </c>
      <c r="AL163">
        <v>4</v>
      </c>
      <c r="AM163">
        <v>0</v>
      </c>
      <c r="AN163">
        <v>32</v>
      </c>
      <c r="AO163">
        <v>7</v>
      </c>
      <c r="AP163">
        <v>0</v>
      </c>
      <c r="AQ163">
        <v>0</v>
      </c>
      <c r="AR163" t="s">
        <v>3841</v>
      </c>
      <c r="AS163" t="s">
        <v>64</v>
      </c>
      <c r="AT163">
        <v>0.52200000000000002</v>
      </c>
      <c r="AU163" t="s">
        <v>65</v>
      </c>
      <c r="AV163">
        <v>32</v>
      </c>
      <c r="AW163">
        <v>7</v>
      </c>
      <c r="AX163" t="s">
        <v>3842</v>
      </c>
      <c r="AY163" t="s">
        <v>3843</v>
      </c>
      <c r="AZ163" t="s">
        <v>3844</v>
      </c>
      <c r="BA163">
        <v>5.987E-2</v>
      </c>
      <c r="BB163">
        <v>1</v>
      </c>
      <c r="BC163" t="s">
        <v>69</v>
      </c>
      <c r="BD163">
        <v>-0.52200000000000002</v>
      </c>
      <c r="BE163">
        <v>-1.036</v>
      </c>
    </row>
    <row r="164" spans="1:57">
      <c r="A164">
        <v>0</v>
      </c>
      <c r="B164">
        <v>0</v>
      </c>
      <c r="C164">
        <v>0</v>
      </c>
      <c r="D164">
        <v>2921</v>
      </c>
      <c r="E164" t="s">
        <v>3845</v>
      </c>
      <c r="F164" t="s">
        <v>5762</v>
      </c>
      <c r="G164" t="s">
        <v>62</v>
      </c>
      <c r="H164">
        <v>2862575</v>
      </c>
      <c r="I164">
        <v>2863141</v>
      </c>
      <c r="J164" t="s">
        <v>3846</v>
      </c>
      <c r="K164">
        <v>189</v>
      </c>
      <c r="L164" t="s">
        <v>59</v>
      </c>
      <c r="M164">
        <v>5</v>
      </c>
      <c r="N164" t="str">
        <f>HYPERLINK("Gene2921-zp_tree_all.dnd", "Gene2921-tree")</f>
        <v>Gene2921-tree</v>
      </c>
      <c r="O164">
        <v>3</v>
      </c>
      <c r="P164">
        <v>2</v>
      </c>
      <c r="Q164">
        <v>3</v>
      </c>
      <c r="R164">
        <v>2</v>
      </c>
      <c r="S164">
        <v>0.4</v>
      </c>
      <c r="T164" t="s">
        <v>84</v>
      </c>
      <c r="U164" t="s">
        <v>135</v>
      </c>
      <c r="V164" t="s">
        <v>62</v>
      </c>
      <c r="W164" t="s">
        <v>62</v>
      </c>
      <c r="X164">
        <v>0</v>
      </c>
      <c r="Y164">
        <v>0</v>
      </c>
      <c r="Z164">
        <v>11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6</v>
      </c>
      <c r="AK164">
        <v>0</v>
      </c>
      <c r="AL164">
        <v>5</v>
      </c>
      <c r="AM164">
        <v>2</v>
      </c>
      <c r="AN164">
        <v>8</v>
      </c>
      <c r="AO164">
        <v>6</v>
      </c>
      <c r="AP164">
        <v>16</v>
      </c>
      <c r="AQ164">
        <v>5</v>
      </c>
      <c r="AR164" t="s">
        <v>3847</v>
      </c>
      <c r="AS164" t="s">
        <v>3848</v>
      </c>
      <c r="AT164">
        <v>0.44400000000000001</v>
      </c>
      <c r="AU164" t="s">
        <v>65</v>
      </c>
      <c r="AV164">
        <v>24</v>
      </c>
      <c r="AW164">
        <v>11</v>
      </c>
      <c r="AX164" t="s">
        <v>3849</v>
      </c>
      <c r="AY164" t="s">
        <v>3850</v>
      </c>
      <c r="AZ164" t="s">
        <v>3851</v>
      </c>
      <c r="BA164">
        <v>0.1178</v>
      </c>
      <c r="BB164">
        <v>1</v>
      </c>
      <c r="BC164" t="s">
        <v>69</v>
      </c>
      <c r="BD164">
        <v>0.68</v>
      </c>
      <c r="BE164">
        <v>0.496</v>
      </c>
    </row>
    <row r="165" spans="1:57">
      <c r="A165">
        <v>0</v>
      </c>
      <c r="B165">
        <v>0</v>
      </c>
      <c r="C165">
        <v>2</v>
      </c>
      <c r="D165">
        <v>2930</v>
      </c>
      <c r="E165" t="s">
        <v>3853</v>
      </c>
      <c r="F165" t="s">
        <v>5762</v>
      </c>
      <c r="G165" t="s">
        <v>62</v>
      </c>
      <c r="H165">
        <v>2874205</v>
      </c>
      <c r="I165">
        <v>2875176</v>
      </c>
      <c r="J165" t="s">
        <v>3854</v>
      </c>
      <c r="K165">
        <v>324</v>
      </c>
      <c r="L165" t="s">
        <v>83</v>
      </c>
      <c r="M165">
        <v>4</v>
      </c>
      <c r="N165" t="str">
        <f>HYPERLINK("Gene2930-zp_tree_all.dnd", "Gene2930-tree")</f>
        <v>Gene2930-tree</v>
      </c>
      <c r="O165">
        <v>1</v>
      </c>
      <c r="P165">
        <v>3</v>
      </c>
      <c r="Q165">
        <v>1</v>
      </c>
      <c r="R165">
        <v>3</v>
      </c>
      <c r="S165">
        <v>0.75</v>
      </c>
      <c r="T165" t="s">
        <v>61</v>
      </c>
      <c r="U165" t="s">
        <v>84</v>
      </c>
      <c r="V165" t="s">
        <v>62</v>
      </c>
      <c r="W165" t="s">
        <v>62</v>
      </c>
      <c r="X165">
        <v>1</v>
      </c>
      <c r="Y165">
        <v>2</v>
      </c>
      <c r="Z165">
        <v>4</v>
      </c>
      <c r="AA165">
        <v>0.33333000000000002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2</v>
      </c>
      <c r="AI165">
        <v>2</v>
      </c>
      <c r="AJ165">
        <v>4</v>
      </c>
      <c r="AK165">
        <v>0.33333000000000002</v>
      </c>
      <c r="AL165">
        <v>4</v>
      </c>
      <c r="AM165">
        <v>1</v>
      </c>
      <c r="AN165">
        <v>44</v>
      </c>
      <c r="AO165">
        <v>6</v>
      </c>
      <c r="AP165">
        <v>3</v>
      </c>
      <c r="AQ165">
        <v>0</v>
      </c>
      <c r="AR165" t="s">
        <v>3855</v>
      </c>
      <c r="AS165" t="s">
        <v>64</v>
      </c>
      <c r="AT165">
        <v>1.0640000000000001</v>
      </c>
      <c r="AU165" t="s">
        <v>65</v>
      </c>
      <c r="AV165">
        <v>47</v>
      </c>
      <c r="AW165">
        <v>6</v>
      </c>
      <c r="AX165" t="s">
        <v>3856</v>
      </c>
      <c r="AY165" t="s">
        <v>3857</v>
      </c>
      <c r="AZ165" t="s">
        <v>3858</v>
      </c>
      <c r="BA165">
        <v>3.3210000000000003E-2</v>
      </c>
      <c r="BB165">
        <v>1</v>
      </c>
      <c r="BC165" t="s">
        <v>69</v>
      </c>
      <c r="BD165">
        <v>-0.49299999999999999</v>
      </c>
      <c r="BE165">
        <v>-0.68</v>
      </c>
    </row>
    <row r="166" spans="1:57">
      <c r="A166">
        <v>0</v>
      </c>
      <c r="B166">
        <v>0</v>
      </c>
      <c r="C166">
        <v>0</v>
      </c>
      <c r="D166">
        <v>2933</v>
      </c>
      <c r="E166" t="s">
        <v>3859</v>
      </c>
      <c r="F166" t="s">
        <v>5762</v>
      </c>
      <c r="G166" t="s">
        <v>62</v>
      </c>
      <c r="H166">
        <v>2876931</v>
      </c>
      <c r="I166">
        <v>2877758</v>
      </c>
      <c r="J166" t="s">
        <v>3860</v>
      </c>
      <c r="K166">
        <v>276</v>
      </c>
      <c r="L166" t="s">
        <v>59</v>
      </c>
      <c r="M166">
        <v>5</v>
      </c>
      <c r="N166" t="str">
        <f>HYPERLINK("Gene2933-zp_tree_all.dnd", "Gene2933-tree")</f>
        <v>Gene2933-tree</v>
      </c>
      <c r="O166">
        <v>5</v>
      </c>
      <c r="P166">
        <v>0</v>
      </c>
      <c r="Q166">
        <v>5</v>
      </c>
      <c r="R166">
        <v>0</v>
      </c>
      <c r="S166">
        <v>0</v>
      </c>
      <c r="T166" t="s">
        <v>98</v>
      </c>
      <c r="U166" t="s">
        <v>62</v>
      </c>
      <c r="V166" t="s">
        <v>62</v>
      </c>
      <c r="W166" t="s">
        <v>62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5</v>
      </c>
      <c r="AM166">
        <v>2</v>
      </c>
      <c r="AN166">
        <v>20</v>
      </c>
      <c r="AO166">
        <v>0</v>
      </c>
      <c r="AP166">
        <v>23</v>
      </c>
      <c r="AQ166">
        <v>0</v>
      </c>
      <c r="AR166" t="s">
        <v>64</v>
      </c>
      <c r="AS166" t="s">
        <v>64</v>
      </c>
      <c r="AT166">
        <v>0</v>
      </c>
      <c r="AU166" t="s">
        <v>65</v>
      </c>
      <c r="AV166">
        <v>43</v>
      </c>
      <c r="AW166">
        <v>0</v>
      </c>
      <c r="AX166" t="s">
        <v>3861</v>
      </c>
      <c r="AY166" t="s">
        <v>3862</v>
      </c>
      <c r="AZ166" t="s">
        <v>64</v>
      </c>
      <c r="BA166">
        <v>0</v>
      </c>
      <c r="BB166">
        <v>1</v>
      </c>
      <c r="BC166" t="s">
        <v>69</v>
      </c>
      <c r="BD166">
        <v>0.78300000000000003</v>
      </c>
      <c r="BE166">
        <v>0.627</v>
      </c>
    </row>
    <row r="167" spans="1:57">
      <c r="A167">
        <v>0</v>
      </c>
      <c r="B167">
        <v>0</v>
      </c>
      <c r="C167">
        <v>2</v>
      </c>
      <c r="D167">
        <v>2934</v>
      </c>
      <c r="E167" t="s">
        <v>3863</v>
      </c>
      <c r="F167" t="s">
        <v>5762</v>
      </c>
      <c r="G167" t="s">
        <v>62</v>
      </c>
      <c r="H167">
        <v>2877769</v>
      </c>
      <c r="I167">
        <v>2879133</v>
      </c>
      <c r="J167" t="s">
        <v>3864</v>
      </c>
      <c r="K167">
        <v>455</v>
      </c>
      <c r="L167" t="s">
        <v>59</v>
      </c>
      <c r="M167">
        <v>5</v>
      </c>
      <c r="N167" t="str">
        <f>HYPERLINK("Gene2934-zp_tree_all.dnd", "Gene2934-tree")</f>
        <v>Gene2934-tree</v>
      </c>
      <c r="O167">
        <v>2</v>
      </c>
      <c r="P167">
        <v>3</v>
      </c>
      <c r="Q167">
        <v>2</v>
      </c>
      <c r="R167">
        <v>3</v>
      </c>
      <c r="S167">
        <v>0.6</v>
      </c>
      <c r="T167" t="s">
        <v>135</v>
      </c>
      <c r="U167" t="s">
        <v>84</v>
      </c>
      <c r="V167" t="s">
        <v>62</v>
      </c>
      <c r="W167" t="s">
        <v>62</v>
      </c>
      <c r="X167">
        <v>1</v>
      </c>
      <c r="Y167">
        <v>2</v>
      </c>
      <c r="Z167">
        <v>5</v>
      </c>
      <c r="AA167">
        <v>0.28571000000000002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4</v>
      </c>
      <c r="AK167">
        <v>0</v>
      </c>
      <c r="AL167">
        <v>5</v>
      </c>
      <c r="AM167">
        <v>2</v>
      </c>
      <c r="AN167">
        <v>35</v>
      </c>
      <c r="AO167">
        <v>4</v>
      </c>
      <c r="AP167">
        <v>48</v>
      </c>
      <c r="AQ167">
        <v>4</v>
      </c>
      <c r="AR167" t="s">
        <v>3865</v>
      </c>
      <c r="AS167" t="s">
        <v>3866</v>
      </c>
      <c r="AT167">
        <v>0.33900000000000002</v>
      </c>
      <c r="AU167" t="s">
        <v>65</v>
      </c>
      <c r="AV167">
        <v>83</v>
      </c>
      <c r="AW167">
        <v>8</v>
      </c>
      <c r="AX167" t="s">
        <v>3867</v>
      </c>
      <c r="AY167" t="s">
        <v>3868</v>
      </c>
      <c r="AZ167" t="s">
        <v>3869</v>
      </c>
      <c r="BA167">
        <v>2.4490000000000001E-2</v>
      </c>
      <c r="BB167">
        <v>1</v>
      </c>
      <c r="BC167" t="s">
        <v>69</v>
      </c>
      <c r="BD167">
        <v>0.92600000000000005</v>
      </c>
      <c r="BE167">
        <v>0.41099999999999998</v>
      </c>
    </row>
    <row r="168" spans="1:57">
      <c r="A168">
        <v>0</v>
      </c>
      <c r="B168">
        <v>0</v>
      </c>
      <c r="C168">
        <v>0</v>
      </c>
      <c r="D168">
        <v>2939</v>
      </c>
      <c r="E168" t="s">
        <v>3870</v>
      </c>
      <c r="F168" t="s">
        <v>5762</v>
      </c>
      <c r="G168" t="s">
        <v>62</v>
      </c>
      <c r="H168">
        <v>2884784</v>
      </c>
      <c r="I168">
        <v>2886043</v>
      </c>
      <c r="J168" t="s">
        <v>3871</v>
      </c>
      <c r="K168">
        <v>420</v>
      </c>
      <c r="L168" t="s">
        <v>59</v>
      </c>
      <c r="M168">
        <v>5</v>
      </c>
      <c r="N168" t="str">
        <f>HYPERLINK("Gene2939-zp_tree_all.dnd", "Gene2939-tree")</f>
        <v>Gene2939-tree</v>
      </c>
      <c r="O168">
        <v>5</v>
      </c>
      <c r="P168">
        <v>0</v>
      </c>
      <c r="Q168">
        <v>5</v>
      </c>
      <c r="R168">
        <v>0</v>
      </c>
      <c r="S168">
        <v>0</v>
      </c>
      <c r="T168" t="s">
        <v>98</v>
      </c>
      <c r="U168" t="s">
        <v>62</v>
      </c>
      <c r="V168" t="s">
        <v>62</v>
      </c>
      <c r="W168" t="s">
        <v>62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5</v>
      </c>
      <c r="AM168">
        <v>2</v>
      </c>
      <c r="AN168">
        <v>25</v>
      </c>
      <c r="AO168">
        <v>0</v>
      </c>
      <c r="AP168">
        <v>36</v>
      </c>
      <c r="AQ168">
        <v>1</v>
      </c>
      <c r="AR168" t="s">
        <v>64</v>
      </c>
      <c r="AS168" t="s">
        <v>3872</v>
      </c>
      <c r="AT168">
        <v>0.74399999999999999</v>
      </c>
      <c r="AU168" t="s">
        <v>65</v>
      </c>
      <c r="AV168">
        <v>61</v>
      </c>
      <c r="AW168">
        <v>1</v>
      </c>
      <c r="AX168" t="s">
        <v>3873</v>
      </c>
      <c r="AY168" t="s">
        <v>3874</v>
      </c>
      <c r="AZ168" t="s">
        <v>3875</v>
      </c>
      <c r="BA168">
        <v>5.0600000000000003E-3</v>
      </c>
      <c r="BB168">
        <v>1</v>
      </c>
      <c r="BC168" t="s">
        <v>69</v>
      </c>
      <c r="BD168">
        <v>0.73499999999999999</v>
      </c>
      <c r="BE168">
        <v>0.47299999999999998</v>
      </c>
    </row>
    <row r="169" spans="1:57">
      <c r="A169">
        <v>0</v>
      </c>
      <c r="B169">
        <v>0</v>
      </c>
      <c r="C169">
        <v>0</v>
      </c>
      <c r="D169">
        <v>2940</v>
      </c>
      <c r="E169" t="s">
        <v>3876</v>
      </c>
      <c r="F169" t="s">
        <v>5762</v>
      </c>
      <c r="G169" t="s">
        <v>62</v>
      </c>
      <c r="H169">
        <v>2886318</v>
      </c>
      <c r="I169">
        <v>2887589</v>
      </c>
      <c r="J169" t="s">
        <v>3877</v>
      </c>
      <c r="K169">
        <v>424</v>
      </c>
      <c r="L169" t="s">
        <v>59</v>
      </c>
      <c r="M169">
        <v>5</v>
      </c>
      <c r="N169" t="str">
        <f>HYPERLINK("Gene2940-zp_tree_all.dnd", "Gene2940-tree")</f>
        <v>Gene2940-tree</v>
      </c>
      <c r="O169">
        <v>2</v>
      </c>
      <c r="P169">
        <v>3</v>
      </c>
      <c r="Q169">
        <v>2</v>
      </c>
      <c r="R169">
        <v>3</v>
      </c>
      <c r="S169">
        <v>0.6</v>
      </c>
      <c r="T169" t="s">
        <v>135</v>
      </c>
      <c r="U169" t="s">
        <v>84</v>
      </c>
      <c r="V169" t="s">
        <v>62</v>
      </c>
      <c r="W169" t="s">
        <v>62</v>
      </c>
      <c r="X169">
        <v>0</v>
      </c>
      <c r="Y169">
        <v>0</v>
      </c>
      <c r="Z169">
        <v>9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7</v>
      </c>
      <c r="AK169">
        <v>0</v>
      </c>
      <c r="AL169">
        <v>5</v>
      </c>
      <c r="AM169">
        <v>2</v>
      </c>
      <c r="AN169">
        <v>41</v>
      </c>
      <c r="AO169">
        <v>7</v>
      </c>
      <c r="AP169">
        <v>10</v>
      </c>
      <c r="AQ169">
        <v>3</v>
      </c>
      <c r="AR169" t="s">
        <v>3878</v>
      </c>
      <c r="AS169" t="s">
        <v>3879</v>
      </c>
      <c r="AT169">
        <v>0.93300000000000005</v>
      </c>
      <c r="AU169" t="s">
        <v>65</v>
      </c>
      <c r="AV169">
        <v>51</v>
      </c>
      <c r="AW169">
        <v>10</v>
      </c>
      <c r="AX169" t="s">
        <v>3880</v>
      </c>
      <c r="AY169" t="s">
        <v>3881</v>
      </c>
      <c r="AZ169" t="s">
        <v>3882</v>
      </c>
      <c r="BA169">
        <v>5.8549999999999998E-2</v>
      </c>
      <c r="BB169">
        <v>1</v>
      </c>
      <c r="BC169" t="s">
        <v>69</v>
      </c>
      <c r="BD169">
        <v>-0.152</v>
      </c>
      <c r="BE169">
        <v>-0.26800000000000002</v>
      </c>
    </row>
    <row r="170" spans="1:57">
      <c r="A170">
        <v>0</v>
      </c>
      <c r="B170">
        <v>0</v>
      </c>
      <c r="C170">
        <v>0</v>
      </c>
      <c r="D170">
        <v>2942</v>
      </c>
      <c r="E170" t="s">
        <v>3883</v>
      </c>
      <c r="F170" t="s">
        <v>5762</v>
      </c>
      <c r="G170" t="s">
        <v>62</v>
      </c>
      <c r="H170">
        <v>2888943</v>
      </c>
      <c r="I170">
        <v>2889539</v>
      </c>
      <c r="J170" t="s">
        <v>3884</v>
      </c>
      <c r="K170">
        <v>199</v>
      </c>
      <c r="L170" t="s">
        <v>83</v>
      </c>
      <c r="M170">
        <v>4</v>
      </c>
      <c r="N170" t="str">
        <f>HYPERLINK("Gene2942-zp_tree_all.dnd", "Gene2942-tree")</f>
        <v>Gene2942-tree</v>
      </c>
      <c r="O170">
        <v>1</v>
      </c>
      <c r="P170">
        <v>3</v>
      </c>
      <c r="Q170">
        <v>1</v>
      </c>
      <c r="R170">
        <v>3</v>
      </c>
      <c r="S170">
        <v>0.75</v>
      </c>
      <c r="T170" t="s">
        <v>61</v>
      </c>
      <c r="U170" t="s">
        <v>84</v>
      </c>
      <c r="V170" t="s">
        <v>62</v>
      </c>
      <c r="W170" t="s">
        <v>62</v>
      </c>
      <c r="X170">
        <v>0</v>
      </c>
      <c r="Y170">
        <v>0</v>
      </c>
      <c r="Z170">
        <v>9</v>
      </c>
      <c r="AA170">
        <v>0</v>
      </c>
      <c r="AB170">
        <v>0</v>
      </c>
      <c r="AC170">
        <v>0</v>
      </c>
      <c r="AD170">
        <v>0</v>
      </c>
      <c r="AE170">
        <v>1</v>
      </c>
      <c r="AF170">
        <v>0</v>
      </c>
      <c r="AG170">
        <v>0</v>
      </c>
      <c r="AH170">
        <v>0</v>
      </c>
      <c r="AI170">
        <v>0</v>
      </c>
      <c r="AJ170">
        <v>8</v>
      </c>
      <c r="AK170">
        <v>0</v>
      </c>
      <c r="AL170">
        <v>4</v>
      </c>
      <c r="AM170">
        <v>1</v>
      </c>
      <c r="AN170">
        <v>29</v>
      </c>
      <c r="AO170">
        <v>8</v>
      </c>
      <c r="AP170">
        <v>2</v>
      </c>
      <c r="AQ170">
        <v>1</v>
      </c>
      <c r="AR170" t="s">
        <v>3885</v>
      </c>
      <c r="AS170" t="s">
        <v>3886</v>
      </c>
      <c r="AT170">
        <v>0.873</v>
      </c>
      <c r="AU170" t="s">
        <v>65</v>
      </c>
      <c r="AV170">
        <v>31</v>
      </c>
      <c r="AW170">
        <v>9</v>
      </c>
      <c r="AX170" t="s">
        <v>3887</v>
      </c>
      <c r="AY170" t="s">
        <v>3888</v>
      </c>
      <c r="AZ170" t="s">
        <v>3889</v>
      </c>
      <c r="BA170">
        <v>7.4550000000000005E-2</v>
      </c>
      <c r="BB170">
        <v>1</v>
      </c>
      <c r="BC170" t="s">
        <v>69</v>
      </c>
      <c r="BD170">
        <v>-0.16</v>
      </c>
      <c r="BE170">
        <v>-0.68799999999999994</v>
      </c>
    </row>
    <row r="171" spans="1:57">
      <c r="A171">
        <v>0</v>
      </c>
      <c r="B171">
        <v>0</v>
      </c>
      <c r="C171">
        <v>2</v>
      </c>
      <c r="D171">
        <v>2943</v>
      </c>
      <c r="E171" t="s">
        <v>3890</v>
      </c>
      <c r="F171" t="s">
        <v>5762</v>
      </c>
      <c r="G171" t="s">
        <v>62</v>
      </c>
      <c r="H171">
        <v>2889555</v>
      </c>
      <c r="I171">
        <v>2890970</v>
      </c>
      <c r="J171" t="s">
        <v>3891</v>
      </c>
      <c r="K171">
        <v>472</v>
      </c>
      <c r="L171" t="s">
        <v>59</v>
      </c>
      <c r="M171">
        <v>5</v>
      </c>
      <c r="N171" t="str">
        <f>HYPERLINK("Gene2943-zp_tree_all.dnd", "Gene2943-tree")</f>
        <v>Gene2943-tree</v>
      </c>
      <c r="O171">
        <v>2</v>
      </c>
      <c r="P171">
        <v>3</v>
      </c>
      <c r="Q171">
        <v>2</v>
      </c>
      <c r="R171">
        <v>3</v>
      </c>
      <c r="S171">
        <v>0.6</v>
      </c>
      <c r="T171" t="s">
        <v>135</v>
      </c>
      <c r="U171" t="s">
        <v>84</v>
      </c>
      <c r="V171" t="s">
        <v>62</v>
      </c>
      <c r="W171" t="s">
        <v>62</v>
      </c>
      <c r="X171">
        <v>1</v>
      </c>
      <c r="Y171">
        <v>2</v>
      </c>
      <c r="Z171">
        <v>7</v>
      </c>
      <c r="AA171">
        <v>0.22222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7</v>
      </c>
      <c r="AK171">
        <v>0</v>
      </c>
      <c r="AL171">
        <v>5</v>
      </c>
      <c r="AM171">
        <v>2</v>
      </c>
      <c r="AN171">
        <v>42</v>
      </c>
      <c r="AO171">
        <v>7</v>
      </c>
      <c r="AP171">
        <v>48</v>
      </c>
      <c r="AQ171">
        <v>2</v>
      </c>
      <c r="AR171" t="s">
        <v>3892</v>
      </c>
      <c r="AS171" t="s">
        <v>3893</v>
      </c>
      <c r="AT171">
        <v>1.0960000000000001</v>
      </c>
      <c r="AU171" t="s">
        <v>65</v>
      </c>
      <c r="AV171">
        <v>90</v>
      </c>
      <c r="AW171">
        <v>9</v>
      </c>
      <c r="AX171" t="s">
        <v>3894</v>
      </c>
      <c r="AY171" t="s">
        <v>3895</v>
      </c>
      <c r="AZ171" t="s">
        <v>3896</v>
      </c>
      <c r="BA171">
        <v>2.3140000000000001E-2</v>
      </c>
      <c r="BB171">
        <v>1</v>
      </c>
      <c r="BC171" t="s">
        <v>69</v>
      </c>
      <c r="BD171">
        <v>0.67800000000000005</v>
      </c>
      <c r="BE171">
        <v>0.35099999999999998</v>
      </c>
    </row>
    <row r="172" spans="1:57">
      <c r="A172">
        <v>0</v>
      </c>
      <c r="B172">
        <v>0</v>
      </c>
      <c r="C172">
        <v>0</v>
      </c>
      <c r="D172">
        <v>2946</v>
      </c>
      <c r="E172" t="s">
        <v>3897</v>
      </c>
      <c r="F172" t="s">
        <v>5762</v>
      </c>
      <c r="G172" t="s">
        <v>62</v>
      </c>
      <c r="H172">
        <v>2893684</v>
      </c>
      <c r="I172">
        <v>2894709</v>
      </c>
      <c r="J172" t="s">
        <v>3898</v>
      </c>
      <c r="K172">
        <v>342</v>
      </c>
      <c r="L172" t="s">
        <v>112</v>
      </c>
      <c r="M172">
        <v>4</v>
      </c>
      <c r="N172" t="str">
        <f>HYPERLINK("Gene2946-zp_tree_all.dnd", "Gene2946-tree")</f>
        <v>Gene2946-tree</v>
      </c>
      <c r="O172">
        <v>2</v>
      </c>
      <c r="P172">
        <v>2</v>
      </c>
      <c r="Q172">
        <v>2</v>
      </c>
      <c r="R172">
        <v>2</v>
      </c>
      <c r="S172">
        <v>0.5</v>
      </c>
      <c r="T172" t="s">
        <v>135</v>
      </c>
      <c r="U172" t="s">
        <v>135</v>
      </c>
      <c r="V172" t="s">
        <v>62</v>
      </c>
      <c r="W172" t="s">
        <v>62</v>
      </c>
      <c r="X172">
        <v>0</v>
      </c>
      <c r="Y172">
        <v>0</v>
      </c>
      <c r="Z172">
        <v>2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3</v>
      </c>
      <c r="AK172">
        <v>0</v>
      </c>
      <c r="AL172">
        <v>4</v>
      </c>
      <c r="AM172">
        <v>1</v>
      </c>
      <c r="AN172">
        <v>53</v>
      </c>
      <c r="AO172">
        <v>3</v>
      </c>
      <c r="AP172">
        <v>6</v>
      </c>
      <c r="AQ172">
        <v>0</v>
      </c>
      <c r="AR172" t="s">
        <v>3899</v>
      </c>
      <c r="AS172" t="s">
        <v>64</v>
      </c>
      <c r="AT172">
        <v>0.66300000000000003</v>
      </c>
      <c r="AU172" t="s">
        <v>65</v>
      </c>
      <c r="AV172">
        <v>59</v>
      </c>
      <c r="AW172">
        <v>3</v>
      </c>
      <c r="AX172" t="s">
        <v>3900</v>
      </c>
      <c r="AY172" t="s">
        <v>3901</v>
      </c>
      <c r="AZ172" t="s">
        <v>3902</v>
      </c>
      <c r="BA172">
        <v>1.307E-2</v>
      </c>
      <c r="BB172">
        <v>1</v>
      </c>
      <c r="BC172" t="s">
        <v>69</v>
      </c>
      <c r="BD172">
        <v>-0.32900000000000001</v>
      </c>
      <c r="BE172">
        <v>-0.81499999999999995</v>
      </c>
    </row>
    <row r="173" spans="1:57">
      <c r="A173">
        <v>0</v>
      </c>
      <c r="B173">
        <v>0</v>
      </c>
      <c r="C173">
        <v>0</v>
      </c>
      <c r="D173">
        <v>2947</v>
      </c>
      <c r="E173" t="s">
        <v>3903</v>
      </c>
      <c r="F173" t="s">
        <v>5762</v>
      </c>
      <c r="G173" t="s">
        <v>62</v>
      </c>
      <c r="H173">
        <v>2894736</v>
      </c>
      <c r="I173">
        <v>2895251</v>
      </c>
      <c r="J173" t="s">
        <v>3904</v>
      </c>
      <c r="K173">
        <v>172</v>
      </c>
      <c r="L173" t="s">
        <v>112</v>
      </c>
      <c r="M173">
        <v>4</v>
      </c>
      <c r="N173" t="str">
        <f>HYPERLINK("Gene2947-zp_tree_all.dnd", "Gene2947-tree")</f>
        <v>Gene2947-tree</v>
      </c>
      <c r="O173">
        <v>2</v>
      </c>
      <c r="P173">
        <v>2</v>
      </c>
      <c r="Q173">
        <v>2</v>
      </c>
      <c r="R173">
        <v>2</v>
      </c>
      <c r="S173">
        <v>0.5</v>
      </c>
      <c r="T173" t="s">
        <v>135</v>
      </c>
      <c r="U173" t="s">
        <v>135</v>
      </c>
      <c r="V173" t="s">
        <v>62</v>
      </c>
      <c r="W173" t="s">
        <v>62</v>
      </c>
      <c r="X173">
        <v>0</v>
      </c>
      <c r="Y173">
        <v>0</v>
      </c>
      <c r="Z173">
        <v>3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3</v>
      </c>
      <c r="AK173">
        <v>0</v>
      </c>
      <c r="AL173">
        <v>4</v>
      </c>
      <c r="AM173">
        <v>1</v>
      </c>
      <c r="AN173">
        <v>24</v>
      </c>
      <c r="AO173">
        <v>3</v>
      </c>
      <c r="AP173">
        <v>3</v>
      </c>
      <c r="AQ173">
        <v>0</v>
      </c>
      <c r="AR173" t="s">
        <v>3905</v>
      </c>
      <c r="AS173" t="s">
        <v>64</v>
      </c>
      <c r="AT173">
        <v>0.82199999999999995</v>
      </c>
      <c r="AU173" t="s">
        <v>65</v>
      </c>
      <c r="AV173">
        <v>27</v>
      </c>
      <c r="AW173">
        <v>3</v>
      </c>
      <c r="AX173" t="s">
        <v>3906</v>
      </c>
      <c r="AY173" t="s">
        <v>3907</v>
      </c>
      <c r="AZ173" t="s">
        <v>3908</v>
      </c>
      <c r="BA173">
        <v>3.2340000000000001E-2</v>
      </c>
      <c r="BB173">
        <v>1</v>
      </c>
      <c r="BC173" t="s">
        <v>69</v>
      </c>
      <c r="BD173">
        <v>-0.29699999999999999</v>
      </c>
      <c r="BE173">
        <v>-0.63500000000000001</v>
      </c>
    </row>
    <row r="174" spans="1:57">
      <c r="A174">
        <v>0</v>
      </c>
      <c r="B174">
        <v>2</v>
      </c>
      <c r="C174">
        <v>2</v>
      </c>
      <c r="D174">
        <v>2952</v>
      </c>
      <c r="E174" t="s">
        <v>3909</v>
      </c>
      <c r="F174" t="s">
        <v>5762</v>
      </c>
      <c r="G174" t="s">
        <v>62</v>
      </c>
      <c r="H174">
        <v>2900023</v>
      </c>
      <c r="I174">
        <v>2900529</v>
      </c>
      <c r="J174" t="s">
        <v>3910</v>
      </c>
      <c r="K174">
        <v>169</v>
      </c>
      <c r="L174" t="s">
        <v>112</v>
      </c>
      <c r="M174">
        <v>4</v>
      </c>
      <c r="N174" t="str">
        <f>HYPERLINK("Gene2952-zp_tree_all.dnd", "Gene2952-tree")</f>
        <v>Gene2952-tree</v>
      </c>
      <c r="O174">
        <v>0</v>
      </c>
      <c r="P174">
        <v>4</v>
      </c>
      <c r="Q174">
        <v>0</v>
      </c>
      <c r="R174">
        <v>4</v>
      </c>
      <c r="S174">
        <v>1</v>
      </c>
      <c r="T174" t="s">
        <v>62</v>
      </c>
      <c r="U174" t="s">
        <v>60</v>
      </c>
      <c r="V174" t="s">
        <v>62</v>
      </c>
      <c r="W174" t="s">
        <v>62</v>
      </c>
      <c r="X174">
        <v>2</v>
      </c>
      <c r="Y174">
        <v>4</v>
      </c>
      <c r="Z174">
        <v>6</v>
      </c>
      <c r="AA174">
        <v>0.4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2</v>
      </c>
      <c r="AH174">
        <v>2</v>
      </c>
      <c r="AI174">
        <v>4</v>
      </c>
      <c r="AJ174">
        <v>6</v>
      </c>
      <c r="AK174">
        <v>0.4</v>
      </c>
      <c r="AL174">
        <v>4</v>
      </c>
      <c r="AM174">
        <v>1</v>
      </c>
      <c r="AN174">
        <v>19</v>
      </c>
      <c r="AO174">
        <v>10</v>
      </c>
      <c r="AP174">
        <v>1</v>
      </c>
      <c r="AQ174">
        <v>0</v>
      </c>
      <c r="AR174" t="s">
        <v>3911</v>
      </c>
      <c r="AS174" t="s">
        <v>64</v>
      </c>
      <c r="AT174">
        <v>1.278</v>
      </c>
      <c r="AU174" t="s">
        <v>65</v>
      </c>
      <c r="AV174">
        <v>20</v>
      </c>
      <c r="AW174">
        <v>10</v>
      </c>
      <c r="AX174" t="s">
        <v>3912</v>
      </c>
      <c r="AY174" t="s">
        <v>3913</v>
      </c>
      <c r="AZ174" t="s">
        <v>3914</v>
      </c>
      <c r="BA174">
        <v>0.13159000000000001</v>
      </c>
      <c r="BB174">
        <v>1</v>
      </c>
      <c r="BC174" t="s">
        <v>69</v>
      </c>
      <c r="BD174">
        <v>-0.64300000000000002</v>
      </c>
      <c r="BE174">
        <v>-0.64300000000000002</v>
      </c>
    </row>
    <row r="175" spans="1:57">
      <c r="A175">
        <v>0</v>
      </c>
      <c r="B175">
        <v>0</v>
      </c>
      <c r="C175">
        <v>0</v>
      </c>
      <c r="D175">
        <v>2957</v>
      </c>
      <c r="E175" t="s">
        <v>3915</v>
      </c>
      <c r="F175" t="s">
        <v>5762</v>
      </c>
      <c r="G175" t="s">
        <v>62</v>
      </c>
      <c r="H175">
        <v>2904046</v>
      </c>
      <c r="I175">
        <v>2904483</v>
      </c>
      <c r="J175" t="s">
        <v>3916</v>
      </c>
      <c r="K175">
        <v>146</v>
      </c>
      <c r="L175" t="s">
        <v>59</v>
      </c>
      <c r="M175">
        <v>5</v>
      </c>
      <c r="N175" t="str">
        <f>HYPERLINK("Gene2957-zp_tree_all.dnd", "Gene2957-tree")</f>
        <v>Gene2957-tree</v>
      </c>
      <c r="O175">
        <v>4</v>
      </c>
      <c r="P175">
        <v>1</v>
      </c>
      <c r="Q175">
        <v>4</v>
      </c>
      <c r="R175">
        <v>1</v>
      </c>
      <c r="S175">
        <v>0.2</v>
      </c>
      <c r="T175" t="s">
        <v>60</v>
      </c>
      <c r="U175" t="s">
        <v>61</v>
      </c>
      <c r="V175" t="s">
        <v>62</v>
      </c>
      <c r="W175" t="s">
        <v>62</v>
      </c>
      <c r="X175">
        <v>0</v>
      </c>
      <c r="Y175">
        <v>0</v>
      </c>
      <c r="Z175">
        <v>2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1</v>
      </c>
      <c r="AK175">
        <v>0</v>
      </c>
      <c r="AL175">
        <v>4</v>
      </c>
      <c r="AM175">
        <v>1</v>
      </c>
      <c r="AN175">
        <v>8</v>
      </c>
      <c r="AO175">
        <v>1</v>
      </c>
      <c r="AP175">
        <v>7</v>
      </c>
      <c r="AQ175">
        <v>1</v>
      </c>
      <c r="AR175" t="s">
        <v>3917</v>
      </c>
      <c r="AS175" t="s">
        <v>3918</v>
      </c>
      <c r="AT175">
        <v>6.5000000000000002E-2</v>
      </c>
      <c r="AU175" t="s">
        <v>65</v>
      </c>
      <c r="AV175">
        <v>15</v>
      </c>
      <c r="AW175">
        <v>2</v>
      </c>
      <c r="AX175" t="s">
        <v>3919</v>
      </c>
      <c r="AY175" t="s">
        <v>3920</v>
      </c>
      <c r="AZ175" t="s">
        <v>3921</v>
      </c>
      <c r="BA175">
        <v>3.4680000000000002E-2</v>
      </c>
      <c r="BB175">
        <v>1</v>
      </c>
      <c r="BC175" t="s">
        <v>69</v>
      </c>
      <c r="BD175">
        <v>0.216</v>
      </c>
      <c r="BE175">
        <v>0.216</v>
      </c>
    </row>
    <row r="176" spans="1:57">
      <c r="A176">
        <v>0</v>
      </c>
      <c r="B176">
        <v>0</v>
      </c>
      <c r="C176">
        <v>0</v>
      </c>
      <c r="D176">
        <v>2958</v>
      </c>
      <c r="E176" t="s">
        <v>3922</v>
      </c>
      <c r="F176" t="s">
        <v>5762</v>
      </c>
      <c r="G176" t="s">
        <v>62</v>
      </c>
      <c r="H176">
        <v>2904730</v>
      </c>
      <c r="I176">
        <v>2904951</v>
      </c>
      <c r="J176" t="s">
        <v>3923</v>
      </c>
      <c r="K176">
        <v>74</v>
      </c>
      <c r="L176" t="s">
        <v>59</v>
      </c>
      <c r="M176">
        <v>5</v>
      </c>
      <c r="N176" t="str">
        <f>HYPERLINK("Gene2958-zp_tree_all.dnd", "Gene2958-tree")</f>
        <v>Gene2958-tree</v>
      </c>
    </row>
    <row r="177" spans="1:57">
      <c r="A177">
        <v>0</v>
      </c>
      <c r="B177">
        <v>0</v>
      </c>
      <c r="C177">
        <v>0</v>
      </c>
      <c r="D177">
        <v>2961</v>
      </c>
      <c r="E177" t="s">
        <v>3924</v>
      </c>
      <c r="F177" t="s">
        <v>5762</v>
      </c>
      <c r="G177" t="s">
        <v>62</v>
      </c>
      <c r="H177">
        <v>2906338</v>
      </c>
      <c r="I177">
        <v>2908095</v>
      </c>
      <c r="J177" t="s">
        <v>3925</v>
      </c>
      <c r="K177">
        <v>586</v>
      </c>
      <c r="L177" t="s">
        <v>59</v>
      </c>
      <c r="M177">
        <v>5</v>
      </c>
      <c r="N177" t="str">
        <f>HYPERLINK("Gene2961-zp_tree_all.dnd", "Gene2961-tree")</f>
        <v>Gene2961-tree</v>
      </c>
      <c r="O177">
        <v>3</v>
      </c>
      <c r="P177">
        <v>2</v>
      </c>
      <c r="Q177">
        <v>3</v>
      </c>
      <c r="R177">
        <v>2</v>
      </c>
      <c r="S177">
        <v>0.4</v>
      </c>
      <c r="T177" t="s">
        <v>84</v>
      </c>
      <c r="U177" t="s">
        <v>135</v>
      </c>
      <c r="V177" t="s">
        <v>62</v>
      </c>
      <c r="W177" t="s">
        <v>62</v>
      </c>
      <c r="X177">
        <v>0</v>
      </c>
      <c r="Y177">
        <v>0</v>
      </c>
      <c r="Z177">
        <v>3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2</v>
      </c>
      <c r="AK177">
        <v>0</v>
      </c>
      <c r="AL177">
        <v>5</v>
      </c>
      <c r="AM177">
        <v>2</v>
      </c>
      <c r="AN177">
        <v>40</v>
      </c>
      <c r="AO177">
        <v>2</v>
      </c>
      <c r="AP177">
        <v>67</v>
      </c>
      <c r="AQ177">
        <v>1</v>
      </c>
      <c r="AR177" t="s">
        <v>3926</v>
      </c>
      <c r="AS177" t="s">
        <v>3927</v>
      </c>
      <c r="AT177">
        <v>0.745</v>
      </c>
      <c r="AU177" t="s">
        <v>65</v>
      </c>
      <c r="AV177">
        <v>107</v>
      </c>
      <c r="AW177">
        <v>3</v>
      </c>
      <c r="AX177" t="s">
        <v>3928</v>
      </c>
      <c r="AY177" t="s">
        <v>3929</v>
      </c>
      <c r="AZ177" t="s">
        <v>3930</v>
      </c>
      <c r="BA177">
        <v>6.8399999999999997E-3</v>
      </c>
      <c r="BB177">
        <v>1</v>
      </c>
      <c r="BC177" t="s">
        <v>69</v>
      </c>
      <c r="BD177">
        <v>0.93799999999999994</v>
      </c>
      <c r="BE177">
        <v>0.503</v>
      </c>
    </row>
    <row r="178" spans="1:57">
      <c r="A178">
        <v>0</v>
      </c>
      <c r="B178">
        <v>0</v>
      </c>
      <c r="C178">
        <v>0</v>
      </c>
      <c r="D178">
        <v>2962</v>
      </c>
      <c r="E178" t="s">
        <v>3931</v>
      </c>
      <c r="F178" t="s">
        <v>5762</v>
      </c>
      <c r="G178" t="s">
        <v>62</v>
      </c>
      <c r="H178">
        <v>2908132</v>
      </c>
      <c r="I178">
        <v>2908737</v>
      </c>
      <c r="J178" t="s">
        <v>3932</v>
      </c>
      <c r="K178">
        <v>202</v>
      </c>
      <c r="L178" t="s">
        <v>59</v>
      </c>
      <c r="M178">
        <v>5</v>
      </c>
      <c r="N178" t="str">
        <f>HYPERLINK("Gene2962-zp_tree_all.dnd", "Gene2962-tree")</f>
        <v>Gene2962-tree</v>
      </c>
      <c r="O178">
        <v>5</v>
      </c>
      <c r="P178">
        <v>0</v>
      </c>
      <c r="Q178">
        <v>5</v>
      </c>
      <c r="R178">
        <v>0</v>
      </c>
      <c r="S178">
        <v>0</v>
      </c>
      <c r="T178" t="s">
        <v>98</v>
      </c>
      <c r="U178" t="s">
        <v>62</v>
      </c>
      <c r="V178" t="s">
        <v>62</v>
      </c>
      <c r="W178" t="s">
        <v>62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4</v>
      </c>
      <c r="AM178">
        <v>2</v>
      </c>
      <c r="AN178">
        <v>7</v>
      </c>
      <c r="AO178">
        <v>0</v>
      </c>
      <c r="AP178">
        <v>14</v>
      </c>
      <c r="AQ178">
        <v>0</v>
      </c>
      <c r="AR178" t="s">
        <v>64</v>
      </c>
      <c r="AS178" t="s">
        <v>64</v>
      </c>
      <c r="AT178">
        <v>0</v>
      </c>
      <c r="AU178" t="s">
        <v>65</v>
      </c>
      <c r="AV178">
        <v>21</v>
      </c>
      <c r="AW178">
        <v>0</v>
      </c>
      <c r="AX178" t="s">
        <v>3933</v>
      </c>
      <c r="AY178" t="s">
        <v>3934</v>
      </c>
      <c r="AZ178" t="s">
        <v>64</v>
      </c>
      <c r="BA178">
        <v>0</v>
      </c>
      <c r="BB178">
        <v>1</v>
      </c>
      <c r="BC178" t="s">
        <v>69</v>
      </c>
      <c r="BD178">
        <v>1.33</v>
      </c>
      <c r="BE178">
        <v>0.98899999999999999</v>
      </c>
    </row>
    <row r="179" spans="1:57">
      <c r="A179">
        <v>0</v>
      </c>
      <c r="B179">
        <v>0</v>
      </c>
      <c r="C179">
        <v>0</v>
      </c>
      <c r="D179">
        <v>2966</v>
      </c>
      <c r="E179" t="s">
        <v>3940</v>
      </c>
      <c r="F179" t="s">
        <v>5762</v>
      </c>
      <c r="G179" t="s">
        <v>62</v>
      </c>
      <c r="H179">
        <v>2913027</v>
      </c>
      <c r="I179">
        <v>2913338</v>
      </c>
      <c r="J179" t="s">
        <v>3941</v>
      </c>
      <c r="K179">
        <v>104</v>
      </c>
      <c r="L179" t="s">
        <v>83</v>
      </c>
      <c r="M179">
        <v>4</v>
      </c>
      <c r="N179" t="str">
        <f>HYPERLINK("Gene2966-zp_tree_all.dnd", "Gene2966-tree")</f>
        <v>Gene2966-tree</v>
      </c>
    </row>
    <row r="180" spans="1:57">
      <c r="A180">
        <v>0</v>
      </c>
      <c r="B180">
        <v>0</v>
      </c>
      <c r="C180">
        <v>0</v>
      </c>
      <c r="D180">
        <v>2970</v>
      </c>
      <c r="E180" t="s">
        <v>3942</v>
      </c>
      <c r="F180" t="s">
        <v>5762</v>
      </c>
      <c r="G180" t="s">
        <v>62</v>
      </c>
      <c r="H180">
        <v>2916381</v>
      </c>
      <c r="I180">
        <v>2917151</v>
      </c>
      <c r="J180" t="s">
        <v>3943</v>
      </c>
      <c r="K180">
        <v>257</v>
      </c>
      <c r="L180" t="s">
        <v>59</v>
      </c>
      <c r="M180">
        <v>5</v>
      </c>
      <c r="N180" t="str">
        <f>HYPERLINK("Gene2970-zp_tree_all.dnd", "Gene2970-tree")</f>
        <v>Gene2970-tree</v>
      </c>
      <c r="O180">
        <v>3</v>
      </c>
      <c r="P180">
        <v>2</v>
      </c>
      <c r="Q180">
        <v>3</v>
      </c>
      <c r="R180">
        <v>2</v>
      </c>
      <c r="S180">
        <v>0.4</v>
      </c>
      <c r="T180" t="s">
        <v>84</v>
      </c>
      <c r="U180" t="s">
        <v>135</v>
      </c>
      <c r="V180" t="s">
        <v>62</v>
      </c>
      <c r="W180" t="s">
        <v>62</v>
      </c>
      <c r="X180">
        <v>0</v>
      </c>
      <c r="Y180">
        <v>0</v>
      </c>
      <c r="Z180">
        <v>5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2</v>
      </c>
      <c r="AK180">
        <v>0</v>
      </c>
      <c r="AL180">
        <v>5</v>
      </c>
      <c r="AM180">
        <v>2</v>
      </c>
      <c r="AN180">
        <v>20</v>
      </c>
      <c r="AO180">
        <v>2</v>
      </c>
      <c r="AP180">
        <v>24</v>
      </c>
      <c r="AQ180">
        <v>3</v>
      </c>
      <c r="AR180" t="s">
        <v>3944</v>
      </c>
      <c r="AS180" t="s">
        <v>3945</v>
      </c>
      <c r="AT180">
        <v>9.6000000000000002E-2</v>
      </c>
      <c r="AU180" t="s">
        <v>65</v>
      </c>
      <c r="AV180">
        <v>44</v>
      </c>
      <c r="AW180">
        <v>5</v>
      </c>
      <c r="AX180" t="s">
        <v>3946</v>
      </c>
      <c r="AY180" t="s">
        <v>3947</v>
      </c>
      <c r="AZ180" t="s">
        <v>3948</v>
      </c>
      <c r="BA180">
        <v>3.0880000000000001E-2</v>
      </c>
      <c r="BB180">
        <v>1</v>
      </c>
      <c r="BC180" t="s">
        <v>69</v>
      </c>
      <c r="BD180">
        <v>0.82599999999999996</v>
      </c>
      <c r="BE180">
        <v>0.65500000000000003</v>
      </c>
    </row>
    <row r="181" spans="1:57">
      <c r="A181">
        <v>0</v>
      </c>
      <c r="B181">
        <v>0</v>
      </c>
      <c r="C181">
        <v>0</v>
      </c>
      <c r="D181">
        <v>2974</v>
      </c>
      <c r="E181" t="s">
        <v>3949</v>
      </c>
      <c r="F181" t="s">
        <v>5762</v>
      </c>
      <c r="G181" t="s">
        <v>62</v>
      </c>
      <c r="H181">
        <v>2920520</v>
      </c>
      <c r="I181">
        <v>2920921</v>
      </c>
      <c r="J181" t="s">
        <v>2782</v>
      </c>
      <c r="K181">
        <v>134</v>
      </c>
      <c r="L181" t="s">
        <v>59</v>
      </c>
      <c r="M181">
        <v>5</v>
      </c>
      <c r="N181" t="str">
        <f>HYPERLINK("Gene2974-zp_tree_all.dnd", "Gene2974-tree")</f>
        <v>Gene2974-tree</v>
      </c>
      <c r="O181">
        <v>5</v>
      </c>
      <c r="P181">
        <v>0</v>
      </c>
      <c r="Q181">
        <v>4</v>
      </c>
      <c r="R181">
        <v>0</v>
      </c>
      <c r="S181">
        <v>0</v>
      </c>
      <c r="T181" t="s">
        <v>150</v>
      </c>
      <c r="U181" t="s">
        <v>62</v>
      </c>
      <c r="V181" t="s">
        <v>62</v>
      </c>
      <c r="W181" t="s">
        <v>62</v>
      </c>
      <c r="X181">
        <v>0</v>
      </c>
      <c r="Y181">
        <v>0</v>
      </c>
      <c r="Z181">
        <v>2</v>
      </c>
      <c r="AA181">
        <v>0</v>
      </c>
      <c r="AB181">
        <v>0</v>
      </c>
      <c r="AC181">
        <v>0</v>
      </c>
      <c r="AD181">
        <v>0</v>
      </c>
      <c r="AE181">
        <v>2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4</v>
      </c>
      <c r="AM181">
        <v>1</v>
      </c>
      <c r="AN181">
        <v>12</v>
      </c>
      <c r="AO181">
        <v>0</v>
      </c>
      <c r="AP181">
        <v>6</v>
      </c>
      <c r="AQ181">
        <v>2</v>
      </c>
      <c r="AR181" t="s">
        <v>64</v>
      </c>
      <c r="AS181" t="s">
        <v>3950</v>
      </c>
      <c r="AT181">
        <v>0</v>
      </c>
      <c r="AU181" t="s">
        <v>65</v>
      </c>
      <c r="AV181">
        <v>18</v>
      </c>
      <c r="AW181">
        <v>2</v>
      </c>
      <c r="AX181" t="s">
        <v>3951</v>
      </c>
      <c r="AY181" t="s">
        <v>3952</v>
      </c>
      <c r="AZ181" t="s">
        <v>3953</v>
      </c>
      <c r="BA181">
        <v>3.8240000000000003E-2</v>
      </c>
      <c r="BB181">
        <v>1</v>
      </c>
      <c r="BC181" t="s">
        <v>69</v>
      </c>
      <c r="BD181">
        <v>0.38800000000000001</v>
      </c>
      <c r="BE181">
        <v>0.38800000000000001</v>
      </c>
    </row>
    <row r="182" spans="1:57">
      <c r="A182">
        <v>0</v>
      </c>
      <c r="B182">
        <v>0</v>
      </c>
      <c r="C182">
        <v>0</v>
      </c>
      <c r="D182">
        <v>2977</v>
      </c>
      <c r="E182" t="s">
        <v>3954</v>
      </c>
      <c r="F182" t="s">
        <v>5762</v>
      </c>
      <c r="G182" t="s">
        <v>62</v>
      </c>
      <c r="H182">
        <v>2925103</v>
      </c>
      <c r="I182">
        <v>2925633</v>
      </c>
      <c r="J182" t="s">
        <v>1547</v>
      </c>
      <c r="K182">
        <v>177</v>
      </c>
      <c r="L182" t="s">
        <v>59</v>
      </c>
      <c r="M182">
        <v>5</v>
      </c>
      <c r="N182" t="str">
        <f>HYPERLINK("Gene2977-zp_tree_all.dnd", "Gene2977-tree")</f>
        <v>Gene2977-tree</v>
      </c>
      <c r="O182">
        <v>3</v>
      </c>
      <c r="P182">
        <v>2</v>
      </c>
      <c r="Q182">
        <v>2</v>
      </c>
      <c r="R182">
        <v>2</v>
      </c>
      <c r="S182">
        <v>0.5</v>
      </c>
      <c r="T182" t="s">
        <v>217</v>
      </c>
      <c r="U182" t="s">
        <v>135</v>
      </c>
      <c r="V182" t="s">
        <v>62</v>
      </c>
      <c r="W182" t="s">
        <v>62</v>
      </c>
      <c r="X182">
        <v>0</v>
      </c>
      <c r="Y182">
        <v>0</v>
      </c>
      <c r="Z182">
        <v>5</v>
      </c>
      <c r="AA182">
        <v>0</v>
      </c>
      <c r="AB182">
        <v>0</v>
      </c>
      <c r="AC182">
        <v>0</v>
      </c>
      <c r="AD182">
        <v>0</v>
      </c>
      <c r="AE182">
        <v>3</v>
      </c>
      <c r="AF182">
        <v>0</v>
      </c>
      <c r="AG182">
        <v>0</v>
      </c>
      <c r="AH182">
        <v>0</v>
      </c>
      <c r="AI182">
        <v>0</v>
      </c>
      <c r="AJ182">
        <v>2</v>
      </c>
      <c r="AK182">
        <v>0</v>
      </c>
      <c r="AL182">
        <v>4</v>
      </c>
      <c r="AM182">
        <v>1</v>
      </c>
      <c r="AN182">
        <v>17</v>
      </c>
      <c r="AO182">
        <v>2</v>
      </c>
      <c r="AP182">
        <v>11</v>
      </c>
      <c r="AQ182">
        <v>4</v>
      </c>
      <c r="AR182" t="s">
        <v>3955</v>
      </c>
      <c r="AS182" t="s">
        <v>3956</v>
      </c>
      <c r="AT182">
        <v>2.7650000000000001</v>
      </c>
      <c r="AU182" t="s">
        <v>65</v>
      </c>
      <c r="AV182">
        <v>28</v>
      </c>
      <c r="AW182">
        <v>6</v>
      </c>
      <c r="AX182" t="s">
        <v>3957</v>
      </c>
      <c r="AY182" t="s">
        <v>3958</v>
      </c>
      <c r="AZ182" t="s">
        <v>3959</v>
      </c>
      <c r="BA182">
        <v>7.1870000000000003E-2</v>
      </c>
      <c r="BB182">
        <v>1</v>
      </c>
      <c r="BC182" t="s">
        <v>69</v>
      </c>
      <c r="BD182">
        <v>0.83199999999999996</v>
      </c>
      <c r="BE182">
        <v>0.64300000000000002</v>
      </c>
    </row>
    <row r="183" spans="1:57">
      <c r="A183">
        <v>0</v>
      </c>
      <c r="B183">
        <v>0</v>
      </c>
      <c r="C183">
        <v>0</v>
      </c>
      <c r="D183">
        <v>2978</v>
      </c>
      <c r="E183" t="s">
        <v>3960</v>
      </c>
      <c r="F183" t="s">
        <v>5762</v>
      </c>
      <c r="G183" t="s">
        <v>62</v>
      </c>
      <c r="H183">
        <v>2925643</v>
      </c>
      <c r="I183">
        <v>2925897</v>
      </c>
      <c r="J183" t="s">
        <v>3961</v>
      </c>
      <c r="K183">
        <v>85</v>
      </c>
      <c r="L183" t="s">
        <v>59</v>
      </c>
      <c r="M183">
        <v>5</v>
      </c>
      <c r="N183" t="str">
        <f>HYPERLINK("Gene2978-zp_tree_all.dnd", "Gene2978-tree")</f>
        <v>Gene2978-tree</v>
      </c>
      <c r="O183">
        <v>3</v>
      </c>
      <c r="P183">
        <v>1</v>
      </c>
      <c r="Q183">
        <v>3</v>
      </c>
      <c r="R183">
        <v>1</v>
      </c>
      <c r="S183">
        <v>0.25</v>
      </c>
      <c r="T183" t="s">
        <v>84</v>
      </c>
      <c r="U183" t="s">
        <v>61</v>
      </c>
      <c r="V183" t="s">
        <v>62</v>
      </c>
      <c r="W183" t="s">
        <v>62</v>
      </c>
      <c r="X183">
        <v>0</v>
      </c>
      <c r="Y183">
        <v>0</v>
      </c>
      <c r="Z183">
        <v>2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0</v>
      </c>
      <c r="AL183">
        <v>3</v>
      </c>
      <c r="AM183">
        <v>1</v>
      </c>
      <c r="AN183">
        <v>2</v>
      </c>
      <c r="AO183">
        <v>1</v>
      </c>
      <c r="AP183">
        <v>1</v>
      </c>
      <c r="AQ183">
        <v>1</v>
      </c>
      <c r="AR183" t="s">
        <v>3962</v>
      </c>
      <c r="AS183" t="s">
        <v>3963</v>
      </c>
      <c r="AT183">
        <v>0.69299999999999995</v>
      </c>
      <c r="AU183" t="s">
        <v>65</v>
      </c>
      <c r="AV183">
        <v>3</v>
      </c>
      <c r="AW183">
        <v>2</v>
      </c>
      <c r="AX183" t="s">
        <v>3964</v>
      </c>
      <c r="AY183" t="s">
        <v>3965</v>
      </c>
      <c r="AZ183" t="s">
        <v>3966</v>
      </c>
      <c r="BA183">
        <v>0.18690000000000001</v>
      </c>
      <c r="BB183">
        <v>0.88200000000000001</v>
      </c>
      <c r="BC183" t="s">
        <v>793</v>
      </c>
      <c r="BD183">
        <v>0</v>
      </c>
      <c r="BE183">
        <v>0</v>
      </c>
    </row>
    <row r="184" spans="1:57">
      <c r="A184">
        <v>0</v>
      </c>
      <c r="B184">
        <v>0</v>
      </c>
      <c r="C184">
        <v>0</v>
      </c>
      <c r="D184">
        <v>2981</v>
      </c>
      <c r="E184" t="s">
        <v>3967</v>
      </c>
      <c r="F184" t="s">
        <v>5762</v>
      </c>
      <c r="G184" t="s">
        <v>62</v>
      </c>
      <c r="H184">
        <v>2929441</v>
      </c>
      <c r="I184">
        <v>2930472</v>
      </c>
      <c r="J184" t="s">
        <v>3968</v>
      </c>
      <c r="K184">
        <v>344</v>
      </c>
      <c r="L184" t="s">
        <v>59</v>
      </c>
      <c r="M184">
        <v>5</v>
      </c>
      <c r="N184" t="str">
        <f>HYPERLINK("Gene2981-zp_tree_all.dnd", "Gene2981-tree")</f>
        <v>Gene2981-tree</v>
      </c>
      <c r="O184">
        <v>2</v>
      </c>
      <c r="P184">
        <v>3</v>
      </c>
      <c r="Q184">
        <v>2</v>
      </c>
      <c r="R184">
        <v>3</v>
      </c>
      <c r="S184">
        <v>0.6</v>
      </c>
      <c r="T184" t="s">
        <v>135</v>
      </c>
      <c r="U184" t="s">
        <v>84</v>
      </c>
      <c r="V184" t="s">
        <v>62</v>
      </c>
      <c r="W184" t="s">
        <v>62</v>
      </c>
      <c r="X184">
        <v>0</v>
      </c>
      <c r="Y184">
        <v>0</v>
      </c>
      <c r="Z184">
        <v>6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4</v>
      </c>
      <c r="AK184">
        <v>0</v>
      </c>
      <c r="AL184">
        <v>5</v>
      </c>
      <c r="AM184">
        <v>2</v>
      </c>
      <c r="AN184">
        <v>32</v>
      </c>
      <c r="AO184">
        <v>4</v>
      </c>
      <c r="AP184">
        <v>32</v>
      </c>
      <c r="AQ184">
        <v>2</v>
      </c>
      <c r="AR184" t="s">
        <v>3969</v>
      </c>
      <c r="AS184" t="s">
        <v>3970</v>
      </c>
      <c r="AT184">
        <v>0.72399999999999998</v>
      </c>
      <c r="AU184" t="s">
        <v>65</v>
      </c>
      <c r="AV184">
        <v>64</v>
      </c>
      <c r="AW184">
        <v>6</v>
      </c>
      <c r="AX184" t="s">
        <v>3971</v>
      </c>
      <c r="AY184" t="s">
        <v>3972</v>
      </c>
      <c r="AZ184" t="s">
        <v>3973</v>
      </c>
      <c r="BA184">
        <v>2.2409999999999999E-2</v>
      </c>
      <c r="BB184">
        <v>1</v>
      </c>
      <c r="BC184" t="s">
        <v>69</v>
      </c>
      <c r="BD184">
        <v>0.433</v>
      </c>
      <c r="BE184">
        <v>0.433</v>
      </c>
    </row>
    <row r="185" spans="1:57">
      <c r="A185">
        <v>0</v>
      </c>
      <c r="B185">
        <v>0</v>
      </c>
      <c r="C185">
        <v>0</v>
      </c>
      <c r="D185">
        <v>2990</v>
      </c>
      <c r="E185" t="s">
        <v>3983</v>
      </c>
      <c r="F185" t="s">
        <v>5762</v>
      </c>
      <c r="G185" t="s">
        <v>62</v>
      </c>
      <c r="H185">
        <v>2939854</v>
      </c>
      <c r="I185">
        <v>2940696</v>
      </c>
      <c r="J185" t="s">
        <v>3984</v>
      </c>
      <c r="K185">
        <v>281</v>
      </c>
      <c r="L185" t="s">
        <v>59</v>
      </c>
      <c r="M185">
        <v>5</v>
      </c>
      <c r="N185" t="str">
        <f>HYPERLINK("Gene2990-zp_tree_all.dnd", "Gene2990-tree")</f>
        <v>Gene2990-tree</v>
      </c>
      <c r="O185">
        <v>2</v>
      </c>
      <c r="P185">
        <v>3</v>
      </c>
      <c r="Q185">
        <v>2</v>
      </c>
      <c r="R185">
        <v>3</v>
      </c>
      <c r="S185">
        <v>0.6</v>
      </c>
      <c r="T185" t="s">
        <v>135</v>
      </c>
      <c r="U185" t="s">
        <v>84</v>
      </c>
      <c r="V185" t="s">
        <v>62</v>
      </c>
      <c r="W185" t="s">
        <v>62</v>
      </c>
      <c r="X185">
        <v>0</v>
      </c>
      <c r="Y185">
        <v>0</v>
      </c>
      <c r="Z185">
        <v>6</v>
      </c>
      <c r="AA185">
        <v>0</v>
      </c>
      <c r="AB185">
        <v>0</v>
      </c>
      <c r="AC185">
        <v>0</v>
      </c>
      <c r="AD185">
        <v>0</v>
      </c>
      <c r="AE185">
        <v>1</v>
      </c>
      <c r="AF185">
        <v>0</v>
      </c>
      <c r="AG185">
        <v>0</v>
      </c>
      <c r="AH185">
        <v>0</v>
      </c>
      <c r="AI185">
        <v>0</v>
      </c>
      <c r="AJ185">
        <v>4</v>
      </c>
      <c r="AK185">
        <v>0</v>
      </c>
      <c r="AL185">
        <v>5</v>
      </c>
      <c r="AM185">
        <v>2</v>
      </c>
      <c r="AN185">
        <v>36</v>
      </c>
      <c r="AO185">
        <v>4</v>
      </c>
      <c r="AP185">
        <v>31</v>
      </c>
      <c r="AQ185">
        <v>3</v>
      </c>
      <c r="AR185" t="s">
        <v>3985</v>
      </c>
      <c r="AS185" t="s">
        <v>3986</v>
      </c>
      <c r="AT185">
        <v>0.29399999999999998</v>
      </c>
      <c r="AU185" t="s">
        <v>65</v>
      </c>
      <c r="AV185">
        <v>67</v>
      </c>
      <c r="AW185">
        <v>7</v>
      </c>
      <c r="AX185" t="s">
        <v>3987</v>
      </c>
      <c r="AY185" t="s">
        <v>3988</v>
      </c>
      <c r="AZ185" t="s">
        <v>3989</v>
      </c>
      <c r="BA185">
        <v>2.981E-2</v>
      </c>
      <c r="BB185">
        <v>1</v>
      </c>
      <c r="BC185" t="s">
        <v>69</v>
      </c>
      <c r="BD185">
        <v>0.59799999999999998</v>
      </c>
      <c r="BE185">
        <v>0.38600000000000001</v>
      </c>
    </row>
    <row r="186" spans="1:57">
      <c r="A186">
        <v>0</v>
      </c>
      <c r="B186">
        <v>0</v>
      </c>
      <c r="C186">
        <v>2</v>
      </c>
      <c r="D186">
        <v>2991</v>
      </c>
      <c r="E186" t="s">
        <v>3990</v>
      </c>
      <c r="F186" t="s">
        <v>5762</v>
      </c>
      <c r="G186" t="s">
        <v>62</v>
      </c>
      <c r="H186">
        <v>2940700</v>
      </c>
      <c r="I186">
        <v>2941638</v>
      </c>
      <c r="J186" t="s">
        <v>3984</v>
      </c>
      <c r="K186">
        <v>313</v>
      </c>
      <c r="L186" t="s">
        <v>59</v>
      </c>
      <c r="M186">
        <v>5</v>
      </c>
      <c r="N186" t="str">
        <f>HYPERLINK("Gene2991-zp_tree_all.dnd", "Gene2991-tree")</f>
        <v>Gene2991-tree</v>
      </c>
      <c r="O186">
        <v>3</v>
      </c>
      <c r="P186">
        <v>2</v>
      </c>
      <c r="Q186">
        <v>3</v>
      </c>
      <c r="R186">
        <v>2</v>
      </c>
      <c r="S186">
        <v>0.4</v>
      </c>
      <c r="T186" t="s">
        <v>84</v>
      </c>
      <c r="U186" t="s">
        <v>135</v>
      </c>
      <c r="V186" t="s">
        <v>62</v>
      </c>
      <c r="W186" t="s">
        <v>62</v>
      </c>
      <c r="X186">
        <v>1</v>
      </c>
      <c r="Y186">
        <v>2</v>
      </c>
      <c r="Z186">
        <v>3</v>
      </c>
      <c r="AA186">
        <v>0.4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3</v>
      </c>
      <c r="AK186">
        <v>0</v>
      </c>
      <c r="AL186">
        <v>5</v>
      </c>
      <c r="AM186">
        <v>2</v>
      </c>
      <c r="AN186">
        <v>29</v>
      </c>
      <c r="AO186">
        <v>3</v>
      </c>
      <c r="AP186">
        <v>36</v>
      </c>
      <c r="AQ186">
        <v>2</v>
      </c>
      <c r="AR186" t="s">
        <v>3991</v>
      </c>
      <c r="AS186" t="s">
        <v>3992</v>
      </c>
      <c r="AT186">
        <v>0.505</v>
      </c>
      <c r="AU186" t="s">
        <v>65</v>
      </c>
      <c r="AV186">
        <v>65</v>
      </c>
      <c r="AW186">
        <v>5</v>
      </c>
      <c r="AX186" t="s">
        <v>3993</v>
      </c>
      <c r="AY186" t="s">
        <v>3994</v>
      </c>
      <c r="AZ186" t="s">
        <v>3995</v>
      </c>
      <c r="BA186">
        <v>2.1829999999999999E-2</v>
      </c>
      <c r="BB186">
        <v>1</v>
      </c>
      <c r="BC186" t="s">
        <v>69</v>
      </c>
      <c r="BD186">
        <v>0.70399999999999996</v>
      </c>
      <c r="BE186">
        <v>0.38800000000000001</v>
      </c>
    </row>
    <row r="187" spans="1:57">
      <c r="A187">
        <v>0</v>
      </c>
      <c r="B187">
        <v>0</v>
      </c>
      <c r="C187">
        <v>0</v>
      </c>
      <c r="D187">
        <v>3002</v>
      </c>
      <c r="E187" t="s">
        <v>4002</v>
      </c>
      <c r="F187" t="s">
        <v>5762</v>
      </c>
      <c r="G187" t="s">
        <v>62</v>
      </c>
      <c r="H187">
        <v>2952227</v>
      </c>
      <c r="I187">
        <v>2952583</v>
      </c>
      <c r="J187" t="s">
        <v>4003</v>
      </c>
      <c r="K187">
        <v>119</v>
      </c>
      <c r="L187" t="s">
        <v>59</v>
      </c>
      <c r="M187">
        <v>5</v>
      </c>
      <c r="N187" t="str">
        <f>HYPERLINK("Gene3002-zp_tree_all.dnd", "Gene3002-tree")</f>
        <v>Gene3002-tree</v>
      </c>
    </row>
    <row r="188" spans="1:57">
      <c r="A188">
        <v>0</v>
      </c>
      <c r="B188">
        <v>0</v>
      </c>
      <c r="C188">
        <v>0</v>
      </c>
      <c r="D188">
        <v>3003</v>
      </c>
      <c r="E188" t="s">
        <v>4004</v>
      </c>
      <c r="F188" t="s">
        <v>5762</v>
      </c>
      <c r="G188" t="s">
        <v>62</v>
      </c>
      <c r="H188">
        <v>2952618</v>
      </c>
      <c r="I188">
        <v>2952815</v>
      </c>
      <c r="J188" t="s">
        <v>4005</v>
      </c>
      <c r="K188">
        <v>66</v>
      </c>
      <c r="L188" t="s">
        <v>59</v>
      </c>
      <c r="M188">
        <v>5</v>
      </c>
      <c r="N188" t="str">
        <f>HYPERLINK("Gene3003-zp_tree_all.dnd", "Gene3003-tree")</f>
        <v>Gene3003-tree</v>
      </c>
    </row>
    <row r="189" spans="1:57">
      <c r="A189">
        <v>0</v>
      </c>
      <c r="B189">
        <v>0</v>
      </c>
      <c r="C189">
        <v>0</v>
      </c>
      <c r="D189">
        <v>3004</v>
      </c>
      <c r="E189" t="s">
        <v>4006</v>
      </c>
      <c r="F189" t="s">
        <v>5762</v>
      </c>
      <c r="G189" t="s">
        <v>62</v>
      </c>
      <c r="H189">
        <v>2952831</v>
      </c>
      <c r="I189">
        <v>2953349</v>
      </c>
      <c r="J189" t="s">
        <v>4007</v>
      </c>
      <c r="K189">
        <v>173</v>
      </c>
      <c r="L189" t="s">
        <v>59</v>
      </c>
      <c r="M189">
        <v>5</v>
      </c>
      <c r="N189" t="str">
        <f>HYPERLINK("Gene3004-zp_tree_all.dnd", "Gene3004-tree")</f>
        <v>Gene3004-tree</v>
      </c>
    </row>
    <row r="190" spans="1:57">
      <c r="A190">
        <v>0</v>
      </c>
      <c r="B190">
        <v>0</v>
      </c>
      <c r="C190">
        <v>0</v>
      </c>
      <c r="D190">
        <v>3007</v>
      </c>
      <c r="E190" t="s">
        <v>4008</v>
      </c>
      <c r="F190" t="s">
        <v>5762</v>
      </c>
      <c r="G190" t="s">
        <v>62</v>
      </c>
      <c r="H190">
        <v>2955212</v>
      </c>
      <c r="I190">
        <v>2955649</v>
      </c>
      <c r="J190" t="s">
        <v>4009</v>
      </c>
      <c r="K190">
        <v>146</v>
      </c>
      <c r="L190" t="s">
        <v>83</v>
      </c>
      <c r="M190">
        <v>4</v>
      </c>
      <c r="N190" t="str">
        <f>HYPERLINK("Gene3007-zp_tree_all.dnd", "Gene3007-tree")</f>
        <v>Gene3007-tree</v>
      </c>
      <c r="O190">
        <v>3</v>
      </c>
      <c r="P190">
        <v>1</v>
      </c>
      <c r="Q190">
        <v>3</v>
      </c>
      <c r="R190">
        <v>1</v>
      </c>
      <c r="S190">
        <v>0.25</v>
      </c>
      <c r="T190" t="s">
        <v>84</v>
      </c>
      <c r="U190" t="s">
        <v>61</v>
      </c>
      <c r="V190" t="s">
        <v>62</v>
      </c>
      <c r="W190" t="s">
        <v>62</v>
      </c>
      <c r="X190">
        <v>0</v>
      </c>
      <c r="Y190">
        <v>0</v>
      </c>
      <c r="Z190">
        <v>3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2</v>
      </c>
      <c r="AK190">
        <v>0</v>
      </c>
      <c r="AL190">
        <v>3</v>
      </c>
      <c r="AM190">
        <v>1</v>
      </c>
      <c r="AN190">
        <v>17</v>
      </c>
      <c r="AO190">
        <v>2</v>
      </c>
      <c r="AP190">
        <v>2</v>
      </c>
      <c r="AQ190">
        <v>1</v>
      </c>
      <c r="AR190" t="s">
        <v>4010</v>
      </c>
      <c r="AS190" t="s">
        <v>4011</v>
      </c>
      <c r="AT190">
        <v>1.9490000000000001</v>
      </c>
      <c r="AU190" t="s">
        <v>65</v>
      </c>
      <c r="AV190">
        <v>19</v>
      </c>
      <c r="AW190">
        <v>3</v>
      </c>
      <c r="AX190" t="s">
        <v>4012</v>
      </c>
      <c r="AY190" t="s">
        <v>4013</v>
      </c>
      <c r="AZ190" t="s">
        <v>4014</v>
      </c>
      <c r="BA190">
        <v>5.1499999999999997E-2</v>
      </c>
      <c r="BB190">
        <v>1</v>
      </c>
      <c r="BC190" t="s">
        <v>69</v>
      </c>
      <c r="BD190">
        <v>-0.42799999999999999</v>
      </c>
      <c r="BE190">
        <v>-0.42799999999999999</v>
      </c>
    </row>
    <row r="191" spans="1:57">
      <c r="A191">
        <v>0</v>
      </c>
      <c r="B191">
        <v>0</v>
      </c>
      <c r="C191">
        <v>0</v>
      </c>
      <c r="D191">
        <v>3011</v>
      </c>
      <c r="E191" t="s">
        <v>4015</v>
      </c>
      <c r="F191" t="s">
        <v>5762</v>
      </c>
      <c r="G191" t="s">
        <v>62</v>
      </c>
      <c r="H191">
        <v>2959260</v>
      </c>
      <c r="I191">
        <v>2961188</v>
      </c>
      <c r="J191" t="s">
        <v>4016</v>
      </c>
      <c r="K191">
        <v>643</v>
      </c>
      <c r="L191" t="s">
        <v>59</v>
      </c>
      <c r="M191">
        <v>5</v>
      </c>
      <c r="N191" t="str">
        <f>HYPERLINK("Gene3011-zp_tree_all.dnd", "Gene3011-tree")</f>
        <v>Gene3011-tree</v>
      </c>
      <c r="O191">
        <v>2</v>
      </c>
      <c r="P191">
        <v>3</v>
      </c>
      <c r="Q191">
        <v>2</v>
      </c>
      <c r="R191">
        <v>3</v>
      </c>
      <c r="S191">
        <v>0.6</v>
      </c>
      <c r="T191" t="s">
        <v>135</v>
      </c>
      <c r="U191" t="s">
        <v>84</v>
      </c>
      <c r="V191" t="s">
        <v>62</v>
      </c>
      <c r="W191" t="s">
        <v>62</v>
      </c>
      <c r="X191">
        <v>0</v>
      </c>
      <c r="Y191">
        <v>0</v>
      </c>
      <c r="Z191">
        <v>7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4</v>
      </c>
      <c r="AK191">
        <v>0</v>
      </c>
      <c r="AL191">
        <v>5</v>
      </c>
      <c r="AM191">
        <v>2</v>
      </c>
      <c r="AN191">
        <v>80</v>
      </c>
      <c r="AO191">
        <v>4</v>
      </c>
      <c r="AP191">
        <v>50</v>
      </c>
      <c r="AQ191">
        <v>3</v>
      </c>
      <c r="AR191" t="s">
        <v>4017</v>
      </c>
      <c r="AS191" t="s">
        <v>4018</v>
      </c>
      <c r="AT191">
        <v>0.184</v>
      </c>
      <c r="AU191" t="s">
        <v>65</v>
      </c>
      <c r="AV191">
        <v>130</v>
      </c>
      <c r="AW191">
        <v>7</v>
      </c>
      <c r="AX191" t="s">
        <v>4019</v>
      </c>
      <c r="AY191" t="s">
        <v>4020</v>
      </c>
      <c r="AZ191" t="s">
        <v>4021</v>
      </c>
      <c r="BA191">
        <v>1.4840000000000001E-2</v>
      </c>
      <c r="BB191">
        <v>1</v>
      </c>
      <c r="BC191" t="s">
        <v>69</v>
      </c>
      <c r="BD191">
        <v>0.22900000000000001</v>
      </c>
      <c r="BE191">
        <v>-0.111</v>
      </c>
    </row>
    <row r="192" spans="1:57">
      <c r="A192">
        <v>0</v>
      </c>
      <c r="B192">
        <v>0</v>
      </c>
      <c r="C192">
        <v>0</v>
      </c>
      <c r="D192">
        <v>3016</v>
      </c>
      <c r="E192" t="s">
        <v>4022</v>
      </c>
      <c r="F192" t="s">
        <v>5762</v>
      </c>
      <c r="G192" t="s">
        <v>62</v>
      </c>
      <c r="H192">
        <v>2965684</v>
      </c>
      <c r="I192">
        <v>2966139</v>
      </c>
      <c r="J192" t="s">
        <v>4023</v>
      </c>
      <c r="K192">
        <v>152</v>
      </c>
      <c r="L192" t="s">
        <v>59</v>
      </c>
      <c r="M192">
        <v>5</v>
      </c>
      <c r="N192" t="str">
        <f>HYPERLINK("Gene3016-zp_tree_all.dnd", "Gene3016-tree")</f>
        <v>Gene3016-tree</v>
      </c>
      <c r="O192">
        <v>5</v>
      </c>
      <c r="P192">
        <v>0</v>
      </c>
      <c r="Q192">
        <v>5</v>
      </c>
      <c r="R192">
        <v>0</v>
      </c>
      <c r="S192">
        <v>0</v>
      </c>
      <c r="T192" t="s">
        <v>98</v>
      </c>
      <c r="U192" t="s">
        <v>62</v>
      </c>
      <c r="V192" t="s">
        <v>62</v>
      </c>
      <c r="W192" t="s">
        <v>62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4</v>
      </c>
      <c r="AM192">
        <v>2</v>
      </c>
      <c r="AN192">
        <v>13</v>
      </c>
      <c r="AO192">
        <v>0</v>
      </c>
      <c r="AP192">
        <v>14</v>
      </c>
      <c r="AQ192">
        <v>0</v>
      </c>
      <c r="AR192" t="s">
        <v>64</v>
      </c>
      <c r="AS192" t="s">
        <v>64</v>
      </c>
      <c r="AT192">
        <v>0</v>
      </c>
      <c r="AU192" t="s">
        <v>65</v>
      </c>
      <c r="AV192">
        <v>27</v>
      </c>
      <c r="AW192">
        <v>0</v>
      </c>
      <c r="AX192" t="s">
        <v>4024</v>
      </c>
      <c r="AY192" t="s">
        <v>4025</v>
      </c>
      <c r="AZ192" t="s">
        <v>64</v>
      </c>
      <c r="BA192">
        <v>0</v>
      </c>
      <c r="BB192">
        <v>1</v>
      </c>
      <c r="BC192" t="s">
        <v>69</v>
      </c>
      <c r="BD192">
        <v>0.69699999999999995</v>
      </c>
      <c r="BE192">
        <v>0.69699999999999995</v>
      </c>
    </row>
    <row r="193" spans="1:57">
      <c r="A193">
        <v>0</v>
      </c>
      <c r="B193">
        <v>0</v>
      </c>
      <c r="C193">
        <v>0</v>
      </c>
      <c r="D193">
        <v>3017</v>
      </c>
      <c r="E193" t="s">
        <v>4026</v>
      </c>
      <c r="F193" t="s">
        <v>5762</v>
      </c>
      <c r="G193" t="s">
        <v>62</v>
      </c>
      <c r="H193">
        <v>2966416</v>
      </c>
      <c r="I193">
        <v>2966793</v>
      </c>
      <c r="J193" t="s">
        <v>4027</v>
      </c>
      <c r="K193">
        <v>126</v>
      </c>
      <c r="L193" t="s">
        <v>59</v>
      </c>
      <c r="M193">
        <v>5</v>
      </c>
      <c r="N193" t="str">
        <f>HYPERLINK("Gene3017-zp_tree_all.dnd", "Gene3017-tree")</f>
        <v>Gene3017-tree</v>
      </c>
      <c r="O193">
        <v>5</v>
      </c>
      <c r="P193">
        <v>0</v>
      </c>
      <c r="Q193">
        <v>4</v>
      </c>
      <c r="R193">
        <v>0</v>
      </c>
      <c r="S193">
        <v>0</v>
      </c>
      <c r="T193" t="s">
        <v>150</v>
      </c>
      <c r="U193" t="s">
        <v>62</v>
      </c>
      <c r="V193" t="s">
        <v>62</v>
      </c>
      <c r="W193" t="s">
        <v>62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3</v>
      </c>
      <c r="AM193">
        <v>1</v>
      </c>
      <c r="AN193">
        <v>3</v>
      </c>
      <c r="AO193">
        <v>0</v>
      </c>
      <c r="AP193">
        <v>1</v>
      </c>
      <c r="AQ193">
        <v>0</v>
      </c>
      <c r="AR193" t="s">
        <v>64</v>
      </c>
      <c r="AS193" t="s">
        <v>64</v>
      </c>
      <c r="AT193">
        <v>0</v>
      </c>
      <c r="AU193" t="s">
        <v>65</v>
      </c>
      <c r="AV193">
        <v>4</v>
      </c>
      <c r="AW193">
        <v>0</v>
      </c>
      <c r="AX193" t="s">
        <v>4028</v>
      </c>
      <c r="AY193" t="s">
        <v>4029</v>
      </c>
      <c r="AZ193" t="s">
        <v>64</v>
      </c>
      <c r="BA193">
        <v>0</v>
      </c>
      <c r="BB193">
        <v>1</v>
      </c>
      <c r="BC193" t="s">
        <v>69</v>
      </c>
      <c r="BD193">
        <v>0.27300000000000002</v>
      </c>
      <c r="BE193">
        <v>0.27300000000000002</v>
      </c>
    </row>
    <row r="194" spans="1:57">
      <c r="A194">
        <v>0</v>
      </c>
      <c r="B194">
        <v>0</v>
      </c>
      <c r="C194">
        <v>0</v>
      </c>
      <c r="D194">
        <v>3019</v>
      </c>
      <c r="E194" t="s">
        <v>4030</v>
      </c>
      <c r="F194" t="s">
        <v>5762</v>
      </c>
      <c r="G194" t="s">
        <v>62</v>
      </c>
      <c r="H194">
        <v>2968263</v>
      </c>
      <c r="I194">
        <v>2968640</v>
      </c>
      <c r="J194" t="s">
        <v>4031</v>
      </c>
      <c r="K194">
        <v>126</v>
      </c>
      <c r="L194" t="s">
        <v>83</v>
      </c>
      <c r="M194">
        <v>4</v>
      </c>
      <c r="N194" t="str">
        <f>HYPERLINK("Gene3019-zp_tree_all.dnd", "Gene3019-tree")</f>
        <v>Gene3019-tree</v>
      </c>
      <c r="O194">
        <v>2</v>
      </c>
      <c r="P194">
        <v>2</v>
      </c>
      <c r="Q194">
        <v>2</v>
      </c>
      <c r="R194">
        <v>2</v>
      </c>
      <c r="S194">
        <v>0.5</v>
      </c>
      <c r="T194" t="s">
        <v>135</v>
      </c>
      <c r="U194" t="s">
        <v>135</v>
      </c>
      <c r="V194" t="s">
        <v>62</v>
      </c>
      <c r="W194" t="s">
        <v>62</v>
      </c>
      <c r="X194">
        <v>0</v>
      </c>
      <c r="Y194">
        <v>0</v>
      </c>
      <c r="Z194">
        <v>4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4</v>
      </c>
      <c r="AK194">
        <v>0</v>
      </c>
      <c r="AL194">
        <v>4</v>
      </c>
      <c r="AM194">
        <v>1</v>
      </c>
      <c r="AN194">
        <v>23</v>
      </c>
      <c r="AO194">
        <v>4</v>
      </c>
      <c r="AP194">
        <v>1</v>
      </c>
      <c r="AQ194">
        <v>0</v>
      </c>
      <c r="AR194" t="s">
        <v>4032</v>
      </c>
      <c r="AS194" t="s">
        <v>64</v>
      </c>
      <c r="AT194">
        <v>1</v>
      </c>
      <c r="AU194" t="s">
        <v>65</v>
      </c>
      <c r="AV194">
        <v>24</v>
      </c>
      <c r="AW194">
        <v>4</v>
      </c>
      <c r="AX194" t="s">
        <v>4033</v>
      </c>
      <c r="AY194" t="s">
        <v>4034</v>
      </c>
      <c r="AZ194" t="s">
        <v>1730</v>
      </c>
      <c r="BA194">
        <v>4.4060000000000002E-2</v>
      </c>
      <c r="BB194">
        <v>1</v>
      </c>
      <c r="BC194" t="s">
        <v>69</v>
      </c>
      <c r="BD194">
        <v>-0.35499999999999998</v>
      </c>
      <c r="BE194">
        <v>-0.73299999999999998</v>
      </c>
    </row>
    <row r="195" spans="1:57">
      <c r="A195">
        <v>0</v>
      </c>
      <c r="B195">
        <v>0</v>
      </c>
      <c r="C195">
        <v>0</v>
      </c>
      <c r="D195">
        <v>3023</v>
      </c>
      <c r="E195" t="s">
        <v>4035</v>
      </c>
      <c r="F195" t="s">
        <v>5762</v>
      </c>
      <c r="G195" t="s">
        <v>62</v>
      </c>
      <c r="H195">
        <v>2971534</v>
      </c>
      <c r="I195">
        <v>2972163</v>
      </c>
      <c r="J195" t="s">
        <v>4036</v>
      </c>
      <c r="K195">
        <v>210</v>
      </c>
      <c r="L195" t="s">
        <v>59</v>
      </c>
      <c r="M195">
        <v>5</v>
      </c>
      <c r="N195" t="str">
        <f>HYPERLINK("Gene3023-zp_tree_all.dnd", "Gene3023-tree")</f>
        <v>Gene3023-tree</v>
      </c>
      <c r="O195">
        <v>3</v>
      </c>
      <c r="P195">
        <v>2</v>
      </c>
      <c r="Q195">
        <v>2</v>
      </c>
      <c r="R195">
        <v>2</v>
      </c>
      <c r="S195">
        <v>0.5</v>
      </c>
      <c r="T195" t="s">
        <v>217</v>
      </c>
      <c r="U195" t="s">
        <v>135</v>
      </c>
      <c r="V195" t="s">
        <v>62</v>
      </c>
      <c r="W195" t="s">
        <v>62</v>
      </c>
      <c r="X195">
        <v>0</v>
      </c>
      <c r="Y195">
        <v>0</v>
      </c>
      <c r="Z195">
        <v>3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3</v>
      </c>
      <c r="AK195">
        <v>0</v>
      </c>
      <c r="AL195">
        <v>4</v>
      </c>
      <c r="AM195">
        <v>1</v>
      </c>
      <c r="AN195">
        <v>14</v>
      </c>
      <c r="AO195">
        <v>3</v>
      </c>
      <c r="AP195">
        <v>16</v>
      </c>
      <c r="AQ195">
        <v>0</v>
      </c>
      <c r="AR195" t="s">
        <v>4037</v>
      </c>
      <c r="AS195" t="s">
        <v>64</v>
      </c>
      <c r="AT195">
        <v>1.1200000000000001</v>
      </c>
      <c r="AU195" t="s">
        <v>65</v>
      </c>
      <c r="AV195">
        <v>30</v>
      </c>
      <c r="AW195">
        <v>3</v>
      </c>
      <c r="AX195" t="s">
        <v>4038</v>
      </c>
      <c r="AY195" t="s">
        <v>4039</v>
      </c>
      <c r="AZ195" t="s">
        <v>4040</v>
      </c>
      <c r="BA195">
        <v>2.3599999999999999E-2</v>
      </c>
      <c r="BB195">
        <v>1</v>
      </c>
      <c r="BC195" t="s">
        <v>69</v>
      </c>
      <c r="BD195">
        <v>0.35899999999999999</v>
      </c>
      <c r="BE195">
        <v>0.35899999999999999</v>
      </c>
    </row>
    <row r="196" spans="1:57">
      <c r="A196">
        <v>0</v>
      </c>
      <c r="B196">
        <v>2</v>
      </c>
      <c r="C196">
        <v>0</v>
      </c>
      <c r="D196">
        <v>3027</v>
      </c>
      <c r="E196" t="s">
        <v>4041</v>
      </c>
      <c r="F196" t="s">
        <v>5762</v>
      </c>
      <c r="G196" t="s">
        <v>62</v>
      </c>
      <c r="H196">
        <v>2977803</v>
      </c>
      <c r="I196">
        <v>2978522</v>
      </c>
      <c r="J196" t="s">
        <v>4042</v>
      </c>
      <c r="K196">
        <v>240</v>
      </c>
      <c r="L196" t="s">
        <v>59</v>
      </c>
      <c r="M196">
        <v>5</v>
      </c>
      <c r="N196" t="str">
        <f>HYPERLINK("Gene3027-zp_tree_all.dnd", "Gene3027-tree")</f>
        <v>Gene3027-tree</v>
      </c>
      <c r="O196">
        <v>3</v>
      </c>
      <c r="P196">
        <v>2</v>
      </c>
      <c r="Q196">
        <v>3</v>
      </c>
      <c r="R196">
        <v>2</v>
      </c>
      <c r="S196">
        <v>0.4</v>
      </c>
      <c r="T196" t="s">
        <v>84</v>
      </c>
      <c r="U196" t="s">
        <v>135</v>
      </c>
      <c r="V196" t="s">
        <v>62</v>
      </c>
      <c r="W196" t="s">
        <v>62</v>
      </c>
      <c r="X196">
        <v>1</v>
      </c>
      <c r="Y196">
        <v>2</v>
      </c>
      <c r="Z196">
        <v>3</v>
      </c>
      <c r="AA196">
        <v>0.4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2</v>
      </c>
      <c r="AH196">
        <v>0</v>
      </c>
      <c r="AI196">
        <v>2</v>
      </c>
      <c r="AJ196">
        <v>1</v>
      </c>
      <c r="AK196">
        <v>0.66666999999999998</v>
      </c>
      <c r="AL196">
        <v>5</v>
      </c>
      <c r="AM196">
        <v>2</v>
      </c>
      <c r="AN196">
        <v>20</v>
      </c>
      <c r="AO196">
        <v>3</v>
      </c>
      <c r="AP196">
        <v>20</v>
      </c>
      <c r="AQ196">
        <v>2</v>
      </c>
      <c r="AR196" t="s">
        <v>4043</v>
      </c>
      <c r="AS196" t="s">
        <v>4044</v>
      </c>
      <c r="AT196">
        <v>0.308</v>
      </c>
      <c r="AU196" t="s">
        <v>65</v>
      </c>
      <c r="AV196">
        <v>40</v>
      </c>
      <c r="AW196">
        <v>5</v>
      </c>
      <c r="AX196" t="s">
        <v>4045</v>
      </c>
      <c r="AY196" t="s">
        <v>4046</v>
      </c>
      <c r="AZ196" t="s">
        <v>4047</v>
      </c>
      <c r="BA196">
        <v>2.802E-2</v>
      </c>
      <c r="BB196">
        <v>1</v>
      </c>
      <c r="BC196" t="s">
        <v>69</v>
      </c>
      <c r="BD196">
        <v>0.46</v>
      </c>
      <c r="BE196">
        <v>0.27700000000000002</v>
      </c>
    </row>
    <row r="197" spans="1:57">
      <c r="A197">
        <v>0</v>
      </c>
      <c r="B197">
        <v>0</v>
      </c>
      <c r="C197">
        <v>0</v>
      </c>
      <c r="D197">
        <v>3028</v>
      </c>
      <c r="E197" t="s">
        <v>4048</v>
      </c>
      <c r="F197" t="s">
        <v>5762</v>
      </c>
      <c r="G197" t="s">
        <v>62</v>
      </c>
      <c r="H197">
        <v>2978737</v>
      </c>
      <c r="I197">
        <v>2979672</v>
      </c>
      <c r="J197" t="s">
        <v>4049</v>
      </c>
      <c r="K197">
        <v>312</v>
      </c>
      <c r="L197" t="s">
        <v>59</v>
      </c>
      <c r="M197">
        <v>5</v>
      </c>
      <c r="N197" t="str">
        <f>HYPERLINK("Gene3028-zp_tree_all.dnd", "Gene3028-tree")</f>
        <v>Gene3028-tree</v>
      </c>
      <c r="O197">
        <v>3</v>
      </c>
      <c r="P197">
        <v>2</v>
      </c>
      <c r="Q197">
        <v>3</v>
      </c>
      <c r="R197">
        <v>2</v>
      </c>
      <c r="S197">
        <v>0.4</v>
      </c>
      <c r="T197" t="s">
        <v>84</v>
      </c>
      <c r="U197" t="s">
        <v>135</v>
      </c>
      <c r="V197" t="s">
        <v>62</v>
      </c>
      <c r="W197" t="s">
        <v>62</v>
      </c>
      <c r="X197">
        <v>0</v>
      </c>
      <c r="Y197">
        <v>0</v>
      </c>
      <c r="Z197">
        <v>3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2</v>
      </c>
      <c r="AK197">
        <v>0</v>
      </c>
      <c r="AL197">
        <v>5</v>
      </c>
      <c r="AM197">
        <v>2</v>
      </c>
      <c r="AN197">
        <v>23</v>
      </c>
      <c r="AO197">
        <v>2</v>
      </c>
      <c r="AP197">
        <v>17</v>
      </c>
      <c r="AQ197">
        <v>1</v>
      </c>
      <c r="AR197" t="s">
        <v>4050</v>
      </c>
      <c r="AS197" t="s">
        <v>4051</v>
      </c>
      <c r="AT197">
        <v>0.29699999999999999</v>
      </c>
      <c r="AU197" t="s">
        <v>65</v>
      </c>
      <c r="AV197">
        <v>40</v>
      </c>
      <c r="AW197">
        <v>3</v>
      </c>
      <c r="AX197" t="s">
        <v>4052</v>
      </c>
      <c r="AY197" t="s">
        <v>4053</v>
      </c>
      <c r="AZ197" t="s">
        <v>4054</v>
      </c>
      <c r="BA197">
        <v>2.3550000000000001E-2</v>
      </c>
      <c r="BB197">
        <v>1</v>
      </c>
      <c r="BC197" t="s">
        <v>69</v>
      </c>
      <c r="BD197">
        <v>0.313</v>
      </c>
      <c r="BE197">
        <v>0.157</v>
      </c>
    </row>
    <row r="198" spans="1:57">
      <c r="A198">
        <v>0</v>
      </c>
      <c r="B198">
        <v>0</v>
      </c>
      <c r="C198">
        <v>0</v>
      </c>
      <c r="D198">
        <v>3029</v>
      </c>
      <c r="E198" t="s">
        <v>4055</v>
      </c>
      <c r="F198" t="s">
        <v>5762</v>
      </c>
      <c r="G198" t="s">
        <v>62</v>
      </c>
      <c r="H198">
        <v>2979719</v>
      </c>
      <c r="I198">
        <v>2980987</v>
      </c>
      <c r="J198" t="s">
        <v>4056</v>
      </c>
      <c r="K198">
        <v>423</v>
      </c>
      <c r="L198" t="s">
        <v>59</v>
      </c>
      <c r="M198">
        <v>5</v>
      </c>
      <c r="N198" t="str">
        <f>HYPERLINK("Gene3029-zp_tree_all.dnd", "Gene3029-tree")</f>
        <v>Gene3029-tree</v>
      </c>
      <c r="O198">
        <v>5</v>
      </c>
      <c r="P198">
        <v>0</v>
      </c>
      <c r="Q198">
        <v>5</v>
      </c>
      <c r="R198">
        <v>0</v>
      </c>
      <c r="S198">
        <v>0</v>
      </c>
      <c r="T198" t="s">
        <v>98</v>
      </c>
      <c r="U198" t="s">
        <v>62</v>
      </c>
      <c r="V198" t="s">
        <v>62</v>
      </c>
      <c r="W198" t="s">
        <v>62</v>
      </c>
      <c r="X198">
        <v>0</v>
      </c>
      <c r="Y198">
        <v>0</v>
      </c>
      <c r="Z198">
        <v>5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5</v>
      </c>
      <c r="AM198">
        <v>2</v>
      </c>
      <c r="AN198">
        <v>34</v>
      </c>
      <c r="AO198">
        <v>0</v>
      </c>
      <c r="AP198">
        <v>28</v>
      </c>
      <c r="AQ198">
        <v>5</v>
      </c>
      <c r="AR198" t="s">
        <v>64</v>
      </c>
      <c r="AS198" t="s">
        <v>4057</v>
      </c>
      <c r="AT198">
        <v>1.276</v>
      </c>
      <c r="AU198" t="s">
        <v>65</v>
      </c>
      <c r="AV198">
        <v>62</v>
      </c>
      <c r="AW198">
        <v>5</v>
      </c>
      <c r="AX198" t="s">
        <v>4058</v>
      </c>
      <c r="AY198" t="s">
        <v>4059</v>
      </c>
      <c r="AZ198" t="s">
        <v>4060</v>
      </c>
      <c r="BA198">
        <v>2.8080000000000001E-2</v>
      </c>
      <c r="BB198">
        <v>1</v>
      </c>
      <c r="BC198" t="s">
        <v>69</v>
      </c>
      <c r="BD198">
        <v>0.56599999999999995</v>
      </c>
      <c r="BE198">
        <v>0.34</v>
      </c>
    </row>
    <row r="199" spans="1:57">
      <c r="A199">
        <v>0</v>
      </c>
      <c r="B199">
        <v>0</v>
      </c>
      <c r="C199">
        <v>0</v>
      </c>
      <c r="D199">
        <v>3030</v>
      </c>
      <c r="E199" t="s">
        <v>4061</v>
      </c>
      <c r="F199" t="s">
        <v>5762</v>
      </c>
      <c r="G199" t="s">
        <v>62</v>
      </c>
      <c r="H199">
        <v>2981154</v>
      </c>
      <c r="I199">
        <v>2982269</v>
      </c>
      <c r="J199" t="s">
        <v>4062</v>
      </c>
      <c r="K199">
        <v>372</v>
      </c>
      <c r="L199" t="s">
        <v>59</v>
      </c>
      <c r="M199">
        <v>5</v>
      </c>
      <c r="N199" t="str">
        <f>HYPERLINK("Gene3030-zp_tree_all.dnd", "Gene3030-tree")</f>
        <v>Gene3030-tree</v>
      </c>
      <c r="O199">
        <v>3</v>
      </c>
      <c r="P199">
        <v>2</v>
      </c>
      <c r="Q199">
        <v>2</v>
      </c>
      <c r="R199">
        <v>2</v>
      </c>
      <c r="S199">
        <v>0.5</v>
      </c>
      <c r="T199" t="s">
        <v>217</v>
      </c>
      <c r="U199" t="s">
        <v>135</v>
      </c>
      <c r="V199" t="s">
        <v>62</v>
      </c>
      <c r="W199" t="s">
        <v>62</v>
      </c>
      <c r="X199">
        <v>0</v>
      </c>
      <c r="Y199">
        <v>0</v>
      </c>
      <c r="Z199">
        <v>7</v>
      </c>
      <c r="AA199">
        <v>0</v>
      </c>
      <c r="AB199">
        <v>0</v>
      </c>
      <c r="AC199">
        <v>0</v>
      </c>
      <c r="AD199">
        <v>0</v>
      </c>
      <c r="AE199">
        <v>4</v>
      </c>
      <c r="AF199">
        <v>0</v>
      </c>
      <c r="AG199">
        <v>0</v>
      </c>
      <c r="AH199">
        <v>0</v>
      </c>
      <c r="AI199">
        <v>0</v>
      </c>
      <c r="AJ199">
        <v>3</v>
      </c>
      <c r="AK199">
        <v>0</v>
      </c>
      <c r="AL199">
        <v>4</v>
      </c>
      <c r="AM199">
        <v>1</v>
      </c>
      <c r="AN199">
        <v>19</v>
      </c>
      <c r="AO199">
        <v>3</v>
      </c>
      <c r="AP199">
        <v>38</v>
      </c>
      <c r="AQ199">
        <v>5</v>
      </c>
      <c r="AR199" t="s">
        <v>4063</v>
      </c>
      <c r="AS199" t="s">
        <v>4064</v>
      </c>
      <c r="AT199">
        <v>0.32500000000000001</v>
      </c>
      <c r="AU199" t="s">
        <v>65</v>
      </c>
      <c r="AV199">
        <v>57</v>
      </c>
      <c r="AW199">
        <v>8</v>
      </c>
      <c r="AX199" t="s">
        <v>4065</v>
      </c>
      <c r="AY199" t="s">
        <v>4066</v>
      </c>
      <c r="AZ199" t="s">
        <v>4067</v>
      </c>
      <c r="BA199">
        <v>3.8379999999999997E-2</v>
      </c>
      <c r="BB199">
        <v>1</v>
      </c>
      <c r="BC199" t="s">
        <v>69</v>
      </c>
      <c r="BD199">
        <v>0.95599999999999996</v>
      </c>
      <c r="BE199">
        <v>0.85699999999999998</v>
      </c>
    </row>
    <row r="200" spans="1:57">
      <c r="A200">
        <v>0</v>
      </c>
      <c r="B200">
        <v>0</v>
      </c>
      <c r="C200">
        <v>0</v>
      </c>
      <c r="D200">
        <v>3035</v>
      </c>
      <c r="E200" t="s">
        <v>4068</v>
      </c>
      <c r="F200" t="s">
        <v>5762</v>
      </c>
      <c r="G200" t="s">
        <v>62</v>
      </c>
      <c r="H200">
        <v>2986591</v>
      </c>
      <c r="I200">
        <v>2987547</v>
      </c>
      <c r="J200" t="s">
        <v>4069</v>
      </c>
      <c r="K200">
        <v>319</v>
      </c>
      <c r="L200" t="s">
        <v>59</v>
      </c>
      <c r="M200">
        <v>5</v>
      </c>
      <c r="N200" t="str">
        <f>HYPERLINK("Gene3035-zp_tree_all.dnd", "Gene3035-tree")</f>
        <v>Gene3035-tree</v>
      </c>
      <c r="O200">
        <v>5</v>
      </c>
      <c r="P200">
        <v>0</v>
      </c>
      <c r="Q200">
        <v>5</v>
      </c>
      <c r="R200">
        <v>0</v>
      </c>
      <c r="S200">
        <v>0</v>
      </c>
      <c r="T200" t="s">
        <v>98</v>
      </c>
      <c r="U200" t="s">
        <v>62</v>
      </c>
      <c r="V200" t="s">
        <v>62</v>
      </c>
      <c r="W200" t="s">
        <v>62</v>
      </c>
      <c r="X200">
        <v>0</v>
      </c>
      <c r="Y200">
        <v>0</v>
      </c>
      <c r="Z200">
        <v>2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5</v>
      </c>
      <c r="AM200">
        <v>2</v>
      </c>
      <c r="AN200">
        <v>19</v>
      </c>
      <c r="AO200">
        <v>0</v>
      </c>
      <c r="AP200">
        <v>29</v>
      </c>
      <c r="AQ200">
        <v>2</v>
      </c>
      <c r="AR200" t="s">
        <v>64</v>
      </c>
      <c r="AS200" t="s">
        <v>4070</v>
      </c>
      <c r="AT200">
        <v>0.91400000000000003</v>
      </c>
      <c r="AU200" t="s">
        <v>65</v>
      </c>
      <c r="AV200">
        <v>48</v>
      </c>
      <c r="AW200">
        <v>2</v>
      </c>
      <c r="AX200" t="s">
        <v>4071</v>
      </c>
      <c r="AY200" t="s">
        <v>4072</v>
      </c>
      <c r="AZ200" t="s">
        <v>4073</v>
      </c>
      <c r="BA200">
        <v>1.787E-2</v>
      </c>
      <c r="BB200">
        <v>1</v>
      </c>
      <c r="BC200" t="s">
        <v>69</v>
      </c>
      <c r="BD200">
        <v>0.73099999999999998</v>
      </c>
      <c r="BE200">
        <v>0.73099999999999998</v>
      </c>
    </row>
    <row r="201" spans="1:57">
      <c r="A201">
        <v>0</v>
      </c>
      <c r="B201">
        <v>0</v>
      </c>
      <c r="C201">
        <v>0</v>
      </c>
      <c r="D201">
        <v>3036</v>
      </c>
      <c r="E201" t="s">
        <v>4074</v>
      </c>
      <c r="F201" t="s">
        <v>5762</v>
      </c>
      <c r="G201" t="s">
        <v>62</v>
      </c>
      <c r="H201">
        <v>2987734</v>
      </c>
      <c r="I201">
        <v>2988708</v>
      </c>
      <c r="J201" t="s">
        <v>4075</v>
      </c>
      <c r="K201">
        <v>325</v>
      </c>
      <c r="L201" t="s">
        <v>59</v>
      </c>
      <c r="M201">
        <v>5</v>
      </c>
      <c r="N201" t="str">
        <f>HYPERLINK("Gene3036-zp_tree_all.dnd", "Gene3036-tree")</f>
        <v>Gene3036-tree</v>
      </c>
      <c r="O201">
        <v>2</v>
      </c>
      <c r="P201">
        <v>3</v>
      </c>
      <c r="Q201">
        <v>2</v>
      </c>
      <c r="R201">
        <v>3</v>
      </c>
      <c r="S201">
        <v>0.6</v>
      </c>
      <c r="T201" t="s">
        <v>135</v>
      </c>
      <c r="U201" t="s">
        <v>84</v>
      </c>
      <c r="V201" t="s">
        <v>62</v>
      </c>
      <c r="W201" t="s">
        <v>62</v>
      </c>
      <c r="X201">
        <v>0</v>
      </c>
      <c r="Y201">
        <v>0</v>
      </c>
      <c r="Z201">
        <v>6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5</v>
      </c>
      <c r="AK201">
        <v>0</v>
      </c>
      <c r="AL201">
        <v>5</v>
      </c>
      <c r="AM201">
        <v>2</v>
      </c>
      <c r="AN201">
        <v>21</v>
      </c>
      <c r="AO201">
        <v>5</v>
      </c>
      <c r="AP201">
        <v>25</v>
      </c>
      <c r="AQ201">
        <v>1</v>
      </c>
      <c r="AR201" t="s">
        <v>4076</v>
      </c>
      <c r="AS201" t="s">
        <v>4077</v>
      </c>
      <c r="AT201">
        <v>1.0980000000000001</v>
      </c>
      <c r="AU201" t="s">
        <v>65</v>
      </c>
      <c r="AV201">
        <v>46</v>
      </c>
      <c r="AW201">
        <v>6</v>
      </c>
      <c r="AX201" t="s">
        <v>4078</v>
      </c>
      <c r="AY201" t="s">
        <v>4079</v>
      </c>
      <c r="AZ201" t="s">
        <v>4080</v>
      </c>
      <c r="BA201">
        <v>3.0519999999999999E-2</v>
      </c>
      <c r="BB201">
        <v>1</v>
      </c>
      <c r="BC201" t="s">
        <v>69</v>
      </c>
      <c r="BD201">
        <v>0.503</v>
      </c>
      <c r="BE201">
        <v>0.189</v>
      </c>
    </row>
    <row r="202" spans="1:57">
      <c r="A202">
        <v>0</v>
      </c>
      <c r="B202">
        <v>0</v>
      </c>
      <c r="C202">
        <v>0</v>
      </c>
      <c r="D202">
        <v>3037</v>
      </c>
      <c r="E202" t="s">
        <v>4081</v>
      </c>
      <c r="F202" t="s">
        <v>5762</v>
      </c>
      <c r="G202" t="s">
        <v>62</v>
      </c>
      <c r="H202">
        <v>2988696</v>
      </c>
      <c r="I202">
        <v>2989565</v>
      </c>
      <c r="J202" t="s">
        <v>4082</v>
      </c>
      <c r="K202">
        <v>290</v>
      </c>
      <c r="L202" t="s">
        <v>59</v>
      </c>
      <c r="M202">
        <v>5</v>
      </c>
      <c r="N202" t="str">
        <f>HYPERLINK("Gene3037-zp_tree_all.dnd", "Gene3037-tree")</f>
        <v>Gene3037-tree</v>
      </c>
      <c r="O202">
        <v>3</v>
      </c>
      <c r="P202">
        <v>2</v>
      </c>
      <c r="Q202">
        <v>3</v>
      </c>
      <c r="R202">
        <v>2</v>
      </c>
      <c r="S202">
        <v>0.4</v>
      </c>
      <c r="T202" t="s">
        <v>84</v>
      </c>
      <c r="U202" t="s">
        <v>135</v>
      </c>
      <c r="V202" t="s">
        <v>62</v>
      </c>
      <c r="W202" t="s">
        <v>62</v>
      </c>
      <c r="X202">
        <v>0</v>
      </c>
      <c r="Y202">
        <v>0</v>
      </c>
      <c r="Z202">
        <v>2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2</v>
      </c>
      <c r="AK202">
        <v>0</v>
      </c>
      <c r="AL202">
        <v>4</v>
      </c>
      <c r="AM202">
        <v>2</v>
      </c>
      <c r="AN202">
        <v>14</v>
      </c>
      <c r="AO202">
        <v>2</v>
      </c>
      <c r="AP202">
        <v>18</v>
      </c>
      <c r="AQ202">
        <v>1</v>
      </c>
      <c r="AR202" t="s">
        <v>4083</v>
      </c>
      <c r="AS202" t="s">
        <v>4084</v>
      </c>
      <c r="AT202">
        <v>0.878</v>
      </c>
      <c r="AU202" t="s">
        <v>65</v>
      </c>
      <c r="AV202">
        <v>32</v>
      </c>
      <c r="AW202">
        <v>3</v>
      </c>
      <c r="AX202" t="s">
        <v>4085</v>
      </c>
      <c r="AY202" t="s">
        <v>4086</v>
      </c>
      <c r="AZ202" t="s">
        <v>4087</v>
      </c>
      <c r="BA202">
        <v>1.7239999999999998E-2</v>
      </c>
      <c r="BB202">
        <v>1</v>
      </c>
      <c r="BC202" t="s">
        <v>69</v>
      </c>
      <c r="BD202">
        <v>0.64300000000000002</v>
      </c>
      <c r="BE202">
        <v>0.17</v>
      </c>
    </row>
    <row r="203" spans="1:57">
      <c r="A203">
        <v>0</v>
      </c>
      <c r="B203">
        <v>0</v>
      </c>
      <c r="C203">
        <v>2</v>
      </c>
      <c r="D203">
        <v>3043</v>
      </c>
      <c r="E203" t="s">
        <v>4100</v>
      </c>
      <c r="F203" t="s">
        <v>5762</v>
      </c>
      <c r="G203" t="s">
        <v>62</v>
      </c>
      <c r="H203">
        <v>2995911</v>
      </c>
      <c r="I203">
        <v>2996849</v>
      </c>
      <c r="J203" t="s">
        <v>4101</v>
      </c>
      <c r="K203">
        <v>313</v>
      </c>
      <c r="L203" t="s">
        <v>59</v>
      </c>
      <c r="M203">
        <v>5</v>
      </c>
      <c r="N203" t="str">
        <f>HYPERLINK("Gene3043-zp_tree_all.dnd", "Gene3043-tree")</f>
        <v>Gene3043-tree</v>
      </c>
      <c r="O203">
        <v>3</v>
      </c>
      <c r="P203">
        <v>2</v>
      </c>
      <c r="Q203">
        <v>3</v>
      </c>
      <c r="R203">
        <v>2</v>
      </c>
      <c r="S203">
        <v>0.4</v>
      </c>
      <c r="T203" t="s">
        <v>84</v>
      </c>
      <c r="U203" t="s">
        <v>135</v>
      </c>
      <c r="V203" t="s">
        <v>62</v>
      </c>
      <c r="W203" t="s">
        <v>62</v>
      </c>
      <c r="X203">
        <v>1</v>
      </c>
      <c r="Y203">
        <v>2</v>
      </c>
      <c r="Z203">
        <v>3</v>
      </c>
      <c r="AA203">
        <v>0.4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2</v>
      </c>
      <c r="AI203">
        <v>2</v>
      </c>
      <c r="AJ203">
        <v>2</v>
      </c>
      <c r="AK203">
        <v>0.5</v>
      </c>
      <c r="AL203">
        <v>5</v>
      </c>
      <c r="AM203">
        <v>2</v>
      </c>
      <c r="AN203">
        <v>18</v>
      </c>
      <c r="AO203">
        <v>4</v>
      </c>
      <c r="AP203">
        <v>22</v>
      </c>
      <c r="AQ203">
        <v>2</v>
      </c>
      <c r="AR203" t="s">
        <v>4102</v>
      </c>
      <c r="AS203" t="s">
        <v>4103</v>
      </c>
      <c r="AT203">
        <v>0.46600000000000003</v>
      </c>
      <c r="AU203" t="s">
        <v>65</v>
      </c>
      <c r="AV203">
        <v>40</v>
      </c>
      <c r="AW203">
        <v>6</v>
      </c>
      <c r="AX203" t="s">
        <v>4104</v>
      </c>
      <c r="AY203" t="s">
        <v>4105</v>
      </c>
      <c r="AZ203" t="s">
        <v>4106</v>
      </c>
      <c r="BA203">
        <v>4.1419999999999998E-2</v>
      </c>
      <c r="BB203">
        <v>1</v>
      </c>
      <c r="BC203" t="s">
        <v>69</v>
      </c>
      <c r="BD203">
        <v>0.68700000000000006</v>
      </c>
      <c r="BE203">
        <v>0.16400000000000001</v>
      </c>
    </row>
    <row r="204" spans="1:57">
      <c r="A204">
        <v>0</v>
      </c>
      <c r="B204">
        <v>0</v>
      </c>
      <c r="C204">
        <v>0</v>
      </c>
      <c r="D204">
        <v>3059</v>
      </c>
      <c r="E204" t="s">
        <v>4113</v>
      </c>
      <c r="F204" t="s">
        <v>5762</v>
      </c>
      <c r="G204" t="s">
        <v>62</v>
      </c>
      <c r="H204">
        <v>3009918</v>
      </c>
      <c r="I204">
        <v>3010598</v>
      </c>
      <c r="J204" t="s">
        <v>1522</v>
      </c>
      <c r="K204">
        <v>227</v>
      </c>
      <c r="L204" t="s">
        <v>83</v>
      </c>
      <c r="M204">
        <v>4</v>
      </c>
      <c r="N204" t="str">
        <f>HYPERLINK("Gene3059-zp_tree_all.dnd", "Gene3059-tree")</f>
        <v>Gene3059-tree</v>
      </c>
      <c r="O204">
        <v>3</v>
      </c>
      <c r="P204">
        <v>1</v>
      </c>
      <c r="Q204">
        <v>3</v>
      </c>
      <c r="R204">
        <v>1</v>
      </c>
      <c r="S204">
        <v>0.25</v>
      </c>
      <c r="T204" t="s">
        <v>84</v>
      </c>
      <c r="U204" t="s">
        <v>61</v>
      </c>
      <c r="V204" t="s">
        <v>62</v>
      </c>
      <c r="W204" t="s">
        <v>62</v>
      </c>
      <c r="X204">
        <v>0</v>
      </c>
      <c r="Y204">
        <v>0</v>
      </c>
      <c r="Z204">
        <v>3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3</v>
      </c>
      <c r="AK204">
        <v>0</v>
      </c>
      <c r="AL204">
        <v>3</v>
      </c>
      <c r="AM204">
        <v>1</v>
      </c>
      <c r="AN204">
        <v>31</v>
      </c>
      <c r="AO204">
        <v>3</v>
      </c>
      <c r="AP204">
        <v>5</v>
      </c>
      <c r="AQ204">
        <v>0</v>
      </c>
      <c r="AR204" t="s">
        <v>4114</v>
      </c>
      <c r="AS204" t="s">
        <v>64</v>
      </c>
      <c r="AT204">
        <v>0.51400000000000001</v>
      </c>
      <c r="AU204" t="s">
        <v>65</v>
      </c>
      <c r="AV204">
        <v>36</v>
      </c>
      <c r="AW204">
        <v>3</v>
      </c>
      <c r="AX204" t="s">
        <v>4115</v>
      </c>
      <c r="AY204" t="s">
        <v>4116</v>
      </c>
      <c r="AZ204" t="s">
        <v>4117</v>
      </c>
      <c r="BA204">
        <v>2.1350000000000001E-2</v>
      </c>
      <c r="BB204">
        <v>1</v>
      </c>
      <c r="BC204" t="s">
        <v>69</v>
      </c>
      <c r="BD204">
        <v>-0.26500000000000001</v>
      </c>
      <c r="BE204">
        <v>-0.52200000000000002</v>
      </c>
    </row>
    <row r="205" spans="1:57">
      <c r="A205">
        <v>0</v>
      </c>
      <c r="B205">
        <v>0</v>
      </c>
      <c r="C205">
        <v>0</v>
      </c>
      <c r="D205">
        <v>3060</v>
      </c>
      <c r="E205" t="s">
        <v>4118</v>
      </c>
      <c r="F205" t="s">
        <v>5762</v>
      </c>
      <c r="G205" t="s">
        <v>62</v>
      </c>
      <c r="H205">
        <v>3010664</v>
      </c>
      <c r="I205">
        <v>3011428</v>
      </c>
      <c r="J205" t="s">
        <v>4119</v>
      </c>
      <c r="K205">
        <v>255</v>
      </c>
      <c r="L205" t="s">
        <v>59</v>
      </c>
      <c r="M205">
        <v>5</v>
      </c>
      <c r="N205" t="str">
        <f>HYPERLINK("Gene3060-zp_tree_all.dnd", "Gene3060-tree")</f>
        <v>Gene3060-tree</v>
      </c>
      <c r="O205">
        <v>3</v>
      </c>
      <c r="P205">
        <v>2</v>
      </c>
      <c r="Q205">
        <v>3</v>
      </c>
      <c r="R205">
        <v>2</v>
      </c>
      <c r="S205">
        <v>0.4</v>
      </c>
      <c r="T205" t="s">
        <v>84</v>
      </c>
      <c r="U205" t="s">
        <v>135</v>
      </c>
      <c r="V205" t="s">
        <v>62</v>
      </c>
      <c r="W205" t="s">
        <v>62</v>
      </c>
      <c r="X205">
        <v>0</v>
      </c>
      <c r="Y205">
        <v>0</v>
      </c>
      <c r="Z205">
        <v>3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2</v>
      </c>
      <c r="AK205">
        <v>0</v>
      </c>
      <c r="AL205">
        <v>5</v>
      </c>
      <c r="AM205">
        <v>2</v>
      </c>
      <c r="AN205">
        <v>25</v>
      </c>
      <c r="AO205">
        <v>2</v>
      </c>
      <c r="AP205">
        <v>15</v>
      </c>
      <c r="AQ205">
        <v>1</v>
      </c>
      <c r="AR205" t="s">
        <v>4120</v>
      </c>
      <c r="AS205" t="s">
        <v>4121</v>
      </c>
      <c r="AT205">
        <v>0.14199999999999999</v>
      </c>
      <c r="AU205" t="s">
        <v>65</v>
      </c>
      <c r="AV205">
        <v>40</v>
      </c>
      <c r="AW205">
        <v>3</v>
      </c>
      <c r="AX205" t="s">
        <v>4122</v>
      </c>
      <c r="AY205" t="s">
        <v>4123</v>
      </c>
      <c r="AZ205" t="s">
        <v>4124</v>
      </c>
      <c r="BA205">
        <v>2.0820000000000002E-2</v>
      </c>
      <c r="BB205">
        <v>1</v>
      </c>
      <c r="BC205" t="s">
        <v>69</v>
      </c>
      <c r="BD205">
        <v>1.4999999999999999E-2</v>
      </c>
      <c r="BE205">
        <v>1.4999999999999999E-2</v>
      </c>
    </row>
    <row r="206" spans="1:57">
      <c r="A206">
        <v>0</v>
      </c>
      <c r="B206">
        <v>0</v>
      </c>
      <c r="C206">
        <v>0</v>
      </c>
      <c r="D206">
        <v>3061</v>
      </c>
      <c r="E206" t="s">
        <v>4125</v>
      </c>
      <c r="F206" t="s">
        <v>5762</v>
      </c>
      <c r="G206" t="s">
        <v>62</v>
      </c>
      <c r="H206">
        <v>3011558</v>
      </c>
      <c r="I206">
        <v>3011791</v>
      </c>
      <c r="J206" t="s">
        <v>118</v>
      </c>
      <c r="K206">
        <v>78</v>
      </c>
      <c r="L206" t="s">
        <v>1779</v>
      </c>
      <c r="M206">
        <v>4</v>
      </c>
      <c r="N206" t="str">
        <f>HYPERLINK("Gene3061-zp_tree_all.dnd", "Gene3061-tree")</f>
        <v>Gene3061-tree</v>
      </c>
      <c r="O206">
        <v>3</v>
      </c>
      <c r="P206">
        <v>1</v>
      </c>
      <c r="Q206">
        <v>3</v>
      </c>
      <c r="R206">
        <v>1</v>
      </c>
      <c r="S206">
        <v>0.25</v>
      </c>
      <c r="T206" t="s">
        <v>84</v>
      </c>
      <c r="U206" t="s">
        <v>61</v>
      </c>
      <c r="V206" t="s">
        <v>62</v>
      </c>
      <c r="W206" t="s">
        <v>62</v>
      </c>
      <c r="X206">
        <v>0</v>
      </c>
      <c r="Y206">
        <v>0</v>
      </c>
      <c r="Z206">
        <v>5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1</v>
      </c>
      <c r="AK206">
        <v>0</v>
      </c>
      <c r="AL206">
        <v>3</v>
      </c>
      <c r="AM206">
        <v>1</v>
      </c>
      <c r="AN206">
        <v>3</v>
      </c>
      <c r="AO206">
        <v>1</v>
      </c>
      <c r="AP206">
        <v>2</v>
      </c>
      <c r="AQ206">
        <v>4</v>
      </c>
      <c r="AR206" t="s">
        <v>4126</v>
      </c>
      <c r="AS206" t="s">
        <v>4127</v>
      </c>
      <c r="AT206">
        <v>4.3120000000000003</v>
      </c>
      <c r="AU206" t="s">
        <v>65</v>
      </c>
      <c r="AV206">
        <v>5</v>
      </c>
      <c r="AW206">
        <v>5</v>
      </c>
      <c r="AX206" t="s">
        <v>4128</v>
      </c>
      <c r="AY206" t="s">
        <v>4129</v>
      </c>
      <c r="AZ206" t="s">
        <v>4130</v>
      </c>
      <c r="BA206">
        <v>0.28038000000000002</v>
      </c>
      <c r="BB206">
        <v>0.91500000000000004</v>
      </c>
      <c r="BC206" t="s">
        <v>793</v>
      </c>
      <c r="BD206">
        <v>1.0009999999999999</v>
      </c>
      <c r="BE206">
        <v>1.0009999999999999</v>
      </c>
    </row>
    <row r="207" spans="1:57">
      <c r="A207">
        <v>0</v>
      </c>
      <c r="B207">
        <v>0</v>
      </c>
      <c r="C207">
        <v>0</v>
      </c>
      <c r="D207">
        <v>3063</v>
      </c>
      <c r="E207" t="s">
        <v>4131</v>
      </c>
      <c r="F207" t="s">
        <v>5762</v>
      </c>
      <c r="G207" t="s">
        <v>62</v>
      </c>
      <c r="H207">
        <v>3013136</v>
      </c>
      <c r="I207">
        <v>3014344</v>
      </c>
      <c r="J207" t="s">
        <v>4132</v>
      </c>
      <c r="K207">
        <v>403</v>
      </c>
      <c r="L207" t="s">
        <v>59</v>
      </c>
      <c r="M207">
        <v>5</v>
      </c>
      <c r="N207" t="str">
        <f>HYPERLINK("Gene3063-zp_tree_all.dnd", "Gene3063-tree")</f>
        <v>Gene3063-tree</v>
      </c>
      <c r="O207">
        <v>3</v>
      </c>
      <c r="P207">
        <v>2</v>
      </c>
      <c r="Q207">
        <v>3</v>
      </c>
      <c r="R207">
        <v>2</v>
      </c>
      <c r="S207">
        <v>0.4</v>
      </c>
      <c r="T207" t="s">
        <v>84</v>
      </c>
      <c r="U207" t="s">
        <v>135</v>
      </c>
      <c r="V207" t="s">
        <v>62</v>
      </c>
      <c r="W207" t="s">
        <v>62</v>
      </c>
      <c r="X207">
        <v>0</v>
      </c>
      <c r="Y207">
        <v>0</v>
      </c>
      <c r="Z207">
        <v>4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4</v>
      </c>
      <c r="AK207">
        <v>0</v>
      </c>
      <c r="AL207">
        <v>5</v>
      </c>
      <c r="AM207">
        <v>2</v>
      </c>
      <c r="AN207">
        <v>51</v>
      </c>
      <c r="AO207">
        <v>4</v>
      </c>
      <c r="AP207">
        <v>35</v>
      </c>
      <c r="AQ207">
        <v>0</v>
      </c>
      <c r="AR207" t="s">
        <v>4133</v>
      </c>
      <c r="AS207" t="s">
        <v>64</v>
      </c>
      <c r="AT207">
        <v>0.97199999999999998</v>
      </c>
      <c r="AU207" t="s">
        <v>65</v>
      </c>
      <c r="AV207">
        <v>86</v>
      </c>
      <c r="AW207">
        <v>4</v>
      </c>
      <c r="AX207" t="s">
        <v>4134</v>
      </c>
      <c r="AY207" t="s">
        <v>4135</v>
      </c>
      <c r="AZ207" t="s">
        <v>4136</v>
      </c>
      <c r="BA207">
        <v>1.0840000000000001E-2</v>
      </c>
      <c r="BB207">
        <v>1</v>
      </c>
      <c r="BC207" t="s">
        <v>69</v>
      </c>
      <c r="BD207">
        <v>0.33500000000000002</v>
      </c>
      <c r="BE207">
        <v>8.5000000000000006E-2</v>
      </c>
    </row>
    <row r="208" spans="1:57">
      <c r="A208">
        <v>0</v>
      </c>
      <c r="B208">
        <v>0</v>
      </c>
      <c r="C208">
        <v>0</v>
      </c>
      <c r="D208">
        <v>3065</v>
      </c>
      <c r="E208" t="s">
        <v>4137</v>
      </c>
      <c r="F208" t="s">
        <v>5762</v>
      </c>
      <c r="G208" t="s">
        <v>62</v>
      </c>
      <c r="H208">
        <v>3015114</v>
      </c>
      <c r="I208">
        <v>3016298</v>
      </c>
      <c r="J208" t="s">
        <v>4138</v>
      </c>
      <c r="K208">
        <v>395</v>
      </c>
      <c r="L208" t="s">
        <v>59</v>
      </c>
      <c r="M208">
        <v>5</v>
      </c>
      <c r="N208" t="str">
        <f>HYPERLINK("Gene3065-zp_tree_all.dnd", "Gene3065-tree")</f>
        <v>Gene3065-tree</v>
      </c>
      <c r="O208">
        <v>5</v>
      </c>
      <c r="P208">
        <v>0</v>
      </c>
      <c r="Q208">
        <v>5</v>
      </c>
      <c r="R208">
        <v>0</v>
      </c>
      <c r="S208">
        <v>0</v>
      </c>
      <c r="T208" t="s">
        <v>98</v>
      </c>
      <c r="U208" t="s">
        <v>62</v>
      </c>
      <c r="V208" t="s">
        <v>62</v>
      </c>
      <c r="W208" t="s">
        <v>62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5</v>
      </c>
      <c r="AM208">
        <v>2</v>
      </c>
      <c r="AN208">
        <v>44</v>
      </c>
      <c r="AO208">
        <v>0</v>
      </c>
      <c r="AP208">
        <v>30</v>
      </c>
      <c r="AQ208">
        <v>0</v>
      </c>
      <c r="AR208" t="s">
        <v>64</v>
      </c>
      <c r="AS208" t="s">
        <v>64</v>
      </c>
      <c r="AT208">
        <v>0</v>
      </c>
      <c r="AU208" t="s">
        <v>65</v>
      </c>
      <c r="AV208">
        <v>74</v>
      </c>
      <c r="AW208">
        <v>0</v>
      </c>
      <c r="AX208" t="s">
        <v>4139</v>
      </c>
      <c r="AY208" t="s">
        <v>4140</v>
      </c>
      <c r="AZ208" t="s">
        <v>64</v>
      </c>
      <c r="BA208">
        <v>0</v>
      </c>
      <c r="BB208">
        <v>1</v>
      </c>
      <c r="BC208" t="s">
        <v>69</v>
      </c>
      <c r="BD208">
        <v>0.41</v>
      </c>
      <c r="BE208">
        <v>8.9999999999999993E-3</v>
      </c>
    </row>
    <row r="209" spans="1:57">
      <c r="A209">
        <v>0</v>
      </c>
      <c r="B209">
        <v>0</v>
      </c>
      <c r="C209">
        <v>0</v>
      </c>
      <c r="D209">
        <v>3067</v>
      </c>
      <c r="E209" t="s">
        <v>4141</v>
      </c>
      <c r="F209" t="s">
        <v>5762</v>
      </c>
      <c r="G209" t="s">
        <v>62</v>
      </c>
      <c r="H209">
        <v>3017699</v>
      </c>
      <c r="I209">
        <v>3018199</v>
      </c>
      <c r="J209" t="s">
        <v>4142</v>
      </c>
      <c r="K209">
        <v>167</v>
      </c>
      <c r="L209" t="s">
        <v>59</v>
      </c>
      <c r="M209">
        <v>5</v>
      </c>
      <c r="N209" t="str">
        <f>HYPERLINK("Gene3067-zp_tree_all.dnd", "Gene3067-tree")</f>
        <v>Gene3067-tree</v>
      </c>
      <c r="O209">
        <v>4</v>
      </c>
      <c r="P209">
        <v>1</v>
      </c>
      <c r="Q209">
        <v>4</v>
      </c>
      <c r="R209">
        <v>1</v>
      </c>
      <c r="S209">
        <v>0.2</v>
      </c>
      <c r="T209" t="s">
        <v>60</v>
      </c>
      <c r="U209" t="s">
        <v>61</v>
      </c>
      <c r="V209" t="s">
        <v>62</v>
      </c>
      <c r="W209" t="s">
        <v>62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</v>
      </c>
      <c r="AK209">
        <v>0</v>
      </c>
      <c r="AL209">
        <v>3</v>
      </c>
      <c r="AM209">
        <v>1</v>
      </c>
      <c r="AN209">
        <v>4</v>
      </c>
      <c r="AO209">
        <v>1</v>
      </c>
      <c r="AP209">
        <v>14</v>
      </c>
      <c r="AQ209">
        <v>0</v>
      </c>
      <c r="AR209" t="s">
        <v>4143</v>
      </c>
      <c r="AS209" t="s">
        <v>64</v>
      </c>
      <c r="AT209">
        <v>0.60099999999999998</v>
      </c>
      <c r="AU209" t="s">
        <v>65</v>
      </c>
      <c r="AV209">
        <v>18</v>
      </c>
      <c r="AW209">
        <v>1</v>
      </c>
      <c r="AX209" t="s">
        <v>4144</v>
      </c>
      <c r="AY209" t="s">
        <v>4145</v>
      </c>
      <c r="AZ209" t="s">
        <v>4146</v>
      </c>
      <c r="BA209">
        <v>1.133E-2</v>
      </c>
      <c r="BB209">
        <v>1</v>
      </c>
      <c r="BC209" t="s">
        <v>69</v>
      </c>
      <c r="BD209">
        <v>1.036</v>
      </c>
      <c r="BE209">
        <v>1.036</v>
      </c>
    </row>
    <row r="210" spans="1:57">
      <c r="A210">
        <v>0</v>
      </c>
      <c r="B210">
        <v>0</v>
      </c>
      <c r="C210">
        <v>0</v>
      </c>
      <c r="D210">
        <v>3068</v>
      </c>
      <c r="E210" t="s">
        <v>4147</v>
      </c>
      <c r="F210" t="s">
        <v>5762</v>
      </c>
      <c r="G210" t="s">
        <v>62</v>
      </c>
      <c r="H210">
        <v>3018312</v>
      </c>
      <c r="I210">
        <v>3018764</v>
      </c>
      <c r="J210" t="s">
        <v>4148</v>
      </c>
      <c r="K210">
        <v>151</v>
      </c>
      <c r="L210" t="s">
        <v>112</v>
      </c>
      <c r="M210">
        <v>4</v>
      </c>
      <c r="N210" t="str">
        <f>HYPERLINK("Gene3068-zp_tree_all.dnd", "Gene3068-tree")</f>
        <v>Gene3068-tree</v>
      </c>
      <c r="O210">
        <v>3</v>
      </c>
      <c r="P210">
        <v>1</v>
      </c>
      <c r="Q210">
        <v>3</v>
      </c>
      <c r="R210">
        <v>1</v>
      </c>
      <c r="S210">
        <v>0.25</v>
      </c>
      <c r="T210" t="s">
        <v>84</v>
      </c>
      <c r="U210" t="s">
        <v>61</v>
      </c>
      <c r="V210" t="s">
        <v>62</v>
      </c>
      <c r="W210" t="s">
        <v>62</v>
      </c>
      <c r="X210">
        <v>0</v>
      </c>
      <c r="Y210">
        <v>0</v>
      </c>
      <c r="Z210">
        <v>1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1</v>
      </c>
      <c r="AK210">
        <v>0</v>
      </c>
      <c r="AL210">
        <v>4</v>
      </c>
      <c r="AM210">
        <v>1</v>
      </c>
      <c r="AN210">
        <v>21</v>
      </c>
      <c r="AO210">
        <v>1</v>
      </c>
      <c r="AP210">
        <v>4</v>
      </c>
      <c r="AQ210">
        <v>0</v>
      </c>
      <c r="AR210" t="s">
        <v>4149</v>
      </c>
      <c r="AS210" t="s">
        <v>64</v>
      </c>
      <c r="AT210">
        <v>0.46600000000000003</v>
      </c>
      <c r="AU210" t="s">
        <v>65</v>
      </c>
      <c r="AV210">
        <v>25</v>
      </c>
      <c r="AW210">
        <v>1</v>
      </c>
      <c r="AX210" t="s">
        <v>4150</v>
      </c>
      <c r="AY210" t="s">
        <v>4151</v>
      </c>
      <c r="AZ210" t="s">
        <v>4152</v>
      </c>
      <c r="BA210">
        <v>8.9999999999999993E-3</v>
      </c>
      <c r="BB210">
        <v>1</v>
      </c>
      <c r="BC210" t="s">
        <v>69</v>
      </c>
      <c r="BD210">
        <v>0.06</v>
      </c>
      <c r="BE210">
        <v>-0.72699999999999998</v>
      </c>
    </row>
    <row r="211" spans="1:57">
      <c r="A211">
        <v>0</v>
      </c>
      <c r="B211">
        <v>0</v>
      </c>
      <c r="C211">
        <v>0</v>
      </c>
      <c r="D211">
        <v>3075</v>
      </c>
      <c r="E211" t="s">
        <v>4153</v>
      </c>
      <c r="F211" t="s">
        <v>5762</v>
      </c>
      <c r="G211" t="s">
        <v>62</v>
      </c>
      <c r="H211">
        <v>3025448</v>
      </c>
      <c r="I211">
        <v>3025654</v>
      </c>
      <c r="J211" t="s">
        <v>4154</v>
      </c>
      <c r="K211">
        <v>69</v>
      </c>
      <c r="L211" t="s">
        <v>59</v>
      </c>
      <c r="M211">
        <v>5</v>
      </c>
      <c r="N211" t="str">
        <f>HYPERLINK("Gene3075-zp_tree_all.dnd", "Gene3075-tree")</f>
        <v>Gene3075-tree</v>
      </c>
    </row>
    <row r="212" spans="1:57">
      <c r="A212">
        <v>0</v>
      </c>
      <c r="B212">
        <v>0</v>
      </c>
      <c r="C212">
        <v>0</v>
      </c>
      <c r="D212">
        <v>3081</v>
      </c>
      <c r="E212" t="s">
        <v>4155</v>
      </c>
      <c r="F212" t="s">
        <v>5762</v>
      </c>
      <c r="G212" t="s">
        <v>62</v>
      </c>
      <c r="H212">
        <v>3032420</v>
      </c>
      <c r="I212">
        <v>3033040</v>
      </c>
      <c r="J212" t="s">
        <v>4156</v>
      </c>
      <c r="K212">
        <v>207</v>
      </c>
      <c r="L212" t="s">
        <v>59</v>
      </c>
      <c r="M212">
        <v>5</v>
      </c>
      <c r="N212" t="str">
        <f>HYPERLINK("Gene3081-zp_tree_all.dnd", "Gene3081-tree")</f>
        <v>Gene3081-tree</v>
      </c>
      <c r="O212">
        <v>4</v>
      </c>
      <c r="P212">
        <v>1</v>
      </c>
      <c r="Q212">
        <v>4</v>
      </c>
      <c r="R212">
        <v>1</v>
      </c>
      <c r="S212">
        <v>0.2</v>
      </c>
      <c r="T212" t="s">
        <v>60</v>
      </c>
      <c r="U212" t="s">
        <v>61</v>
      </c>
      <c r="V212" t="s">
        <v>62</v>
      </c>
      <c r="W212" t="s">
        <v>62</v>
      </c>
      <c r="X212">
        <v>0</v>
      </c>
      <c r="Y212">
        <v>0</v>
      </c>
      <c r="Z212">
        <v>3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1</v>
      </c>
      <c r="AK212">
        <v>0</v>
      </c>
      <c r="AL212">
        <v>5</v>
      </c>
      <c r="AM212">
        <v>2</v>
      </c>
      <c r="AN212">
        <v>11</v>
      </c>
      <c r="AO212">
        <v>1</v>
      </c>
      <c r="AP212">
        <v>12</v>
      </c>
      <c r="AQ212">
        <v>2</v>
      </c>
      <c r="AR212" t="s">
        <v>4157</v>
      </c>
      <c r="AS212" t="s">
        <v>4158</v>
      </c>
      <c r="AT212">
        <v>0.245</v>
      </c>
      <c r="AU212" t="s">
        <v>65</v>
      </c>
      <c r="AV212">
        <v>23</v>
      </c>
      <c r="AW212">
        <v>3</v>
      </c>
      <c r="AX212" t="s">
        <v>4159</v>
      </c>
      <c r="AY212" t="s">
        <v>4160</v>
      </c>
      <c r="AZ212" t="s">
        <v>4161</v>
      </c>
      <c r="BA212">
        <v>3.6240000000000001E-2</v>
      </c>
      <c r="BB212">
        <v>1</v>
      </c>
      <c r="BC212" t="s">
        <v>69</v>
      </c>
      <c r="BD212">
        <v>0.43</v>
      </c>
      <c r="BE212">
        <v>0.43</v>
      </c>
    </row>
    <row r="213" spans="1:57">
      <c r="A213">
        <v>0</v>
      </c>
      <c r="B213">
        <v>0</v>
      </c>
      <c r="C213">
        <v>0</v>
      </c>
      <c r="D213">
        <v>3092</v>
      </c>
      <c r="E213" t="s">
        <v>4182</v>
      </c>
      <c r="F213" t="s">
        <v>5762</v>
      </c>
      <c r="G213" t="s">
        <v>62</v>
      </c>
      <c r="H213">
        <v>3044168</v>
      </c>
      <c r="I213">
        <v>3045169</v>
      </c>
      <c r="J213" t="s">
        <v>4183</v>
      </c>
      <c r="K213">
        <v>334</v>
      </c>
      <c r="L213" t="s">
        <v>59</v>
      </c>
      <c r="M213">
        <v>5</v>
      </c>
      <c r="N213" t="str">
        <f>HYPERLINK("Gene3092-zp_tree_all.dnd", "Gene3092-tree")</f>
        <v>Gene3092-tree</v>
      </c>
      <c r="O213">
        <v>3</v>
      </c>
      <c r="P213">
        <v>2</v>
      </c>
      <c r="Q213">
        <v>3</v>
      </c>
      <c r="R213">
        <v>2</v>
      </c>
      <c r="S213">
        <v>0.4</v>
      </c>
      <c r="T213" t="s">
        <v>84</v>
      </c>
      <c r="U213" t="s">
        <v>135</v>
      </c>
      <c r="V213" t="s">
        <v>62</v>
      </c>
      <c r="W213" t="s">
        <v>62</v>
      </c>
      <c r="X213">
        <v>0</v>
      </c>
      <c r="Y213">
        <v>0</v>
      </c>
      <c r="Z213">
        <v>5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2</v>
      </c>
      <c r="AK213">
        <v>0</v>
      </c>
      <c r="AL213">
        <v>5</v>
      </c>
      <c r="AM213">
        <v>2</v>
      </c>
      <c r="AN213">
        <v>46</v>
      </c>
      <c r="AO213">
        <v>2</v>
      </c>
      <c r="AP213">
        <v>20</v>
      </c>
      <c r="AQ213">
        <v>3</v>
      </c>
      <c r="AR213" t="s">
        <v>4184</v>
      </c>
      <c r="AS213" t="s">
        <v>4185</v>
      </c>
      <c r="AT213">
        <v>1.1930000000000001</v>
      </c>
      <c r="AU213" t="s">
        <v>65</v>
      </c>
      <c r="AV213">
        <v>66</v>
      </c>
      <c r="AW213">
        <v>5</v>
      </c>
      <c r="AX213" t="s">
        <v>4186</v>
      </c>
      <c r="AY213" t="s">
        <v>4187</v>
      </c>
      <c r="AZ213" t="s">
        <v>4188</v>
      </c>
      <c r="BA213">
        <v>2.894E-2</v>
      </c>
      <c r="BB213">
        <v>1</v>
      </c>
      <c r="BC213" t="s">
        <v>69</v>
      </c>
      <c r="BD213">
        <v>0.41899999999999998</v>
      </c>
      <c r="BE213">
        <v>-7.1999999999999995E-2</v>
      </c>
    </row>
    <row r="214" spans="1:57">
      <c r="A214">
        <v>0</v>
      </c>
      <c r="B214">
        <v>0</v>
      </c>
      <c r="C214">
        <v>0</v>
      </c>
      <c r="D214">
        <v>3093</v>
      </c>
      <c r="E214" t="s">
        <v>4189</v>
      </c>
      <c r="F214" t="s">
        <v>5762</v>
      </c>
      <c r="G214" t="s">
        <v>62</v>
      </c>
      <c r="H214">
        <v>3045448</v>
      </c>
      <c r="I214">
        <v>3046521</v>
      </c>
      <c r="J214" t="s">
        <v>4190</v>
      </c>
      <c r="K214">
        <v>358</v>
      </c>
      <c r="L214" t="s">
        <v>59</v>
      </c>
      <c r="M214">
        <v>5</v>
      </c>
      <c r="N214" t="str">
        <f>HYPERLINK("Gene3093-zp_tree_all.dnd", "Gene3093-tree")</f>
        <v>Gene3093-tree</v>
      </c>
      <c r="O214">
        <v>5</v>
      </c>
      <c r="P214">
        <v>0</v>
      </c>
      <c r="Q214">
        <v>5</v>
      </c>
      <c r="R214">
        <v>0</v>
      </c>
      <c r="S214">
        <v>0</v>
      </c>
      <c r="T214" t="s">
        <v>98</v>
      </c>
      <c r="U214" t="s">
        <v>62</v>
      </c>
      <c r="V214" t="s">
        <v>62</v>
      </c>
      <c r="W214" t="s">
        <v>62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5</v>
      </c>
      <c r="AM214">
        <v>2</v>
      </c>
      <c r="AN214">
        <v>33</v>
      </c>
      <c r="AO214">
        <v>0</v>
      </c>
      <c r="AP214">
        <v>32</v>
      </c>
      <c r="AQ214">
        <v>0</v>
      </c>
      <c r="AR214" t="s">
        <v>64</v>
      </c>
      <c r="AS214" t="s">
        <v>64</v>
      </c>
      <c r="AT214">
        <v>0</v>
      </c>
      <c r="AU214" t="s">
        <v>65</v>
      </c>
      <c r="AV214">
        <v>65</v>
      </c>
      <c r="AW214">
        <v>0</v>
      </c>
      <c r="AX214" t="s">
        <v>4191</v>
      </c>
      <c r="AY214" t="s">
        <v>4192</v>
      </c>
      <c r="AZ214" t="s">
        <v>64</v>
      </c>
      <c r="BA214">
        <v>0</v>
      </c>
      <c r="BB214">
        <v>1</v>
      </c>
      <c r="BC214" t="s">
        <v>69</v>
      </c>
      <c r="BD214">
        <v>0.51900000000000002</v>
      </c>
      <c r="BE214">
        <v>0.26400000000000001</v>
      </c>
    </row>
    <row r="215" spans="1:57">
      <c r="A215">
        <v>0</v>
      </c>
      <c r="B215">
        <v>0</v>
      </c>
      <c r="C215">
        <v>0</v>
      </c>
      <c r="D215">
        <v>3096</v>
      </c>
      <c r="E215" t="s">
        <v>4193</v>
      </c>
      <c r="F215" t="s">
        <v>5762</v>
      </c>
      <c r="G215" t="s">
        <v>62</v>
      </c>
      <c r="H215">
        <v>3047596</v>
      </c>
      <c r="I215">
        <v>3048015</v>
      </c>
      <c r="J215" t="s">
        <v>4194</v>
      </c>
      <c r="K215">
        <v>140</v>
      </c>
      <c r="L215" t="s">
        <v>112</v>
      </c>
      <c r="M215">
        <v>4</v>
      </c>
      <c r="N215" t="str">
        <f>HYPERLINK("Gene3096-zp_tree_all.dnd", "Gene3096-tree")</f>
        <v>Gene3096-tree</v>
      </c>
      <c r="O215">
        <v>3</v>
      </c>
      <c r="P215">
        <v>1</v>
      </c>
      <c r="Q215">
        <v>3</v>
      </c>
      <c r="R215">
        <v>1</v>
      </c>
      <c r="S215">
        <v>0.25</v>
      </c>
      <c r="T215" t="s">
        <v>84</v>
      </c>
      <c r="U215" t="s">
        <v>61</v>
      </c>
      <c r="V215" t="s">
        <v>62</v>
      </c>
      <c r="W215" t="s">
        <v>62</v>
      </c>
      <c r="X215">
        <v>0</v>
      </c>
      <c r="Y215">
        <v>0</v>
      </c>
      <c r="Z215">
        <v>3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3</v>
      </c>
      <c r="AK215">
        <v>0</v>
      </c>
      <c r="AL215">
        <v>3</v>
      </c>
      <c r="AM215">
        <v>0</v>
      </c>
      <c r="AN215">
        <v>17</v>
      </c>
      <c r="AO215">
        <v>3</v>
      </c>
      <c r="AP215">
        <v>0</v>
      </c>
      <c r="AQ215">
        <v>0</v>
      </c>
      <c r="AR215" t="s">
        <v>4195</v>
      </c>
      <c r="AS215" t="s">
        <v>64</v>
      </c>
      <c r="AT215">
        <v>0.55000000000000004</v>
      </c>
      <c r="AU215" t="s">
        <v>65</v>
      </c>
      <c r="AV215">
        <v>17</v>
      </c>
      <c r="AW215">
        <v>3</v>
      </c>
      <c r="AX215" t="s">
        <v>4196</v>
      </c>
      <c r="AY215" t="s">
        <v>4197</v>
      </c>
      <c r="AZ215" t="s">
        <v>4198</v>
      </c>
      <c r="BA215">
        <v>4.759E-2</v>
      </c>
      <c r="BB215">
        <v>1</v>
      </c>
      <c r="BC215" t="s">
        <v>69</v>
      </c>
      <c r="BD215">
        <v>-0.85399999999999998</v>
      </c>
      <c r="BE215">
        <v>-0.85399999999999998</v>
      </c>
    </row>
    <row r="216" spans="1:57">
      <c r="A216">
        <v>0</v>
      </c>
      <c r="B216">
        <v>0</v>
      </c>
      <c r="C216">
        <v>0</v>
      </c>
      <c r="D216">
        <v>3097</v>
      </c>
      <c r="E216" t="s">
        <v>4199</v>
      </c>
      <c r="F216" t="s">
        <v>5762</v>
      </c>
      <c r="G216" t="s">
        <v>62</v>
      </c>
      <c r="H216">
        <v>3048180</v>
      </c>
      <c r="I216">
        <v>3049475</v>
      </c>
      <c r="J216" t="s">
        <v>4200</v>
      </c>
      <c r="K216">
        <v>432</v>
      </c>
      <c r="L216" t="s">
        <v>83</v>
      </c>
      <c r="M216">
        <v>4</v>
      </c>
      <c r="N216" t="str">
        <f>HYPERLINK("Gene3097-zp_tree_all.dnd", "Gene3097-tree")</f>
        <v>Gene3097-tree</v>
      </c>
      <c r="O216">
        <v>2</v>
      </c>
      <c r="P216">
        <v>2</v>
      </c>
      <c r="Q216">
        <v>2</v>
      </c>
      <c r="R216">
        <v>2</v>
      </c>
      <c r="S216">
        <v>0.5</v>
      </c>
      <c r="T216" t="s">
        <v>135</v>
      </c>
      <c r="U216" t="s">
        <v>135</v>
      </c>
      <c r="V216" t="s">
        <v>62</v>
      </c>
      <c r="W216" t="s">
        <v>62</v>
      </c>
      <c r="X216">
        <v>0</v>
      </c>
      <c r="Y216">
        <v>0</v>
      </c>
      <c r="Z216">
        <v>6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5</v>
      </c>
      <c r="AK216">
        <v>0</v>
      </c>
      <c r="AL216">
        <v>4</v>
      </c>
      <c r="AM216">
        <v>1</v>
      </c>
      <c r="AN216">
        <v>61</v>
      </c>
      <c r="AO216">
        <v>5</v>
      </c>
      <c r="AP216">
        <v>7</v>
      </c>
      <c r="AQ216">
        <v>1</v>
      </c>
      <c r="AR216" t="s">
        <v>4201</v>
      </c>
      <c r="AS216" t="s">
        <v>4202</v>
      </c>
      <c r="AT216">
        <v>0.51900000000000002</v>
      </c>
      <c r="AU216" t="s">
        <v>65</v>
      </c>
      <c r="AV216">
        <v>68</v>
      </c>
      <c r="AW216">
        <v>6</v>
      </c>
      <c r="AX216" t="s">
        <v>4203</v>
      </c>
      <c r="AY216" t="s">
        <v>4204</v>
      </c>
      <c r="AZ216" t="s">
        <v>4205</v>
      </c>
      <c r="BA216">
        <v>2.3099999999999999E-2</v>
      </c>
      <c r="BB216">
        <v>1</v>
      </c>
      <c r="BC216" t="s">
        <v>69</v>
      </c>
      <c r="BD216">
        <v>-0.38300000000000001</v>
      </c>
      <c r="BE216">
        <v>-0.64900000000000002</v>
      </c>
    </row>
    <row r="217" spans="1:57">
      <c r="A217">
        <v>0</v>
      </c>
      <c r="B217">
        <v>0</v>
      </c>
      <c r="C217">
        <v>0</v>
      </c>
      <c r="D217">
        <v>3100</v>
      </c>
      <c r="E217" t="s">
        <v>4206</v>
      </c>
      <c r="F217" t="s">
        <v>5762</v>
      </c>
      <c r="G217" t="s">
        <v>62</v>
      </c>
      <c r="H217">
        <v>3053367</v>
      </c>
      <c r="I217">
        <v>3054173</v>
      </c>
      <c r="J217" t="s">
        <v>4207</v>
      </c>
      <c r="K217">
        <v>269</v>
      </c>
      <c r="L217" t="s">
        <v>59</v>
      </c>
      <c r="M217">
        <v>5</v>
      </c>
      <c r="N217" t="str">
        <f>HYPERLINK("Gene3100-zp_tree_all.dnd", "Gene3100-tree")</f>
        <v>Gene3100-tree</v>
      </c>
      <c r="O217">
        <v>5</v>
      </c>
      <c r="P217">
        <v>0</v>
      </c>
      <c r="Q217">
        <v>5</v>
      </c>
      <c r="R217">
        <v>0</v>
      </c>
      <c r="S217">
        <v>0</v>
      </c>
      <c r="T217" t="s">
        <v>98</v>
      </c>
      <c r="U217" t="s">
        <v>62</v>
      </c>
      <c r="V217" t="s">
        <v>62</v>
      </c>
      <c r="W217" t="s">
        <v>62</v>
      </c>
      <c r="X217">
        <v>0</v>
      </c>
      <c r="Y217">
        <v>0</v>
      </c>
      <c r="Z217">
        <v>3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5</v>
      </c>
      <c r="AM217">
        <v>2</v>
      </c>
      <c r="AN217">
        <v>20</v>
      </c>
      <c r="AO217">
        <v>0</v>
      </c>
      <c r="AP217">
        <v>25</v>
      </c>
      <c r="AQ217">
        <v>3</v>
      </c>
      <c r="AR217" t="s">
        <v>64</v>
      </c>
      <c r="AS217" t="s">
        <v>4208</v>
      </c>
      <c r="AT217">
        <v>0.82</v>
      </c>
      <c r="AU217" t="s">
        <v>65</v>
      </c>
      <c r="AV217">
        <v>45</v>
      </c>
      <c r="AW217">
        <v>3</v>
      </c>
      <c r="AX217" t="s">
        <v>4209</v>
      </c>
      <c r="AY217" t="s">
        <v>4210</v>
      </c>
      <c r="AZ217" t="s">
        <v>4211</v>
      </c>
      <c r="BA217">
        <v>2.1260000000000001E-2</v>
      </c>
      <c r="BB217">
        <v>1</v>
      </c>
      <c r="BC217" t="s">
        <v>69</v>
      </c>
      <c r="BD217">
        <v>0.94199999999999995</v>
      </c>
      <c r="BE217">
        <v>0.628</v>
      </c>
    </row>
    <row r="218" spans="1:57">
      <c r="A218">
        <v>0</v>
      </c>
      <c r="B218">
        <v>0</v>
      </c>
      <c r="C218">
        <v>0</v>
      </c>
      <c r="D218">
        <v>3101</v>
      </c>
      <c r="E218" t="s">
        <v>4212</v>
      </c>
      <c r="F218" t="s">
        <v>5762</v>
      </c>
      <c r="G218" t="s">
        <v>62</v>
      </c>
      <c r="H218">
        <v>3054191</v>
      </c>
      <c r="I218">
        <v>3054511</v>
      </c>
      <c r="J218" t="s">
        <v>4213</v>
      </c>
      <c r="K218">
        <v>107</v>
      </c>
      <c r="L218" t="s">
        <v>112</v>
      </c>
      <c r="M218">
        <v>4</v>
      </c>
      <c r="N218" t="str">
        <f>HYPERLINK("Gene3101-zp_tree_all.dnd", "Gene3101-tree")</f>
        <v>Gene3101-tree</v>
      </c>
      <c r="O218">
        <v>2</v>
      </c>
      <c r="P218">
        <v>2</v>
      </c>
      <c r="Q218">
        <v>2</v>
      </c>
      <c r="R218">
        <v>2</v>
      </c>
      <c r="S218">
        <v>0.5</v>
      </c>
      <c r="T218" t="s">
        <v>135</v>
      </c>
      <c r="U218" t="s">
        <v>135</v>
      </c>
      <c r="V218" t="s">
        <v>62</v>
      </c>
      <c r="W218" t="s">
        <v>62</v>
      </c>
      <c r="X218">
        <v>0</v>
      </c>
      <c r="Y218">
        <v>0</v>
      </c>
      <c r="Z218">
        <v>3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3</v>
      </c>
      <c r="AK218">
        <v>0</v>
      </c>
      <c r="AL218">
        <v>4</v>
      </c>
      <c r="AM218">
        <v>0</v>
      </c>
      <c r="AN218">
        <v>14</v>
      </c>
      <c r="AO218">
        <v>3</v>
      </c>
      <c r="AP218">
        <v>0</v>
      </c>
      <c r="AQ218">
        <v>0</v>
      </c>
      <c r="AR218" t="s">
        <v>4214</v>
      </c>
      <c r="AS218" t="s">
        <v>64</v>
      </c>
      <c r="AT218">
        <v>0.80500000000000005</v>
      </c>
      <c r="AU218" t="s">
        <v>65</v>
      </c>
      <c r="AV218">
        <v>14</v>
      </c>
      <c r="AW218">
        <v>3</v>
      </c>
      <c r="AX218" t="s">
        <v>4215</v>
      </c>
      <c r="AY218" t="s">
        <v>4216</v>
      </c>
      <c r="AZ218" t="s">
        <v>4217</v>
      </c>
      <c r="BA218">
        <v>4.895E-2</v>
      </c>
      <c r="BB218">
        <v>1</v>
      </c>
      <c r="BC218" t="s">
        <v>69</v>
      </c>
      <c r="BD218">
        <v>-0.85099999999999998</v>
      </c>
      <c r="BE218">
        <v>-0.85099999999999998</v>
      </c>
    </row>
    <row r="219" spans="1:57">
      <c r="A219">
        <v>0</v>
      </c>
      <c r="B219">
        <v>0</v>
      </c>
      <c r="C219">
        <v>2</v>
      </c>
      <c r="D219">
        <v>3102</v>
      </c>
      <c r="E219" t="s">
        <v>4218</v>
      </c>
      <c r="F219" t="s">
        <v>5762</v>
      </c>
      <c r="G219" t="s">
        <v>62</v>
      </c>
      <c r="H219">
        <v>3054553</v>
      </c>
      <c r="I219">
        <v>3054666</v>
      </c>
      <c r="J219" t="s">
        <v>4219</v>
      </c>
      <c r="K219">
        <v>38</v>
      </c>
      <c r="L219" t="s">
        <v>59</v>
      </c>
      <c r="M219">
        <v>5</v>
      </c>
      <c r="N219" t="str">
        <f>HYPERLINK("Gene3102-zp_tree_all.dnd", "Gene3102-tree")</f>
        <v>Gene3102-tree</v>
      </c>
      <c r="O219">
        <v>0</v>
      </c>
      <c r="P219">
        <v>4</v>
      </c>
      <c r="Q219">
        <v>0</v>
      </c>
      <c r="R219">
        <v>4</v>
      </c>
      <c r="S219">
        <v>1</v>
      </c>
      <c r="T219" t="s">
        <v>62</v>
      </c>
      <c r="U219" t="s">
        <v>60</v>
      </c>
      <c r="V219" t="s">
        <v>62</v>
      </c>
      <c r="W219" t="s">
        <v>62</v>
      </c>
      <c r="X219">
        <v>1</v>
      </c>
      <c r="Y219">
        <v>2</v>
      </c>
      <c r="Z219">
        <v>2</v>
      </c>
      <c r="AA219">
        <v>0.5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2</v>
      </c>
      <c r="AI219">
        <v>2</v>
      </c>
      <c r="AJ219">
        <v>2</v>
      </c>
      <c r="AK219">
        <v>0.5</v>
      </c>
      <c r="AL219">
        <v>2</v>
      </c>
      <c r="AM219">
        <v>1</v>
      </c>
      <c r="AN219">
        <v>0</v>
      </c>
      <c r="AO219">
        <v>2</v>
      </c>
      <c r="AP219">
        <v>0</v>
      </c>
      <c r="AQ219">
        <v>2</v>
      </c>
      <c r="AR219" t="s">
        <v>64</v>
      </c>
      <c r="AS219" t="s">
        <v>64</v>
      </c>
      <c r="AT219">
        <v>0</v>
      </c>
      <c r="AU219" t="s">
        <v>65</v>
      </c>
      <c r="AV219">
        <v>0</v>
      </c>
      <c r="AW219">
        <v>4</v>
      </c>
      <c r="AX219" t="s">
        <v>4220</v>
      </c>
      <c r="AY219" t="s">
        <v>4221</v>
      </c>
      <c r="AZ219" t="s">
        <v>4222</v>
      </c>
      <c r="BA219">
        <v>1.33385</v>
      </c>
      <c r="BB219">
        <v>0.11700000000000001</v>
      </c>
      <c r="BC219" t="s">
        <v>793</v>
      </c>
      <c r="BD219">
        <v>0.27300000000000002</v>
      </c>
      <c r="BE219">
        <v>0.27300000000000002</v>
      </c>
    </row>
    <row r="220" spans="1:57">
      <c r="A220">
        <v>0</v>
      </c>
      <c r="B220">
        <v>0</v>
      </c>
      <c r="C220">
        <v>0</v>
      </c>
      <c r="D220">
        <v>3107</v>
      </c>
      <c r="E220" t="s">
        <v>4228</v>
      </c>
      <c r="F220" t="s">
        <v>5762</v>
      </c>
      <c r="G220" t="s">
        <v>62</v>
      </c>
      <c r="H220">
        <v>3059550</v>
      </c>
      <c r="I220">
        <v>3060188</v>
      </c>
      <c r="J220" t="s">
        <v>4229</v>
      </c>
      <c r="K220">
        <v>213</v>
      </c>
      <c r="L220" t="s">
        <v>83</v>
      </c>
      <c r="M220">
        <v>4</v>
      </c>
      <c r="N220" t="str">
        <f>HYPERLINK("Gene3107-zp_tree_all.dnd", "Gene3107-tree")</f>
        <v>Gene3107-tree</v>
      </c>
      <c r="O220">
        <v>2</v>
      </c>
      <c r="P220">
        <v>2</v>
      </c>
      <c r="Q220">
        <v>2</v>
      </c>
      <c r="R220">
        <v>2</v>
      </c>
      <c r="S220">
        <v>0.5</v>
      </c>
      <c r="T220" t="s">
        <v>135</v>
      </c>
      <c r="U220" t="s">
        <v>135</v>
      </c>
      <c r="V220" t="s">
        <v>62</v>
      </c>
      <c r="W220" t="s">
        <v>62</v>
      </c>
      <c r="X220">
        <v>0</v>
      </c>
      <c r="Y220">
        <v>0</v>
      </c>
      <c r="Z220">
        <v>3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2</v>
      </c>
      <c r="AK220">
        <v>0</v>
      </c>
      <c r="AL220">
        <v>3</v>
      </c>
      <c r="AM220">
        <v>1</v>
      </c>
      <c r="AN220">
        <v>26</v>
      </c>
      <c r="AO220">
        <v>2</v>
      </c>
      <c r="AP220">
        <v>1</v>
      </c>
      <c r="AQ220">
        <v>1</v>
      </c>
      <c r="AR220" t="s">
        <v>4230</v>
      </c>
      <c r="AS220" t="s">
        <v>4231</v>
      </c>
      <c r="AT220">
        <v>11.147</v>
      </c>
      <c r="AU220" t="s">
        <v>65</v>
      </c>
      <c r="AV220">
        <v>27</v>
      </c>
      <c r="AW220">
        <v>3</v>
      </c>
      <c r="AX220" t="s">
        <v>4232</v>
      </c>
      <c r="AY220" t="s">
        <v>4233</v>
      </c>
      <c r="AZ220" t="s">
        <v>4234</v>
      </c>
      <c r="BA220">
        <v>2.9819999999999999E-2</v>
      </c>
      <c r="BB220">
        <v>1</v>
      </c>
      <c r="BC220" t="s">
        <v>69</v>
      </c>
      <c r="BD220">
        <v>-0.65100000000000002</v>
      </c>
      <c r="BE220">
        <v>-0.65100000000000002</v>
      </c>
    </row>
    <row r="221" spans="1:57">
      <c r="A221">
        <v>0</v>
      </c>
      <c r="B221">
        <v>0</v>
      </c>
      <c r="C221">
        <v>0</v>
      </c>
      <c r="D221">
        <v>3109</v>
      </c>
      <c r="E221" t="s">
        <v>4240</v>
      </c>
      <c r="F221" t="s">
        <v>5762</v>
      </c>
      <c r="G221" t="s">
        <v>62</v>
      </c>
      <c r="H221">
        <v>3060677</v>
      </c>
      <c r="I221">
        <v>3061288</v>
      </c>
      <c r="J221" t="s">
        <v>4241</v>
      </c>
      <c r="K221">
        <v>204</v>
      </c>
      <c r="L221" t="s">
        <v>59</v>
      </c>
      <c r="M221">
        <v>5</v>
      </c>
      <c r="N221" t="str">
        <f>HYPERLINK("Gene3109-zp_tree_all.dnd", "Gene3109-tree")</f>
        <v>Gene3109-tree</v>
      </c>
      <c r="O221">
        <v>4</v>
      </c>
      <c r="P221">
        <v>1</v>
      </c>
      <c r="Q221">
        <v>3</v>
      </c>
      <c r="R221">
        <v>1</v>
      </c>
      <c r="S221">
        <v>0.25</v>
      </c>
      <c r="T221" t="s">
        <v>119</v>
      </c>
      <c r="U221" t="s">
        <v>61</v>
      </c>
      <c r="V221" t="s">
        <v>62</v>
      </c>
      <c r="W221" t="s">
        <v>62</v>
      </c>
      <c r="X221">
        <v>0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</v>
      </c>
      <c r="AK221">
        <v>0</v>
      </c>
      <c r="AL221">
        <v>4</v>
      </c>
      <c r="AM221">
        <v>1</v>
      </c>
      <c r="AN221">
        <v>13</v>
      </c>
      <c r="AO221">
        <v>1</v>
      </c>
      <c r="AP221">
        <v>15</v>
      </c>
      <c r="AQ221">
        <v>0</v>
      </c>
      <c r="AR221" t="s">
        <v>4242</v>
      </c>
      <c r="AS221" t="s">
        <v>64</v>
      </c>
      <c r="AT221">
        <v>0.59499999999999997</v>
      </c>
      <c r="AU221" t="s">
        <v>65</v>
      </c>
      <c r="AV221">
        <v>28</v>
      </c>
      <c r="AW221">
        <v>1</v>
      </c>
      <c r="AX221" t="s">
        <v>4243</v>
      </c>
      <c r="AY221" t="s">
        <v>4244</v>
      </c>
      <c r="AZ221" t="s">
        <v>4245</v>
      </c>
      <c r="BA221">
        <v>1.3339999999999999E-2</v>
      </c>
      <c r="BB221">
        <v>1</v>
      </c>
      <c r="BC221" t="s">
        <v>69</v>
      </c>
      <c r="BD221">
        <v>0.71399999999999997</v>
      </c>
      <c r="BE221">
        <v>0.48299999999999998</v>
      </c>
    </row>
    <row r="222" spans="1:57">
      <c r="A222">
        <v>0</v>
      </c>
      <c r="B222">
        <v>0</v>
      </c>
      <c r="C222">
        <v>0</v>
      </c>
      <c r="D222">
        <v>3124</v>
      </c>
      <c r="E222" t="s">
        <v>4248</v>
      </c>
      <c r="F222" t="s">
        <v>5762</v>
      </c>
      <c r="G222" t="s">
        <v>62</v>
      </c>
      <c r="H222">
        <v>3078396</v>
      </c>
      <c r="I222">
        <v>3078575</v>
      </c>
      <c r="J222" t="s">
        <v>4249</v>
      </c>
      <c r="K222">
        <v>60</v>
      </c>
      <c r="L222" t="s">
        <v>112</v>
      </c>
      <c r="M222">
        <v>4</v>
      </c>
      <c r="N222" t="str">
        <f>HYPERLINK("Gene3124-zp_tree_all.dnd", "Gene3124-tree")</f>
        <v>Gene3124-tree</v>
      </c>
      <c r="O222">
        <v>4</v>
      </c>
      <c r="P222">
        <v>0</v>
      </c>
      <c r="Q222">
        <v>4</v>
      </c>
      <c r="R222">
        <v>0</v>
      </c>
      <c r="S222">
        <v>0</v>
      </c>
      <c r="T222" t="s">
        <v>60</v>
      </c>
      <c r="U222" t="s">
        <v>62</v>
      </c>
      <c r="V222" t="s">
        <v>62</v>
      </c>
      <c r="W222" t="s">
        <v>62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3</v>
      </c>
      <c r="AM222">
        <v>0</v>
      </c>
      <c r="AN222">
        <v>9</v>
      </c>
      <c r="AO222">
        <v>0</v>
      </c>
      <c r="AP222">
        <v>0</v>
      </c>
      <c r="AQ222">
        <v>0</v>
      </c>
      <c r="AR222" t="s">
        <v>64</v>
      </c>
      <c r="AS222" t="s">
        <v>64</v>
      </c>
      <c r="AT222">
        <v>0</v>
      </c>
      <c r="AU222" t="s">
        <v>65</v>
      </c>
      <c r="AV222">
        <v>9</v>
      </c>
      <c r="AW222">
        <v>0</v>
      </c>
      <c r="AX222" t="s">
        <v>4250</v>
      </c>
      <c r="AY222" t="s">
        <v>4251</v>
      </c>
      <c r="AZ222" t="s">
        <v>64</v>
      </c>
      <c r="BA222">
        <v>0</v>
      </c>
      <c r="BB222">
        <v>1</v>
      </c>
      <c r="BC222" t="s">
        <v>69</v>
      </c>
      <c r="BD222">
        <v>-0.82899999999999996</v>
      </c>
      <c r="BE222">
        <v>-0.82899999999999996</v>
      </c>
    </row>
    <row r="223" spans="1:57">
      <c r="A223">
        <v>0</v>
      </c>
      <c r="B223">
        <v>2</v>
      </c>
      <c r="C223">
        <v>1</v>
      </c>
      <c r="D223">
        <v>3129</v>
      </c>
      <c r="E223" t="s">
        <v>4252</v>
      </c>
      <c r="F223" t="s">
        <v>5762</v>
      </c>
      <c r="G223" t="s">
        <v>62</v>
      </c>
      <c r="H223">
        <v>3082263</v>
      </c>
      <c r="I223">
        <v>3083225</v>
      </c>
      <c r="J223" t="s">
        <v>4253</v>
      </c>
      <c r="K223">
        <v>321</v>
      </c>
      <c r="L223" t="s">
        <v>59</v>
      </c>
      <c r="M223">
        <v>5</v>
      </c>
      <c r="N223" t="str">
        <f>HYPERLINK("Gene3129-zp_tree_all.dnd", "Gene3129-tree")</f>
        <v>Gene3129-tree</v>
      </c>
      <c r="O223">
        <v>1</v>
      </c>
      <c r="P223">
        <v>4</v>
      </c>
      <c r="Q223">
        <v>1</v>
      </c>
      <c r="R223">
        <v>4</v>
      </c>
      <c r="S223">
        <v>0.8</v>
      </c>
      <c r="T223" t="s">
        <v>61</v>
      </c>
      <c r="U223" t="s">
        <v>60</v>
      </c>
      <c r="V223" t="s">
        <v>62</v>
      </c>
      <c r="W223" t="s">
        <v>62</v>
      </c>
      <c r="X223">
        <v>1</v>
      </c>
      <c r="Y223">
        <v>3</v>
      </c>
      <c r="Z223">
        <v>6</v>
      </c>
      <c r="AA223">
        <v>0.33333000000000002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2</v>
      </c>
      <c r="AH223">
        <v>1</v>
      </c>
      <c r="AI223">
        <v>3</v>
      </c>
      <c r="AJ223">
        <v>4</v>
      </c>
      <c r="AK223">
        <v>0.42857000000000001</v>
      </c>
      <c r="AL223">
        <v>5</v>
      </c>
      <c r="AM223">
        <v>2</v>
      </c>
      <c r="AN223">
        <v>34</v>
      </c>
      <c r="AO223">
        <v>5</v>
      </c>
      <c r="AP223">
        <v>20</v>
      </c>
      <c r="AQ223">
        <v>4</v>
      </c>
      <c r="AR223" t="s">
        <v>4254</v>
      </c>
      <c r="AS223" t="s">
        <v>4255</v>
      </c>
      <c r="AT223">
        <v>0.60599999999999998</v>
      </c>
      <c r="AU223" t="s">
        <v>65</v>
      </c>
      <c r="AV223">
        <v>54</v>
      </c>
      <c r="AW223">
        <v>9</v>
      </c>
      <c r="AX223" t="s">
        <v>4256</v>
      </c>
      <c r="AY223" t="s">
        <v>4257</v>
      </c>
      <c r="AZ223" t="s">
        <v>4258</v>
      </c>
      <c r="BA223">
        <v>4.4049999999999999E-2</v>
      </c>
      <c r="BB223">
        <v>1</v>
      </c>
      <c r="BC223" t="s">
        <v>69</v>
      </c>
      <c r="BD223">
        <v>0.34300000000000003</v>
      </c>
      <c r="BE223">
        <v>-7.9000000000000001E-2</v>
      </c>
    </row>
    <row r="224" spans="1:57">
      <c r="A224">
        <v>0</v>
      </c>
      <c r="B224">
        <v>0</v>
      </c>
      <c r="C224">
        <v>0</v>
      </c>
      <c r="D224">
        <v>3132</v>
      </c>
      <c r="E224" t="s">
        <v>4259</v>
      </c>
      <c r="F224" t="s">
        <v>5762</v>
      </c>
      <c r="G224" t="s">
        <v>62</v>
      </c>
      <c r="H224">
        <v>3087324</v>
      </c>
      <c r="I224">
        <v>3088181</v>
      </c>
      <c r="J224" t="s">
        <v>4260</v>
      </c>
      <c r="K224">
        <v>286</v>
      </c>
      <c r="L224" t="s">
        <v>59</v>
      </c>
      <c r="M224">
        <v>5</v>
      </c>
      <c r="N224" t="str">
        <f>HYPERLINK("Gene3132-zp_tree_all.dnd", "Gene3132-tree")</f>
        <v>Gene3132-tree</v>
      </c>
      <c r="O224">
        <v>4</v>
      </c>
      <c r="P224">
        <v>1</v>
      </c>
      <c r="Q224">
        <v>4</v>
      </c>
      <c r="R224">
        <v>1</v>
      </c>
      <c r="S224">
        <v>0.2</v>
      </c>
      <c r="T224" t="s">
        <v>60</v>
      </c>
      <c r="U224" t="s">
        <v>61</v>
      </c>
      <c r="V224" t="s">
        <v>62</v>
      </c>
      <c r="W224" t="s">
        <v>62</v>
      </c>
      <c r="X224">
        <v>0</v>
      </c>
      <c r="Y224">
        <v>0</v>
      </c>
      <c r="Z224">
        <v>2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2</v>
      </c>
      <c r="AK224">
        <v>0</v>
      </c>
      <c r="AL224">
        <v>5</v>
      </c>
      <c r="AM224">
        <v>2</v>
      </c>
      <c r="AN224">
        <v>26</v>
      </c>
      <c r="AO224">
        <v>2</v>
      </c>
      <c r="AP224">
        <v>23</v>
      </c>
      <c r="AQ224">
        <v>0</v>
      </c>
      <c r="AR224" t="s">
        <v>4261</v>
      </c>
      <c r="AS224" t="s">
        <v>64</v>
      </c>
      <c r="AT224">
        <v>0.504</v>
      </c>
      <c r="AU224" t="s">
        <v>65</v>
      </c>
      <c r="AV224">
        <v>49</v>
      </c>
      <c r="AW224">
        <v>2</v>
      </c>
      <c r="AX224" t="s">
        <v>4262</v>
      </c>
      <c r="AY224" t="s">
        <v>4263</v>
      </c>
      <c r="AZ224" t="s">
        <v>4264</v>
      </c>
      <c r="BA224">
        <v>1.065E-2</v>
      </c>
      <c r="BB224">
        <v>1</v>
      </c>
      <c r="BC224" t="s">
        <v>69</v>
      </c>
      <c r="BD224">
        <v>0.59299999999999997</v>
      </c>
      <c r="BE224">
        <v>-7.0000000000000007E-2</v>
      </c>
    </row>
    <row r="225" spans="1:57">
      <c r="A225">
        <v>0</v>
      </c>
      <c r="B225">
        <v>0</v>
      </c>
      <c r="C225">
        <v>0</v>
      </c>
      <c r="D225">
        <v>3146</v>
      </c>
      <c r="E225" t="s">
        <v>4265</v>
      </c>
      <c r="F225" t="s">
        <v>5762</v>
      </c>
      <c r="G225" t="s">
        <v>62</v>
      </c>
      <c r="H225">
        <v>3102204</v>
      </c>
      <c r="I225">
        <v>3102512</v>
      </c>
      <c r="J225" t="s">
        <v>3416</v>
      </c>
      <c r="K225">
        <v>103</v>
      </c>
      <c r="L225" t="s">
        <v>83</v>
      </c>
      <c r="M225">
        <v>4</v>
      </c>
      <c r="N225" t="str">
        <f>HYPERLINK("Gene3146-zp_tree_all.dnd", "Gene3146-tree")</f>
        <v>Gene3146-tree</v>
      </c>
      <c r="O225">
        <v>2</v>
      </c>
      <c r="P225">
        <v>2</v>
      </c>
      <c r="Q225">
        <v>2</v>
      </c>
      <c r="R225">
        <v>2</v>
      </c>
      <c r="S225">
        <v>0.5</v>
      </c>
      <c r="T225" t="s">
        <v>135</v>
      </c>
      <c r="U225" t="s">
        <v>135</v>
      </c>
      <c r="V225" t="s">
        <v>62</v>
      </c>
      <c r="W225" t="s">
        <v>62</v>
      </c>
      <c r="X225">
        <v>0</v>
      </c>
      <c r="Y225">
        <v>0</v>
      </c>
      <c r="Z225">
        <v>5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5</v>
      </c>
      <c r="AK225">
        <v>0</v>
      </c>
      <c r="AL225">
        <v>3</v>
      </c>
      <c r="AM225">
        <v>1</v>
      </c>
      <c r="AN225">
        <v>11</v>
      </c>
      <c r="AO225">
        <v>5</v>
      </c>
      <c r="AP225">
        <v>1</v>
      </c>
      <c r="AQ225">
        <v>0</v>
      </c>
      <c r="AR225" t="s">
        <v>4266</v>
      </c>
      <c r="AS225" t="s">
        <v>64</v>
      </c>
      <c r="AT225">
        <v>0.66800000000000004</v>
      </c>
      <c r="AU225" t="s">
        <v>65</v>
      </c>
      <c r="AV225">
        <v>12</v>
      </c>
      <c r="AW225">
        <v>5</v>
      </c>
      <c r="AX225" t="s">
        <v>4267</v>
      </c>
      <c r="AY225" t="s">
        <v>4268</v>
      </c>
      <c r="AZ225" t="s">
        <v>4269</v>
      </c>
      <c r="BA225">
        <v>8.7929999999999994E-2</v>
      </c>
      <c r="BB225">
        <v>1</v>
      </c>
      <c r="BC225" t="s">
        <v>69</v>
      </c>
      <c r="BD225">
        <v>-0.66700000000000004</v>
      </c>
      <c r="BE225">
        <v>-0.66700000000000004</v>
      </c>
    </row>
    <row r="226" spans="1:57">
      <c r="A226">
        <v>0</v>
      </c>
      <c r="B226">
        <v>6</v>
      </c>
      <c r="C226">
        <v>0</v>
      </c>
      <c r="D226">
        <v>3147</v>
      </c>
      <c r="E226" t="s">
        <v>4270</v>
      </c>
      <c r="F226" t="s">
        <v>5762</v>
      </c>
      <c r="G226" t="s">
        <v>62</v>
      </c>
      <c r="H226">
        <v>3102632</v>
      </c>
      <c r="I226">
        <v>3105043</v>
      </c>
      <c r="J226" t="s">
        <v>4271</v>
      </c>
      <c r="K226">
        <v>804</v>
      </c>
      <c r="L226" t="s">
        <v>59</v>
      </c>
      <c r="M226">
        <v>5</v>
      </c>
      <c r="N226" t="str">
        <f>HYPERLINK("Gene3147-zp_tree_all.dnd", "Gene3147-tree")</f>
        <v>Gene3147-tree</v>
      </c>
      <c r="O226">
        <v>1</v>
      </c>
      <c r="P226">
        <v>4</v>
      </c>
      <c r="Q226">
        <v>1</v>
      </c>
      <c r="R226">
        <v>4</v>
      </c>
      <c r="S226">
        <v>0.8</v>
      </c>
      <c r="T226" t="s">
        <v>61</v>
      </c>
      <c r="U226" t="s">
        <v>60</v>
      </c>
      <c r="V226" t="s">
        <v>62</v>
      </c>
      <c r="W226" t="s">
        <v>62</v>
      </c>
      <c r="X226">
        <v>3</v>
      </c>
      <c r="Y226">
        <v>6</v>
      </c>
      <c r="Z226">
        <v>18</v>
      </c>
      <c r="AA226">
        <v>0.25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14</v>
      </c>
      <c r="AK226">
        <v>0</v>
      </c>
      <c r="AL226">
        <v>5</v>
      </c>
      <c r="AM226">
        <v>2</v>
      </c>
      <c r="AN226">
        <v>78</v>
      </c>
      <c r="AO226">
        <v>14</v>
      </c>
      <c r="AP226">
        <v>76</v>
      </c>
      <c r="AQ226">
        <v>10</v>
      </c>
      <c r="AR226" t="s">
        <v>4272</v>
      </c>
      <c r="AS226" t="s">
        <v>4273</v>
      </c>
      <c r="AT226">
        <v>0.36499999999999999</v>
      </c>
      <c r="AU226" t="s">
        <v>65</v>
      </c>
      <c r="AV226">
        <v>154</v>
      </c>
      <c r="AW226">
        <v>24</v>
      </c>
      <c r="AX226" t="s">
        <v>4274</v>
      </c>
      <c r="AY226" t="s">
        <v>4275</v>
      </c>
      <c r="AZ226" t="s">
        <v>4276</v>
      </c>
      <c r="BA226">
        <v>3.6089999999999997E-2</v>
      </c>
      <c r="BB226">
        <v>1</v>
      </c>
      <c r="BC226" t="s">
        <v>69</v>
      </c>
      <c r="BD226">
        <v>0.42199999999999999</v>
      </c>
      <c r="BE226">
        <v>0.24199999999999999</v>
      </c>
    </row>
    <row r="227" spans="1:57">
      <c r="A227">
        <v>0</v>
      </c>
      <c r="B227">
        <v>0</v>
      </c>
      <c r="C227">
        <v>0</v>
      </c>
      <c r="D227">
        <v>3148</v>
      </c>
      <c r="E227" t="s">
        <v>4277</v>
      </c>
      <c r="F227" t="s">
        <v>5762</v>
      </c>
      <c r="G227" t="s">
        <v>62</v>
      </c>
      <c r="H227">
        <v>3105473</v>
      </c>
      <c r="I227">
        <v>3105805</v>
      </c>
      <c r="J227" t="s">
        <v>4278</v>
      </c>
      <c r="K227">
        <v>111</v>
      </c>
      <c r="L227" t="s">
        <v>59</v>
      </c>
      <c r="M227">
        <v>5</v>
      </c>
      <c r="N227" t="str">
        <f>HYPERLINK("Gene3148-zp_tree_all.dnd", "Gene3148-tree")</f>
        <v>Gene3148-tree</v>
      </c>
    </row>
    <row r="228" spans="1:57">
      <c r="A228">
        <v>0</v>
      </c>
      <c r="B228">
        <v>0</v>
      </c>
      <c r="C228">
        <v>2</v>
      </c>
      <c r="D228">
        <v>3161</v>
      </c>
      <c r="E228" t="s">
        <v>4279</v>
      </c>
      <c r="F228" t="s">
        <v>5762</v>
      </c>
      <c r="G228" t="s">
        <v>62</v>
      </c>
      <c r="H228">
        <v>3118850</v>
      </c>
      <c r="I228">
        <v>3119239</v>
      </c>
      <c r="J228" t="s">
        <v>4280</v>
      </c>
      <c r="K228">
        <v>130</v>
      </c>
      <c r="L228" t="s">
        <v>59</v>
      </c>
      <c r="M228">
        <v>5</v>
      </c>
      <c r="N228" t="str">
        <f>HYPERLINK("Gene3161-zp_tree_all.dnd", "Gene3161-tree")</f>
        <v>Gene3161-tree</v>
      </c>
      <c r="O228">
        <v>2</v>
      </c>
      <c r="P228">
        <v>3</v>
      </c>
      <c r="Q228">
        <v>2</v>
      </c>
      <c r="R228">
        <v>2</v>
      </c>
      <c r="S228">
        <v>0.5</v>
      </c>
      <c r="T228" t="s">
        <v>135</v>
      </c>
      <c r="U228" t="s">
        <v>217</v>
      </c>
      <c r="V228">
        <v>0.30599999999999999</v>
      </c>
      <c r="W228" t="s">
        <v>65</v>
      </c>
      <c r="X228">
        <v>1</v>
      </c>
      <c r="Y228">
        <v>2</v>
      </c>
      <c r="Z228">
        <v>3</v>
      </c>
      <c r="AA228">
        <v>0.4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2</v>
      </c>
      <c r="AI228">
        <v>2</v>
      </c>
      <c r="AJ228">
        <v>3</v>
      </c>
      <c r="AK228">
        <v>0.4</v>
      </c>
      <c r="AL228">
        <v>3</v>
      </c>
      <c r="AM228">
        <v>1</v>
      </c>
      <c r="AN228">
        <v>9</v>
      </c>
      <c r="AO228">
        <v>4</v>
      </c>
      <c r="AP228">
        <v>3</v>
      </c>
      <c r="AQ228">
        <v>2</v>
      </c>
      <c r="AR228" t="s">
        <v>4281</v>
      </c>
      <c r="AS228" t="s">
        <v>4282</v>
      </c>
      <c r="AT228">
        <v>1.508</v>
      </c>
      <c r="AU228" t="s">
        <v>65</v>
      </c>
      <c r="AV228">
        <v>12</v>
      </c>
      <c r="AW228">
        <v>6</v>
      </c>
      <c r="AX228" t="s">
        <v>4283</v>
      </c>
      <c r="AY228" t="s">
        <v>4284</v>
      </c>
      <c r="AZ228" t="s">
        <v>4285</v>
      </c>
      <c r="BA228">
        <v>0.1361</v>
      </c>
      <c r="BB228">
        <v>1</v>
      </c>
      <c r="BC228" t="s">
        <v>69</v>
      </c>
      <c r="BD228">
        <v>0.307</v>
      </c>
      <c r="BE228">
        <v>0.307</v>
      </c>
    </row>
    <row r="229" spans="1:57">
      <c r="A229">
        <v>0</v>
      </c>
      <c r="B229">
        <v>0</v>
      </c>
      <c r="C229">
        <v>0</v>
      </c>
      <c r="D229">
        <v>3162</v>
      </c>
      <c r="E229" t="s">
        <v>4286</v>
      </c>
      <c r="F229" t="s">
        <v>5762</v>
      </c>
      <c r="G229" t="s">
        <v>62</v>
      </c>
      <c r="H229">
        <v>3119276</v>
      </c>
      <c r="I229">
        <v>3119410</v>
      </c>
      <c r="J229" t="s">
        <v>118</v>
      </c>
      <c r="K229">
        <v>45</v>
      </c>
      <c r="L229" t="s">
        <v>59</v>
      </c>
      <c r="M229">
        <v>5</v>
      </c>
      <c r="N229" t="str">
        <f>HYPERLINK("Gene3162-zp_tree_all.dnd", "Gene3162-tree")</f>
        <v>Gene3162-tree</v>
      </c>
      <c r="O229">
        <v>4</v>
      </c>
      <c r="P229">
        <v>1</v>
      </c>
      <c r="Q229">
        <v>4</v>
      </c>
      <c r="R229">
        <v>1</v>
      </c>
      <c r="S229">
        <v>0.2</v>
      </c>
      <c r="T229" t="s">
        <v>60</v>
      </c>
      <c r="U229" t="s">
        <v>61</v>
      </c>
      <c r="V229" t="s">
        <v>62</v>
      </c>
      <c r="W229" t="s">
        <v>62</v>
      </c>
      <c r="X229">
        <v>0</v>
      </c>
      <c r="Y229">
        <v>0</v>
      </c>
      <c r="Z229">
        <v>3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</v>
      </c>
      <c r="AK229">
        <v>0</v>
      </c>
      <c r="AL229">
        <v>4</v>
      </c>
      <c r="AM229">
        <v>1</v>
      </c>
      <c r="AN229">
        <v>4</v>
      </c>
      <c r="AO229">
        <v>1</v>
      </c>
      <c r="AP229">
        <v>2</v>
      </c>
      <c r="AQ229">
        <v>2</v>
      </c>
      <c r="AR229" t="s">
        <v>4287</v>
      </c>
      <c r="AS229" t="s">
        <v>4288</v>
      </c>
      <c r="AT229">
        <v>1.9470000000000001</v>
      </c>
      <c r="AU229" t="s">
        <v>65</v>
      </c>
      <c r="AV229">
        <v>6</v>
      </c>
      <c r="AW229">
        <v>3</v>
      </c>
      <c r="AX229" t="s">
        <v>4289</v>
      </c>
      <c r="AY229" t="s">
        <v>4290</v>
      </c>
      <c r="AZ229" t="s">
        <v>4291</v>
      </c>
      <c r="BA229">
        <v>0.15217</v>
      </c>
      <c r="BB229">
        <v>0.96699999999999997</v>
      </c>
      <c r="BC229" t="s">
        <v>69</v>
      </c>
      <c r="BD229">
        <v>0.47699999999999998</v>
      </c>
      <c r="BE229">
        <v>-0.44</v>
      </c>
    </row>
    <row r="230" spans="1:57">
      <c r="A230">
        <v>0</v>
      </c>
      <c r="B230">
        <v>0</v>
      </c>
      <c r="C230">
        <v>0</v>
      </c>
      <c r="D230">
        <v>3163</v>
      </c>
      <c r="E230" t="s">
        <v>4292</v>
      </c>
      <c r="F230" t="s">
        <v>5762</v>
      </c>
      <c r="G230" t="s">
        <v>62</v>
      </c>
      <c r="H230">
        <v>3119568</v>
      </c>
      <c r="I230">
        <v>3119837</v>
      </c>
      <c r="J230" t="s">
        <v>118</v>
      </c>
      <c r="K230">
        <v>90</v>
      </c>
      <c r="L230" t="s">
        <v>83</v>
      </c>
      <c r="M230">
        <v>4</v>
      </c>
      <c r="N230" t="str">
        <f>HYPERLINK("Gene3163-zp_tree_all.dnd", "Gene3163-tree")</f>
        <v>Gene3163-tree</v>
      </c>
      <c r="O230">
        <v>3</v>
      </c>
      <c r="P230">
        <v>1</v>
      </c>
      <c r="Q230">
        <v>3</v>
      </c>
      <c r="R230">
        <v>1</v>
      </c>
      <c r="S230">
        <v>0.25</v>
      </c>
      <c r="T230" t="s">
        <v>84</v>
      </c>
      <c r="U230" t="s">
        <v>61</v>
      </c>
      <c r="V230" t="s">
        <v>62</v>
      </c>
      <c r="W230" t="s">
        <v>62</v>
      </c>
      <c r="X230">
        <v>0</v>
      </c>
      <c r="Y230">
        <v>0</v>
      </c>
      <c r="Z230">
        <v>4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4</v>
      </c>
      <c r="AK230">
        <v>0</v>
      </c>
      <c r="AL230">
        <v>3</v>
      </c>
      <c r="AM230">
        <v>1</v>
      </c>
      <c r="AN230">
        <v>8</v>
      </c>
      <c r="AO230">
        <v>4</v>
      </c>
      <c r="AP230">
        <v>2</v>
      </c>
      <c r="AQ230">
        <v>0</v>
      </c>
      <c r="AR230" t="s">
        <v>4293</v>
      </c>
      <c r="AS230" t="s">
        <v>64</v>
      </c>
      <c r="AT230">
        <v>0.61299999999999999</v>
      </c>
      <c r="AU230" t="s">
        <v>65</v>
      </c>
      <c r="AV230">
        <v>10</v>
      </c>
      <c r="AW230">
        <v>4</v>
      </c>
      <c r="AX230" t="s">
        <v>4294</v>
      </c>
      <c r="AY230" t="s">
        <v>4295</v>
      </c>
      <c r="AZ230" t="s">
        <v>4296</v>
      </c>
      <c r="BA230">
        <v>8.8679999999999995E-2</v>
      </c>
      <c r="BB230">
        <v>1</v>
      </c>
      <c r="BC230" t="s">
        <v>69</v>
      </c>
      <c r="BD230">
        <v>-0.40300000000000002</v>
      </c>
      <c r="BE230">
        <v>-0.40300000000000002</v>
      </c>
    </row>
    <row r="231" spans="1:57">
      <c r="A231">
        <v>0</v>
      </c>
      <c r="B231">
        <v>0</v>
      </c>
      <c r="C231">
        <v>2</v>
      </c>
      <c r="D231">
        <v>3170</v>
      </c>
      <c r="E231" t="s">
        <v>4303</v>
      </c>
      <c r="F231" t="s">
        <v>5762</v>
      </c>
      <c r="G231" t="s">
        <v>62</v>
      </c>
      <c r="H231">
        <v>3125780</v>
      </c>
      <c r="I231">
        <v>3127675</v>
      </c>
      <c r="J231" t="s">
        <v>4304</v>
      </c>
      <c r="K231">
        <v>632</v>
      </c>
      <c r="L231" t="s">
        <v>59</v>
      </c>
      <c r="M231">
        <v>5</v>
      </c>
      <c r="N231" t="str">
        <f>HYPERLINK("Gene3170-zp_tree_all.dnd", "Gene3170-tree")</f>
        <v>Gene3170-tree</v>
      </c>
      <c r="O231">
        <v>2</v>
      </c>
      <c r="P231">
        <v>3</v>
      </c>
      <c r="Q231">
        <v>2</v>
      </c>
      <c r="R231">
        <v>3</v>
      </c>
      <c r="S231">
        <v>0.6</v>
      </c>
      <c r="T231" t="s">
        <v>135</v>
      </c>
      <c r="U231" t="s">
        <v>84</v>
      </c>
      <c r="V231" t="s">
        <v>62</v>
      </c>
      <c r="W231" t="s">
        <v>62</v>
      </c>
      <c r="X231">
        <v>1</v>
      </c>
      <c r="Y231">
        <v>2</v>
      </c>
      <c r="Z231">
        <v>4</v>
      </c>
      <c r="AA231">
        <v>0.33333000000000002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5</v>
      </c>
      <c r="AK231">
        <v>0</v>
      </c>
      <c r="AL231">
        <v>5</v>
      </c>
      <c r="AM231">
        <v>2</v>
      </c>
      <c r="AN231">
        <v>39</v>
      </c>
      <c r="AO231">
        <v>5</v>
      </c>
      <c r="AP231">
        <v>50</v>
      </c>
      <c r="AQ231">
        <v>1</v>
      </c>
      <c r="AR231" t="s">
        <v>4305</v>
      </c>
      <c r="AS231" t="s">
        <v>4306</v>
      </c>
      <c r="AT231">
        <v>1.5529999999999999</v>
      </c>
      <c r="AU231" t="s">
        <v>65</v>
      </c>
      <c r="AV231">
        <v>89</v>
      </c>
      <c r="AW231">
        <v>6</v>
      </c>
      <c r="AX231" t="s">
        <v>4307</v>
      </c>
      <c r="AY231" t="s">
        <v>4308</v>
      </c>
      <c r="AZ231" t="s">
        <v>4309</v>
      </c>
      <c r="BA231">
        <v>1.285E-2</v>
      </c>
      <c r="BB231">
        <v>1</v>
      </c>
      <c r="BC231" t="s">
        <v>69</v>
      </c>
      <c r="BD231">
        <v>0.52100000000000002</v>
      </c>
      <c r="BE231">
        <v>0.36799999999999999</v>
      </c>
    </row>
    <row r="232" spans="1:57">
      <c r="A232">
        <v>0</v>
      </c>
      <c r="B232">
        <v>0</v>
      </c>
      <c r="C232">
        <v>0</v>
      </c>
      <c r="D232">
        <v>3171</v>
      </c>
      <c r="E232" t="s">
        <v>4310</v>
      </c>
      <c r="F232" t="s">
        <v>5762</v>
      </c>
      <c r="G232" t="s">
        <v>62</v>
      </c>
      <c r="H232">
        <v>3127828</v>
      </c>
      <c r="I232">
        <v>3129027</v>
      </c>
      <c r="J232" t="s">
        <v>4311</v>
      </c>
      <c r="K232">
        <v>400</v>
      </c>
      <c r="L232" t="s">
        <v>59</v>
      </c>
      <c r="M232">
        <v>5</v>
      </c>
      <c r="N232" t="str">
        <f>HYPERLINK("Gene3171-zp_tree_all.dnd", "Gene3171-tree")</f>
        <v>Gene3171-tree</v>
      </c>
      <c r="O232">
        <v>4</v>
      </c>
      <c r="P232">
        <v>1</v>
      </c>
      <c r="Q232">
        <v>4</v>
      </c>
      <c r="R232">
        <v>1</v>
      </c>
      <c r="S232">
        <v>0.2</v>
      </c>
      <c r="T232" t="s">
        <v>60</v>
      </c>
      <c r="U232" t="s">
        <v>61</v>
      </c>
      <c r="V232" t="s">
        <v>62</v>
      </c>
      <c r="W232" t="s">
        <v>62</v>
      </c>
      <c r="X232">
        <v>0</v>
      </c>
      <c r="Y232">
        <v>0</v>
      </c>
      <c r="Z232">
        <v>1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0</v>
      </c>
      <c r="AL232">
        <v>5</v>
      </c>
      <c r="AM232">
        <v>2</v>
      </c>
      <c r="AN232">
        <v>26</v>
      </c>
      <c r="AO232">
        <v>1</v>
      </c>
      <c r="AP232">
        <v>31</v>
      </c>
      <c r="AQ232">
        <v>0</v>
      </c>
      <c r="AR232" t="s">
        <v>4312</v>
      </c>
      <c r="AS232" t="s">
        <v>64</v>
      </c>
      <c r="AT232">
        <v>0.497</v>
      </c>
      <c r="AU232" t="s">
        <v>65</v>
      </c>
      <c r="AV232">
        <v>57</v>
      </c>
      <c r="AW232">
        <v>1</v>
      </c>
      <c r="AX232" t="s">
        <v>4313</v>
      </c>
      <c r="AY232" t="s">
        <v>4314</v>
      </c>
      <c r="AZ232" t="s">
        <v>4315</v>
      </c>
      <c r="BA232">
        <v>3.9699999999999996E-3</v>
      </c>
      <c r="BB232">
        <v>1</v>
      </c>
      <c r="BC232" t="s">
        <v>69</v>
      </c>
      <c r="BD232">
        <v>0.48099999999999998</v>
      </c>
      <c r="BE232">
        <v>0.34300000000000003</v>
      </c>
    </row>
    <row r="233" spans="1:57">
      <c r="A233">
        <v>0</v>
      </c>
      <c r="B233">
        <v>0</v>
      </c>
      <c r="C233">
        <v>0</v>
      </c>
      <c r="D233">
        <v>3173</v>
      </c>
      <c r="E233" t="s">
        <v>4316</v>
      </c>
      <c r="F233" t="s">
        <v>5762</v>
      </c>
      <c r="G233" t="s">
        <v>62</v>
      </c>
      <c r="H233">
        <v>3131155</v>
      </c>
      <c r="I233">
        <v>3131394</v>
      </c>
      <c r="J233" t="s">
        <v>118</v>
      </c>
      <c r="K233">
        <v>80</v>
      </c>
      <c r="L233" t="s">
        <v>59</v>
      </c>
      <c r="M233">
        <v>5</v>
      </c>
      <c r="N233" t="str">
        <f>HYPERLINK("Gene3173-zp_tree_all.dnd", "Gene3173-tree")</f>
        <v>Gene3173-tree</v>
      </c>
      <c r="O233">
        <v>2</v>
      </c>
      <c r="P233">
        <v>3</v>
      </c>
      <c r="Q233">
        <v>2</v>
      </c>
      <c r="R233">
        <v>3</v>
      </c>
      <c r="S233">
        <v>0.6</v>
      </c>
      <c r="T233" t="s">
        <v>135</v>
      </c>
      <c r="U233" t="s">
        <v>84</v>
      </c>
      <c r="V233" t="s">
        <v>62</v>
      </c>
      <c r="W233" t="s">
        <v>62</v>
      </c>
      <c r="X233">
        <v>0</v>
      </c>
      <c r="Y233">
        <v>0</v>
      </c>
      <c r="Z233">
        <v>3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3</v>
      </c>
      <c r="AK233">
        <v>0</v>
      </c>
      <c r="AL233">
        <v>4</v>
      </c>
      <c r="AM233">
        <v>2</v>
      </c>
      <c r="AN233">
        <v>2</v>
      </c>
      <c r="AO233">
        <v>3</v>
      </c>
      <c r="AP233">
        <v>9</v>
      </c>
      <c r="AQ233">
        <v>0</v>
      </c>
      <c r="AR233" t="s">
        <v>4317</v>
      </c>
      <c r="AS233" t="s">
        <v>64</v>
      </c>
      <c r="AT233">
        <v>1.5</v>
      </c>
      <c r="AU233" t="s">
        <v>65</v>
      </c>
      <c r="AV233">
        <v>11</v>
      </c>
      <c r="AW233">
        <v>3</v>
      </c>
      <c r="AX233" t="s">
        <v>4318</v>
      </c>
      <c r="AY233" t="s">
        <v>4319</v>
      </c>
      <c r="AZ233" t="s">
        <v>4320</v>
      </c>
      <c r="BA233">
        <v>5.0700000000000002E-2</v>
      </c>
      <c r="BB233">
        <v>1</v>
      </c>
      <c r="BC233" t="s">
        <v>69</v>
      </c>
      <c r="BD233">
        <v>0.73799999999999999</v>
      </c>
      <c r="BE233">
        <v>0.73799999999999999</v>
      </c>
    </row>
    <row r="234" spans="1:57">
      <c r="A234">
        <v>0</v>
      </c>
      <c r="B234">
        <v>0</v>
      </c>
      <c r="C234">
        <v>0</v>
      </c>
      <c r="D234">
        <v>3174</v>
      </c>
      <c r="E234" t="s">
        <v>4321</v>
      </c>
      <c r="F234" t="s">
        <v>5762</v>
      </c>
      <c r="G234" t="s">
        <v>62</v>
      </c>
      <c r="H234">
        <v>3131449</v>
      </c>
      <c r="I234">
        <v>3132219</v>
      </c>
      <c r="J234" t="s">
        <v>4322</v>
      </c>
      <c r="K234">
        <v>257</v>
      </c>
      <c r="L234" t="s">
        <v>83</v>
      </c>
      <c r="M234">
        <v>4</v>
      </c>
      <c r="N234" t="str">
        <f>HYPERLINK("Gene3174-zp_tree_all.dnd", "Gene3174-tree")</f>
        <v>Gene3174-tree</v>
      </c>
      <c r="O234">
        <v>1</v>
      </c>
      <c r="P234">
        <v>3</v>
      </c>
      <c r="Q234">
        <v>1</v>
      </c>
      <c r="R234">
        <v>3</v>
      </c>
      <c r="S234">
        <v>0.75</v>
      </c>
      <c r="T234" t="s">
        <v>61</v>
      </c>
      <c r="U234" t="s">
        <v>84</v>
      </c>
      <c r="V234" t="s">
        <v>62</v>
      </c>
      <c r="W234" t="s">
        <v>62</v>
      </c>
      <c r="X234">
        <v>0</v>
      </c>
      <c r="Y234">
        <v>0</v>
      </c>
      <c r="Z234">
        <v>8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7</v>
      </c>
      <c r="AK234">
        <v>0</v>
      </c>
      <c r="AL234">
        <v>4</v>
      </c>
      <c r="AM234">
        <v>1</v>
      </c>
      <c r="AN234">
        <v>46</v>
      </c>
      <c r="AO234">
        <v>7</v>
      </c>
      <c r="AP234">
        <v>0</v>
      </c>
      <c r="AQ234">
        <v>1</v>
      </c>
      <c r="AR234" t="s">
        <v>4323</v>
      </c>
      <c r="AS234" t="s">
        <v>64</v>
      </c>
      <c r="AT234">
        <v>1.004</v>
      </c>
      <c r="AU234" t="s">
        <v>65</v>
      </c>
      <c r="AV234">
        <v>46</v>
      </c>
      <c r="AW234">
        <v>8</v>
      </c>
      <c r="AX234" t="s">
        <v>4324</v>
      </c>
      <c r="AY234" t="s">
        <v>4325</v>
      </c>
      <c r="AZ234" t="s">
        <v>4326</v>
      </c>
      <c r="BA234">
        <v>4.9369999999999997E-2</v>
      </c>
      <c r="BB234">
        <v>1</v>
      </c>
      <c r="BC234" t="s">
        <v>69</v>
      </c>
      <c r="BD234">
        <v>-0.61799999999999999</v>
      </c>
      <c r="BE234">
        <v>-0.61799999999999999</v>
      </c>
    </row>
    <row r="235" spans="1:57">
      <c r="A235">
        <v>0</v>
      </c>
      <c r="B235">
        <v>0</v>
      </c>
      <c r="C235">
        <v>0</v>
      </c>
      <c r="D235">
        <v>3178</v>
      </c>
      <c r="E235" t="s">
        <v>4327</v>
      </c>
      <c r="F235" t="s">
        <v>5762</v>
      </c>
      <c r="G235" t="s">
        <v>62</v>
      </c>
      <c r="H235">
        <v>3134986</v>
      </c>
      <c r="I235">
        <v>3135459</v>
      </c>
      <c r="J235" t="s">
        <v>4328</v>
      </c>
      <c r="K235">
        <v>158</v>
      </c>
      <c r="L235" t="s">
        <v>59</v>
      </c>
      <c r="M235">
        <v>5</v>
      </c>
      <c r="N235" t="str">
        <f>HYPERLINK("Gene3178-zp_tree_all.dnd", "Gene3178-tree")</f>
        <v>Gene3178-tree</v>
      </c>
      <c r="O235">
        <v>4</v>
      </c>
      <c r="P235">
        <v>1</v>
      </c>
      <c r="Q235">
        <v>4</v>
      </c>
      <c r="R235">
        <v>1</v>
      </c>
      <c r="S235">
        <v>0.2</v>
      </c>
      <c r="T235" t="s">
        <v>60</v>
      </c>
      <c r="U235" t="s">
        <v>61</v>
      </c>
      <c r="V235" t="s">
        <v>62</v>
      </c>
      <c r="W235" t="s">
        <v>62</v>
      </c>
      <c r="X235">
        <v>0</v>
      </c>
      <c r="Y235">
        <v>0</v>
      </c>
      <c r="Z235">
        <v>3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1</v>
      </c>
      <c r="AK235">
        <v>0</v>
      </c>
      <c r="AL235">
        <v>4</v>
      </c>
      <c r="AM235">
        <v>2</v>
      </c>
      <c r="AN235">
        <v>12</v>
      </c>
      <c r="AO235">
        <v>1</v>
      </c>
      <c r="AP235">
        <v>11</v>
      </c>
      <c r="AQ235">
        <v>2</v>
      </c>
      <c r="AR235" t="s">
        <v>4329</v>
      </c>
      <c r="AS235" t="s">
        <v>4330</v>
      </c>
      <c r="AT235">
        <v>0.47299999999999998</v>
      </c>
      <c r="AU235" t="s">
        <v>65</v>
      </c>
      <c r="AV235">
        <v>23</v>
      </c>
      <c r="AW235">
        <v>3</v>
      </c>
      <c r="AX235" t="s">
        <v>4331</v>
      </c>
      <c r="AY235" t="s">
        <v>4332</v>
      </c>
      <c r="AZ235" t="s">
        <v>4333</v>
      </c>
      <c r="BA235">
        <v>3.4889999999999997E-2</v>
      </c>
      <c r="BB235">
        <v>1</v>
      </c>
      <c r="BC235" t="s">
        <v>69</v>
      </c>
      <c r="BD235">
        <v>0.372</v>
      </c>
      <c r="BE235">
        <v>0.372</v>
      </c>
    </row>
    <row r="236" spans="1:57">
      <c r="A236">
        <v>0</v>
      </c>
      <c r="B236">
        <v>2</v>
      </c>
      <c r="C236">
        <v>0</v>
      </c>
      <c r="D236">
        <v>3179</v>
      </c>
      <c r="E236" t="s">
        <v>4334</v>
      </c>
      <c r="F236" t="s">
        <v>5762</v>
      </c>
      <c r="G236" t="s">
        <v>62</v>
      </c>
      <c r="H236">
        <v>3135671</v>
      </c>
      <c r="I236">
        <v>3136072</v>
      </c>
      <c r="J236" t="s">
        <v>4335</v>
      </c>
      <c r="K236">
        <v>134</v>
      </c>
      <c r="L236" t="s">
        <v>59</v>
      </c>
      <c r="M236">
        <v>5</v>
      </c>
      <c r="N236" t="str">
        <f>HYPERLINK("Gene3179-zp_tree_all.dnd", "Gene3179-tree")</f>
        <v>Gene3179-tree</v>
      </c>
      <c r="O236">
        <v>1</v>
      </c>
      <c r="P236">
        <v>4</v>
      </c>
      <c r="Q236">
        <v>1</v>
      </c>
      <c r="R236">
        <v>4</v>
      </c>
      <c r="S236">
        <v>0.8</v>
      </c>
      <c r="T236" t="s">
        <v>61</v>
      </c>
      <c r="U236" t="s">
        <v>60</v>
      </c>
      <c r="V236" t="s">
        <v>62</v>
      </c>
      <c r="W236" t="s">
        <v>62</v>
      </c>
      <c r="X236">
        <v>1</v>
      </c>
      <c r="Y236">
        <v>2</v>
      </c>
      <c r="Z236">
        <v>5</v>
      </c>
      <c r="AA236">
        <v>0.28571000000000002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5</v>
      </c>
      <c r="AK236">
        <v>0</v>
      </c>
      <c r="AL236">
        <v>4</v>
      </c>
      <c r="AM236">
        <v>2</v>
      </c>
      <c r="AN236">
        <v>4</v>
      </c>
      <c r="AO236">
        <v>5</v>
      </c>
      <c r="AP236">
        <v>12</v>
      </c>
      <c r="AQ236">
        <v>2</v>
      </c>
      <c r="AR236" t="s">
        <v>4336</v>
      </c>
      <c r="AS236" t="s">
        <v>4337</v>
      </c>
      <c r="AT236">
        <v>1.8440000000000001</v>
      </c>
      <c r="AU236" t="s">
        <v>65</v>
      </c>
      <c r="AV236">
        <v>16</v>
      </c>
      <c r="AW236">
        <v>7</v>
      </c>
      <c r="AX236" t="s">
        <v>4338</v>
      </c>
      <c r="AY236" t="s">
        <v>4339</v>
      </c>
      <c r="AZ236" t="s">
        <v>4340</v>
      </c>
      <c r="BA236">
        <v>8.9029999999999998E-2</v>
      </c>
      <c r="BB236">
        <v>1</v>
      </c>
      <c r="BC236" t="s">
        <v>69</v>
      </c>
      <c r="BD236">
        <v>0.73</v>
      </c>
      <c r="BE236">
        <v>0.73</v>
      </c>
    </row>
    <row r="237" spans="1:57">
      <c r="A237">
        <v>0</v>
      </c>
      <c r="B237">
        <v>0</v>
      </c>
      <c r="C237">
        <v>0</v>
      </c>
      <c r="D237">
        <v>3180</v>
      </c>
      <c r="E237" t="s">
        <v>4341</v>
      </c>
      <c r="F237" t="s">
        <v>5762</v>
      </c>
      <c r="G237" t="s">
        <v>62</v>
      </c>
      <c r="H237">
        <v>3136241</v>
      </c>
      <c r="I237">
        <v>3136675</v>
      </c>
      <c r="J237" t="s">
        <v>4342</v>
      </c>
      <c r="K237">
        <v>145</v>
      </c>
      <c r="L237" t="s">
        <v>59</v>
      </c>
      <c r="M237">
        <v>5</v>
      </c>
      <c r="N237" t="str">
        <f>HYPERLINK("Gene3180-zp_tree_all.dnd", "Gene3180-tree")</f>
        <v>Gene3180-tree</v>
      </c>
      <c r="O237">
        <v>5</v>
      </c>
      <c r="P237">
        <v>0</v>
      </c>
      <c r="Q237">
        <v>5</v>
      </c>
      <c r="R237">
        <v>0</v>
      </c>
      <c r="S237">
        <v>0</v>
      </c>
      <c r="T237" t="s">
        <v>98</v>
      </c>
      <c r="U237" t="s">
        <v>62</v>
      </c>
      <c r="V237" t="s">
        <v>62</v>
      </c>
      <c r="W237" t="s">
        <v>62</v>
      </c>
      <c r="X237">
        <v>0</v>
      </c>
      <c r="Y237">
        <v>0</v>
      </c>
      <c r="Z237">
        <v>2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5</v>
      </c>
      <c r="AM237">
        <v>2</v>
      </c>
      <c r="AN237">
        <v>11</v>
      </c>
      <c r="AO237">
        <v>0</v>
      </c>
      <c r="AP237">
        <v>10</v>
      </c>
      <c r="AQ237">
        <v>2</v>
      </c>
      <c r="AR237" t="s">
        <v>64</v>
      </c>
      <c r="AS237" t="s">
        <v>4343</v>
      </c>
      <c r="AT237">
        <v>0.85299999999999998</v>
      </c>
      <c r="AU237" t="s">
        <v>65</v>
      </c>
      <c r="AV237">
        <v>21</v>
      </c>
      <c r="AW237">
        <v>2</v>
      </c>
      <c r="AX237" t="s">
        <v>4344</v>
      </c>
      <c r="AY237" t="s">
        <v>4345</v>
      </c>
      <c r="AZ237" t="s">
        <v>4346</v>
      </c>
      <c r="BA237">
        <v>2.844E-2</v>
      </c>
      <c r="BB237">
        <v>1</v>
      </c>
      <c r="BC237" t="s">
        <v>69</v>
      </c>
      <c r="BD237">
        <v>0.55700000000000005</v>
      </c>
      <c r="BE237">
        <v>0.51100000000000001</v>
      </c>
    </row>
    <row r="238" spans="1:57">
      <c r="A238">
        <v>0</v>
      </c>
      <c r="B238">
        <v>0</v>
      </c>
      <c r="C238">
        <v>0</v>
      </c>
      <c r="D238">
        <v>3183</v>
      </c>
      <c r="E238" t="s">
        <v>4347</v>
      </c>
      <c r="F238" t="s">
        <v>5762</v>
      </c>
      <c r="G238" t="s">
        <v>62</v>
      </c>
      <c r="H238">
        <v>3137498</v>
      </c>
      <c r="I238">
        <v>3137968</v>
      </c>
      <c r="J238" t="s">
        <v>4348</v>
      </c>
      <c r="K238">
        <v>157</v>
      </c>
      <c r="L238" t="s">
        <v>59</v>
      </c>
      <c r="M238">
        <v>5</v>
      </c>
      <c r="N238" t="str">
        <f>HYPERLINK("Gene3183-zp_tree_all.dnd", "Gene3183-tree")</f>
        <v>Gene3183-tree</v>
      </c>
      <c r="O238">
        <v>4</v>
      </c>
      <c r="P238">
        <v>1</v>
      </c>
      <c r="Q238">
        <v>4</v>
      </c>
      <c r="R238">
        <v>1</v>
      </c>
      <c r="S238">
        <v>0.2</v>
      </c>
      <c r="T238" t="s">
        <v>60</v>
      </c>
      <c r="U238" t="s">
        <v>61</v>
      </c>
      <c r="V238" t="s">
        <v>62</v>
      </c>
      <c r="W238" t="s">
        <v>62</v>
      </c>
      <c r="X238">
        <v>0</v>
      </c>
      <c r="Y238">
        <v>0</v>
      </c>
      <c r="Z238">
        <v>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1</v>
      </c>
      <c r="AK238">
        <v>0</v>
      </c>
      <c r="AL238">
        <v>4</v>
      </c>
      <c r="AM238">
        <v>2</v>
      </c>
      <c r="AN238">
        <v>10</v>
      </c>
      <c r="AO238">
        <v>1</v>
      </c>
      <c r="AP238">
        <v>11</v>
      </c>
      <c r="AQ238">
        <v>0</v>
      </c>
      <c r="AR238" t="s">
        <v>4349</v>
      </c>
      <c r="AS238" t="s">
        <v>64</v>
      </c>
      <c r="AT238">
        <v>0.64</v>
      </c>
      <c r="AU238" t="s">
        <v>65</v>
      </c>
      <c r="AV238">
        <v>21</v>
      </c>
      <c r="AW238">
        <v>1</v>
      </c>
      <c r="AX238" t="s">
        <v>4350</v>
      </c>
      <c r="AY238" t="s">
        <v>4351</v>
      </c>
      <c r="AZ238" t="s">
        <v>4352</v>
      </c>
      <c r="BA238">
        <v>9.8700000000000003E-3</v>
      </c>
      <c r="BB238">
        <v>1</v>
      </c>
      <c r="BC238" t="s">
        <v>69</v>
      </c>
      <c r="BD238">
        <v>0.52900000000000003</v>
      </c>
      <c r="BE238">
        <v>0.23499999999999999</v>
      </c>
    </row>
    <row r="239" spans="1:57">
      <c r="A239">
        <v>0</v>
      </c>
      <c r="B239">
        <v>0</v>
      </c>
      <c r="C239">
        <v>0</v>
      </c>
      <c r="D239">
        <v>3186</v>
      </c>
      <c r="E239" t="s">
        <v>4353</v>
      </c>
      <c r="F239" t="s">
        <v>5762</v>
      </c>
      <c r="G239" t="s">
        <v>62</v>
      </c>
      <c r="H239">
        <v>3138981</v>
      </c>
      <c r="I239">
        <v>3139226</v>
      </c>
      <c r="J239" t="s">
        <v>4354</v>
      </c>
      <c r="K239">
        <v>82</v>
      </c>
      <c r="L239" t="s">
        <v>59</v>
      </c>
      <c r="M239">
        <v>5</v>
      </c>
      <c r="N239" t="str">
        <f>HYPERLINK("Gene3186-zp_tree_all.dnd", "Gene3186-tree")</f>
        <v>Gene3186-tree</v>
      </c>
      <c r="O239">
        <v>5</v>
      </c>
      <c r="P239">
        <v>0</v>
      </c>
      <c r="Q239">
        <v>5</v>
      </c>
      <c r="R239">
        <v>0</v>
      </c>
      <c r="S239">
        <v>0</v>
      </c>
      <c r="T239" t="s">
        <v>98</v>
      </c>
      <c r="U239" t="s">
        <v>62</v>
      </c>
      <c r="V239" t="s">
        <v>62</v>
      </c>
      <c r="W239" t="s">
        <v>62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4</v>
      </c>
      <c r="AM239">
        <v>2</v>
      </c>
      <c r="AN239">
        <v>10</v>
      </c>
      <c r="AO239">
        <v>0</v>
      </c>
      <c r="AP239">
        <v>10</v>
      </c>
      <c r="AQ239">
        <v>0</v>
      </c>
      <c r="AR239" t="s">
        <v>64</v>
      </c>
      <c r="AS239" t="s">
        <v>64</v>
      </c>
      <c r="AT239">
        <v>0</v>
      </c>
      <c r="AU239" t="s">
        <v>65</v>
      </c>
      <c r="AV239">
        <v>20</v>
      </c>
      <c r="AW239">
        <v>0</v>
      </c>
      <c r="AX239" t="s">
        <v>4355</v>
      </c>
      <c r="AY239" t="s">
        <v>4356</v>
      </c>
      <c r="AZ239" t="s">
        <v>64</v>
      </c>
      <c r="BA239">
        <v>0</v>
      </c>
      <c r="BB239">
        <v>1</v>
      </c>
      <c r="BC239" t="s">
        <v>69</v>
      </c>
      <c r="BD239">
        <v>0.64800000000000002</v>
      </c>
      <c r="BE239">
        <v>0.307</v>
      </c>
    </row>
    <row r="240" spans="1:57">
      <c r="A240">
        <v>0</v>
      </c>
      <c r="B240">
        <v>0</v>
      </c>
      <c r="C240">
        <v>0</v>
      </c>
      <c r="D240">
        <v>3196</v>
      </c>
      <c r="E240" t="s">
        <v>4358</v>
      </c>
      <c r="F240" t="s">
        <v>5762</v>
      </c>
      <c r="G240" t="s">
        <v>62</v>
      </c>
      <c r="H240">
        <v>3148904</v>
      </c>
      <c r="I240">
        <v>3149716</v>
      </c>
      <c r="J240" t="s">
        <v>4359</v>
      </c>
      <c r="K240">
        <v>271</v>
      </c>
      <c r="L240" t="s">
        <v>112</v>
      </c>
      <c r="M240">
        <v>4</v>
      </c>
      <c r="N240" t="str">
        <f>HYPERLINK("Gene3196-zp_tree_all.dnd", "Gene3196-tree")</f>
        <v>Gene3196-tree</v>
      </c>
      <c r="O240">
        <v>4</v>
      </c>
      <c r="P240">
        <v>0</v>
      </c>
      <c r="Q240">
        <v>4</v>
      </c>
      <c r="R240">
        <v>0</v>
      </c>
      <c r="S240">
        <v>0</v>
      </c>
      <c r="T240" t="s">
        <v>60</v>
      </c>
      <c r="U240" t="s">
        <v>62</v>
      </c>
      <c r="V240" t="s">
        <v>62</v>
      </c>
      <c r="W240" t="s">
        <v>62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4</v>
      </c>
      <c r="AM240">
        <v>1</v>
      </c>
      <c r="AN240">
        <v>41</v>
      </c>
      <c r="AO240">
        <v>0</v>
      </c>
      <c r="AP240">
        <v>1</v>
      </c>
      <c r="AQ240">
        <v>0</v>
      </c>
      <c r="AR240" t="s">
        <v>64</v>
      </c>
      <c r="AS240" t="s">
        <v>64</v>
      </c>
      <c r="AT240">
        <v>0</v>
      </c>
      <c r="AU240" t="s">
        <v>65</v>
      </c>
      <c r="AV240">
        <v>42</v>
      </c>
      <c r="AW240">
        <v>0</v>
      </c>
      <c r="AX240" t="s">
        <v>4360</v>
      </c>
      <c r="AY240" t="s">
        <v>4361</v>
      </c>
      <c r="AZ240" t="s">
        <v>64</v>
      </c>
      <c r="BA240">
        <v>0</v>
      </c>
      <c r="BB240">
        <v>1</v>
      </c>
      <c r="BC240" t="s">
        <v>69</v>
      </c>
      <c r="BD240">
        <v>-0.627</v>
      </c>
      <c r="BE240">
        <v>-0.627</v>
      </c>
    </row>
    <row r="241" spans="1:57">
      <c r="A241">
        <v>0</v>
      </c>
      <c r="B241">
        <v>0</v>
      </c>
      <c r="C241">
        <v>0</v>
      </c>
      <c r="D241">
        <v>3217</v>
      </c>
      <c r="E241" t="s">
        <v>4362</v>
      </c>
      <c r="F241" t="s">
        <v>5762</v>
      </c>
      <c r="G241" t="s">
        <v>62</v>
      </c>
      <c r="H241">
        <v>3180468</v>
      </c>
      <c r="I241">
        <v>3181994</v>
      </c>
      <c r="J241" t="s">
        <v>4363</v>
      </c>
      <c r="K241">
        <v>509</v>
      </c>
      <c r="L241" t="s">
        <v>112</v>
      </c>
      <c r="M241">
        <v>4</v>
      </c>
      <c r="N241" t="str">
        <f>HYPERLINK("Gene3217-zp_tree_all.dnd", "Gene3217-tree")</f>
        <v>Gene3217-tree</v>
      </c>
      <c r="O241">
        <v>1</v>
      </c>
      <c r="P241">
        <v>3</v>
      </c>
      <c r="Q241">
        <v>1</v>
      </c>
      <c r="R241">
        <v>3</v>
      </c>
      <c r="S241">
        <v>0.75</v>
      </c>
      <c r="T241" t="s">
        <v>61</v>
      </c>
      <c r="U241" t="s">
        <v>84</v>
      </c>
      <c r="V241" t="s">
        <v>62</v>
      </c>
      <c r="W241" t="s">
        <v>62</v>
      </c>
      <c r="X241">
        <v>0</v>
      </c>
      <c r="Y241">
        <v>0</v>
      </c>
      <c r="Z241">
        <v>8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8</v>
      </c>
      <c r="AK241">
        <v>0</v>
      </c>
      <c r="AL241">
        <v>4</v>
      </c>
      <c r="AM241">
        <v>1</v>
      </c>
      <c r="AN241">
        <v>93</v>
      </c>
      <c r="AO241">
        <v>8</v>
      </c>
      <c r="AP241">
        <v>7</v>
      </c>
      <c r="AQ241">
        <v>0</v>
      </c>
      <c r="AR241" t="s">
        <v>4364</v>
      </c>
      <c r="AS241" t="s">
        <v>64</v>
      </c>
      <c r="AT241">
        <v>1.167</v>
      </c>
      <c r="AU241" t="s">
        <v>65</v>
      </c>
      <c r="AV241">
        <v>100</v>
      </c>
      <c r="AW241">
        <v>8</v>
      </c>
      <c r="AX241" t="s">
        <v>4365</v>
      </c>
      <c r="AY241" t="s">
        <v>4366</v>
      </c>
      <c r="AZ241" t="s">
        <v>4367</v>
      </c>
      <c r="BA241">
        <v>2.1520000000000001E-2</v>
      </c>
      <c r="BB241">
        <v>1</v>
      </c>
      <c r="BC241" t="s">
        <v>69</v>
      </c>
      <c r="BD241">
        <v>-0.246</v>
      </c>
      <c r="BE241">
        <v>-0.443</v>
      </c>
    </row>
    <row r="242" spans="1:57">
      <c r="A242">
        <v>0</v>
      </c>
      <c r="B242">
        <v>0</v>
      </c>
      <c r="C242">
        <v>0</v>
      </c>
      <c r="D242">
        <v>3227</v>
      </c>
      <c r="E242" t="s">
        <v>4373</v>
      </c>
      <c r="F242" t="s">
        <v>5762</v>
      </c>
      <c r="G242" t="s">
        <v>62</v>
      </c>
      <c r="H242">
        <v>3190465</v>
      </c>
      <c r="I242">
        <v>3190725</v>
      </c>
      <c r="J242" t="s">
        <v>118</v>
      </c>
      <c r="K242">
        <v>87</v>
      </c>
      <c r="L242" t="s">
        <v>59</v>
      </c>
      <c r="M242">
        <v>5</v>
      </c>
      <c r="N242" t="str">
        <f>HYPERLINK("Gene3227-zp_tree_all.dnd", "Gene3227-tree")</f>
        <v>Gene3227-tree</v>
      </c>
      <c r="O242">
        <v>5</v>
      </c>
      <c r="P242">
        <v>0</v>
      </c>
      <c r="Q242">
        <v>5</v>
      </c>
      <c r="R242">
        <v>0</v>
      </c>
      <c r="S242">
        <v>0</v>
      </c>
      <c r="T242" t="s">
        <v>98</v>
      </c>
      <c r="U242" t="s">
        <v>62</v>
      </c>
      <c r="V242" t="s">
        <v>62</v>
      </c>
      <c r="W242" t="s">
        <v>62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4</v>
      </c>
      <c r="AM242">
        <v>2</v>
      </c>
      <c r="AN242">
        <v>7</v>
      </c>
      <c r="AO242">
        <v>0</v>
      </c>
      <c r="AP242">
        <v>8</v>
      </c>
      <c r="AQ242">
        <v>0</v>
      </c>
      <c r="AR242" t="s">
        <v>64</v>
      </c>
      <c r="AS242" t="s">
        <v>64</v>
      </c>
      <c r="AT242">
        <v>0</v>
      </c>
      <c r="AU242" t="s">
        <v>65</v>
      </c>
      <c r="AV242">
        <v>15</v>
      </c>
      <c r="AW242">
        <v>0</v>
      </c>
      <c r="AX242" t="s">
        <v>4374</v>
      </c>
      <c r="AY242" t="s">
        <v>4375</v>
      </c>
      <c r="AZ242" t="s">
        <v>64</v>
      </c>
      <c r="BA242">
        <v>0</v>
      </c>
      <c r="BB242">
        <v>1</v>
      </c>
      <c r="BC242" t="s">
        <v>69</v>
      </c>
      <c r="BD242">
        <v>0.52100000000000002</v>
      </c>
      <c r="BE242">
        <v>0.52100000000000002</v>
      </c>
    </row>
    <row r="243" spans="1:57">
      <c r="A243">
        <v>0</v>
      </c>
      <c r="B243">
        <v>0</v>
      </c>
      <c r="C243">
        <v>0</v>
      </c>
      <c r="D243">
        <v>3248</v>
      </c>
      <c r="E243" t="s">
        <v>4376</v>
      </c>
      <c r="F243" t="s">
        <v>5762</v>
      </c>
      <c r="G243" t="s">
        <v>62</v>
      </c>
      <c r="H243">
        <v>3217499</v>
      </c>
      <c r="I243">
        <v>3218173</v>
      </c>
      <c r="J243" t="s">
        <v>4377</v>
      </c>
      <c r="K243">
        <v>225</v>
      </c>
      <c r="L243" t="s">
        <v>59</v>
      </c>
      <c r="M243">
        <v>5</v>
      </c>
      <c r="N243" t="str">
        <f>HYPERLINK("Gene3248-zp_tree_all.dnd", "Gene3248-tree")</f>
        <v>Gene3248-tree</v>
      </c>
      <c r="O243">
        <v>4</v>
      </c>
      <c r="P243">
        <v>1</v>
      </c>
      <c r="Q243">
        <v>4</v>
      </c>
      <c r="R243">
        <v>1</v>
      </c>
      <c r="S243">
        <v>0.2</v>
      </c>
      <c r="T243" t="s">
        <v>60</v>
      </c>
      <c r="U243" t="s">
        <v>61</v>
      </c>
      <c r="V243" t="s">
        <v>62</v>
      </c>
      <c r="W243" t="s">
        <v>62</v>
      </c>
      <c r="X243">
        <v>0</v>
      </c>
      <c r="Y243">
        <v>0</v>
      </c>
      <c r="Z243">
        <v>3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4</v>
      </c>
      <c r="AM243">
        <v>2</v>
      </c>
      <c r="AN243">
        <v>11</v>
      </c>
      <c r="AO243">
        <v>1</v>
      </c>
      <c r="AP243">
        <v>17</v>
      </c>
      <c r="AQ243">
        <v>2</v>
      </c>
      <c r="AR243" t="s">
        <v>4378</v>
      </c>
      <c r="AS243" t="s">
        <v>4379</v>
      </c>
      <c r="AT243">
        <v>0.113</v>
      </c>
      <c r="AU243" t="s">
        <v>65</v>
      </c>
      <c r="AV243">
        <v>28</v>
      </c>
      <c r="AW243">
        <v>3</v>
      </c>
      <c r="AX243" t="s">
        <v>4380</v>
      </c>
      <c r="AY243" t="s">
        <v>4381</v>
      </c>
      <c r="AZ243" t="s">
        <v>4382</v>
      </c>
      <c r="BA243">
        <v>3.5479999999999998E-2</v>
      </c>
      <c r="BB243">
        <v>1</v>
      </c>
      <c r="BC243" t="s">
        <v>69</v>
      </c>
      <c r="BD243">
        <v>0.84799999999999998</v>
      </c>
      <c r="BE243">
        <v>0.57999999999999996</v>
      </c>
    </row>
    <row r="244" spans="1:57">
      <c r="A244">
        <v>0</v>
      </c>
      <c r="B244">
        <v>0</v>
      </c>
      <c r="C244">
        <v>0</v>
      </c>
      <c r="D244">
        <v>3254</v>
      </c>
      <c r="E244" t="s">
        <v>4389</v>
      </c>
      <c r="F244" t="s">
        <v>5762</v>
      </c>
      <c r="G244" t="s">
        <v>62</v>
      </c>
      <c r="H244">
        <v>3220734</v>
      </c>
      <c r="I244">
        <v>3222083</v>
      </c>
      <c r="J244" t="s">
        <v>4390</v>
      </c>
      <c r="K244">
        <v>450</v>
      </c>
      <c r="L244" t="s">
        <v>83</v>
      </c>
      <c r="M244">
        <v>4</v>
      </c>
      <c r="N244" t="str">
        <f>HYPERLINK("Gene3254-zp_tree_all.dnd", "Gene3254-tree")</f>
        <v>Gene3254-tree</v>
      </c>
      <c r="O244">
        <v>3</v>
      </c>
      <c r="P244">
        <v>1</v>
      </c>
      <c r="Q244">
        <v>3</v>
      </c>
      <c r="R244">
        <v>1</v>
      </c>
      <c r="S244">
        <v>0.25</v>
      </c>
      <c r="T244" t="s">
        <v>84</v>
      </c>
      <c r="U244" t="s">
        <v>61</v>
      </c>
      <c r="V244" t="s">
        <v>62</v>
      </c>
      <c r="W244" t="s">
        <v>62</v>
      </c>
      <c r="X244">
        <v>0</v>
      </c>
      <c r="Y244">
        <v>0</v>
      </c>
      <c r="Z244">
        <v>2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2</v>
      </c>
      <c r="AK244">
        <v>0</v>
      </c>
      <c r="AL244">
        <v>4</v>
      </c>
      <c r="AM244">
        <v>1</v>
      </c>
      <c r="AN244">
        <v>68</v>
      </c>
      <c r="AO244">
        <v>2</v>
      </c>
      <c r="AP244">
        <v>7</v>
      </c>
      <c r="AQ244">
        <v>0</v>
      </c>
      <c r="AR244" t="s">
        <v>4391</v>
      </c>
      <c r="AS244" t="s">
        <v>64</v>
      </c>
      <c r="AT244">
        <v>0.42599999999999999</v>
      </c>
      <c r="AU244" t="s">
        <v>65</v>
      </c>
      <c r="AV244">
        <v>75</v>
      </c>
      <c r="AW244">
        <v>2</v>
      </c>
      <c r="AX244" t="s">
        <v>4392</v>
      </c>
      <c r="AY244" t="s">
        <v>4393</v>
      </c>
      <c r="AZ244" t="s">
        <v>4394</v>
      </c>
      <c r="BA244">
        <v>6.9300000000000004E-3</v>
      </c>
      <c r="BB244">
        <v>1</v>
      </c>
      <c r="BC244" t="s">
        <v>69</v>
      </c>
      <c r="BD244">
        <v>-0.30199999999999999</v>
      </c>
      <c r="BE244">
        <v>-0.69499999999999995</v>
      </c>
    </row>
    <row r="245" spans="1:57">
      <c r="A245">
        <v>0</v>
      </c>
      <c r="B245">
        <v>0</v>
      </c>
      <c r="C245">
        <v>0</v>
      </c>
      <c r="D245">
        <v>3258</v>
      </c>
      <c r="E245" t="s">
        <v>4396</v>
      </c>
      <c r="F245" t="s">
        <v>5762</v>
      </c>
      <c r="G245" t="s">
        <v>62</v>
      </c>
      <c r="H245">
        <v>3225181</v>
      </c>
      <c r="I245">
        <v>3225570</v>
      </c>
      <c r="J245" t="s">
        <v>4397</v>
      </c>
      <c r="K245">
        <v>130</v>
      </c>
      <c r="L245" t="s">
        <v>59</v>
      </c>
      <c r="M245">
        <v>5</v>
      </c>
      <c r="N245" t="str">
        <f>HYPERLINK("Gene3258-zp_tree_all.dnd", "Gene3258-tree")</f>
        <v>Gene3258-tree</v>
      </c>
      <c r="O245">
        <v>3</v>
      </c>
      <c r="P245">
        <v>2</v>
      </c>
      <c r="Q245">
        <v>3</v>
      </c>
      <c r="R245">
        <v>2</v>
      </c>
      <c r="S245">
        <v>0.4</v>
      </c>
      <c r="T245" t="s">
        <v>84</v>
      </c>
      <c r="U245" t="s">
        <v>135</v>
      </c>
      <c r="V245" t="s">
        <v>62</v>
      </c>
      <c r="W245" t="s">
        <v>62</v>
      </c>
      <c r="X245">
        <v>0</v>
      </c>
      <c r="Y245">
        <v>0</v>
      </c>
      <c r="Z245">
        <v>2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2</v>
      </c>
      <c r="AK245">
        <v>0</v>
      </c>
      <c r="AL245">
        <v>2</v>
      </c>
      <c r="AM245">
        <v>2</v>
      </c>
      <c r="AN245">
        <v>2</v>
      </c>
      <c r="AO245">
        <v>2</v>
      </c>
      <c r="AP245">
        <v>2</v>
      </c>
      <c r="AQ245">
        <v>0</v>
      </c>
      <c r="AR245" t="s">
        <v>4398</v>
      </c>
      <c r="AS245" t="s">
        <v>64</v>
      </c>
      <c r="AT245">
        <v>0</v>
      </c>
      <c r="AU245" t="s">
        <v>65</v>
      </c>
      <c r="AV245">
        <v>4</v>
      </c>
      <c r="AW245">
        <v>2</v>
      </c>
      <c r="AX245" t="s">
        <v>4399</v>
      </c>
      <c r="AY245" t="s">
        <v>4400</v>
      </c>
      <c r="AZ245" t="s">
        <v>4401</v>
      </c>
      <c r="BA245">
        <v>0.11012</v>
      </c>
      <c r="BB245">
        <v>1</v>
      </c>
      <c r="BC245" t="s">
        <v>69</v>
      </c>
      <c r="BD245">
        <v>-0.191</v>
      </c>
      <c r="BE245">
        <v>-0.191</v>
      </c>
    </row>
    <row r="246" spans="1:57">
      <c r="A246">
        <v>0</v>
      </c>
      <c r="B246">
        <v>0</v>
      </c>
      <c r="C246">
        <v>0</v>
      </c>
      <c r="D246">
        <v>3259</v>
      </c>
      <c r="E246" t="s">
        <v>4402</v>
      </c>
      <c r="F246" t="s">
        <v>5762</v>
      </c>
      <c r="G246" t="s">
        <v>62</v>
      </c>
      <c r="H246">
        <v>3225775</v>
      </c>
      <c r="I246">
        <v>3226932</v>
      </c>
      <c r="J246" t="s">
        <v>4403</v>
      </c>
      <c r="K246">
        <v>386</v>
      </c>
      <c r="L246" t="s">
        <v>83</v>
      </c>
      <c r="M246">
        <v>4</v>
      </c>
      <c r="N246" t="str">
        <f>HYPERLINK("Gene3259-zp_tree_all.dnd", "Gene3259-tree")</f>
        <v>Gene3259-tree</v>
      </c>
      <c r="O246">
        <v>2</v>
      </c>
      <c r="P246">
        <v>2</v>
      </c>
      <c r="Q246">
        <v>2</v>
      </c>
      <c r="R246">
        <v>2</v>
      </c>
      <c r="S246">
        <v>0.5</v>
      </c>
      <c r="T246" t="s">
        <v>135</v>
      </c>
      <c r="U246" t="s">
        <v>135</v>
      </c>
      <c r="V246" t="s">
        <v>62</v>
      </c>
      <c r="W246" t="s">
        <v>62</v>
      </c>
      <c r="X246">
        <v>0</v>
      </c>
      <c r="Y246">
        <v>0</v>
      </c>
      <c r="Z246">
        <v>5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5</v>
      </c>
      <c r="AK246">
        <v>0</v>
      </c>
      <c r="AL246">
        <v>4</v>
      </c>
      <c r="AM246">
        <v>1</v>
      </c>
      <c r="AN246">
        <v>67</v>
      </c>
      <c r="AO246">
        <v>5</v>
      </c>
      <c r="AP246">
        <v>5</v>
      </c>
      <c r="AQ246">
        <v>0</v>
      </c>
      <c r="AR246" t="s">
        <v>4404</v>
      </c>
      <c r="AS246" t="s">
        <v>64</v>
      </c>
      <c r="AT246">
        <v>0.67800000000000005</v>
      </c>
      <c r="AU246" t="s">
        <v>65</v>
      </c>
      <c r="AV246">
        <v>72</v>
      </c>
      <c r="AW246">
        <v>5</v>
      </c>
      <c r="AX246" t="s">
        <v>4405</v>
      </c>
      <c r="AY246" t="s">
        <v>4406</v>
      </c>
      <c r="AZ246" t="s">
        <v>4407</v>
      </c>
      <c r="BA246">
        <v>1.9560000000000001E-2</v>
      </c>
      <c r="BB246">
        <v>1</v>
      </c>
      <c r="BC246" t="s">
        <v>69</v>
      </c>
      <c r="BD246">
        <v>-0.376</v>
      </c>
      <c r="BE246">
        <v>-0.64500000000000002</v>
      </c>
    </row>
    <row r="247" spans="1:57">
      <c r="A247">
        <v>0</v>
      </c>
      <c r="B247">
        <v>0</v>
      </c>
      <c r="C247">
        <v>0</v>
      </c>
      <c r="D247">
        <v>3260</v>
      </c>
      <c r="E247" t="s">
        <v>4408</v>
      </c>
      <c r="F247" t="s">
        <v>5762</v>
      </c>
      <c r="G247" t="s">
        <v>62</v>
      </c>
      <c r="H247">
        <v>3226936</v>
      </c>
      <c r="I247">
        <v>3227433</v>
      </c>
      <c r="J247" t="s">
        <v>4409</v>
      </c>
      <c r="K247">
        <v>166</v>
      </c>
      <c r="L247" t="s">
        <v>59</v>
      </c>
      <c r="M247">
        <v>5</v>
      </c>
      <c r="N247" t="str">
        <f>HYPERLINK("Gene3260-zp_tree_all.dnd", "Gene3260-tree")</f>
        <v>Gene3260-tree</v>
      </c>
      <c r="O247">
        <v>5</v>
      </c>
      <c r="P247">
        <v>0</v>
      </c>
      <c r="Q247">
        <v>5</v>
      </c>
      <c r="R247">
        <v>0</v>
      </c>
      <c r="S247">
        <v>0</v>
      </c>
      <c r="T247" t="s">
        <v>98</v>
      </c>
      <c r="U247" t="s">
        <v>62</v>
      </c>
      <c r="V247" t="s">
        <v>62</v>
      </c>
      <c r="W247" t="s">
        <v>62</v>
      </c>
      <c r="X247">
        <v>0</v>
      </c>
      <c r="Y247">
        <v>0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5</v>
      </c>
      <c r="AM247">
        <v>1</v>
      </c>
      <c r="AN247">
        <v>12</v>
      </c>
      <c r="AO247">
        <v>0</v>
      </c>
      <c r="AP247">
        <v>13</v>
      </c>
      <c r="AQ247">
        <v>1</v>
      </c>
      <c r="AR247" t="s">
        <v>64</v>
      </c>
      <c r="AS247" t="s">
        <v>4410</v>
      </c>
      <c r="AT247">
        <v>0</v>
      </c>
      <c r="AU247" t="s">
        <v>65</v>
      </c>
      <c r="AV247">
        <v>25</v>
      </c>
      <c r="AW247">
        <v>1</v>
      </c>
      <c r="AX247" t="s">
        <v>4411</v>
      </c>
      <c r="AY247" t="s">
        <v>4412</v>
      </c>
      <c r="AZ247" t="s">
        <v>4413</v>
      </c>
      <c r="BA247">
        <v>1.291E-2</v>
      </c>
      <c r="BB247">
        <v>1</v>
      </c>
      <c r="BC247" t="s">
        <v>69</v>
      </c>
      <c r="BD247">
        <v>0.62</v>
      </c>
      <c r="BE247">
        <v>0.372</v>
      </c>
    </row>
    <row r="248" spans="1:57">
      <c r="A248">
        <v>0</v>
      </c>
      <c r="B248">
        <v>0</v>
      </c>
      <c r="C248">
        <v>0</v>
      </c>
      <c r="D248">
        <v>3262</v>
      </c>
      <c r="E248" t="s">
        <v>4414</v>
      </c>
      <c r="F248" t="s">
        <v>5762</v>
      </c>
      <c r="G248" t="s">
        <v>62</v>
      </c>
      <c r="H248">
        <v>3228434</v>
      </c>
      <c r="I248">
        <v>3228691</v>
      </c>
      <c r="J248" t="s">
        <v>118</v>
      </c>
      <c r="K248">
        <v>86</v>
      </c>
      <c r="L248" t="s">
        <v>83</v>
      </c>
      <c r="M248">
        <v>4</v>
      </c>
      <c r="N248" t="str">
        <f>HYPERLINK("Gene3262-zp_tree_all.dnd", "Gene3262-tree")</f>
        <v>Gene3262-tree</v>
      </c>
      <c r="O248">
        <v>1</v>
      </c>
      <c r="P248">
        <v>3</v>
      </c>
      <c r="Q248">
        <v>1</v>
      </c>
      <c r="R248">
        <v>3</v>
      </c>
      <c r="S248">
        <v>0.75</v>
      </c>
      <c r="T248" t="s">
        <v>61</v>
      </c>
      <c r="U248" t="s">
        <v>84</v>
      </c>
      <c r="V248" t="s">
        <v>62</v>
      </c>
      <c r="W248" t="s">
        <v>62</v>
      </c>
      <c r="X248">
        <v>0</v>
      </c>
      <c r="Y248">
        <v>0</v>
      </c>
      <c r="Z248">
        <v>7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7</v>
      </c>
      <c r="AK248">
        <v>0</v>
      </c>
      <c r="AL248">
        <v>3</v>
      </c>
      <c r="AM248">
        <v>1</v>
      </c>
      <c r="AN248">
        <v>7</v>
      </c>
      <c r="AO248">
        <v>6</v>
      </c>
      <c r="AP248">
        <v>0</v>
      </c>
      <c r="AQ248">
        <v>1</v>
      </c>
      <c r="AR248" t="s">
        <v>4415</v>
      </c>
      <c r="AS248" t="s">
        <v>64</v>
      </c>
      <c r="AT248">
        <v>1.335</v>
      </c>
      <c r="AU248" t="s">
        <v>65</v>
      </c>
      <c r="AV248">
        <v>7</v>
      </c>
      <c r="AW248">
        <v>7</v>
      </c>
      <c r="AX248" t="s">
        <v>4416</v>
      </c>
      <c r="AY248" t="s">
        <v>4417</v>
      </c>
      <c r="AZ248" t="s">
        <v>4418</v>
      </c>
      <c r="BA248">
        <v>0.25509999999999999</v>
      </c>
      <c r="BB248">
        <v>0.99</v>
      </c>
      <c r="BC248" t="s">
        <v>69</v>
      </c>
      <c r="BD248">
        <v>-0.624</v>
      </c>
      <c r="BE248">
        <v>-0.624</v>
      </c>
    </row>
    <row r="249" spans="1:57">
      <c r="A249">
        <v>0</v>
      </c>
      <c r="B249">
        <v>0</v>
      </c>
      <c r="C249">
        <v>0</v>
      </c>
      <c r="D249">
        <v>3270</v>
      </c>
      <c r="E249" t="s">
        <v>4440</v>
      </c>
      <c r="F249" t="s">
        <v>5762</v>
      </c>
      <c r="G249" t="s">
        <v>62</v>
      </c>
      <c r="H249">
        <v>3236425</v>
      </c>
      <c r="I249">
        <v>3236979</v>
      </c>
      <c r="J249" t="s">
        <v>1547</v>
      </c>
      <c r="K249">
        <v>185</v>
      </c>
      <c r="L249" t="s">
        <v>59</v>
      </c>
      <c r="M249">
        <v>5</v>
      </c>
      <c r="N249" t="str">
        <f>HYPERLINK("Gene3270-zp_tree_all.dnd", "Gene3270-tree")</f>
        <v>Gene3270-tree</v>
      </c>
      <c r="O249">
        <v>4</v>
      </c>
      <c r="P249">
        <v>1</v>
      </c>
      <c r="Q249">
        <v>4</v>
      </c>
      <c r="R249">
        <v>1</v>
      </c>
      <c r="S249">
        <v>0.2</v>
      </c>
      <c r="T249" t="s">
        <v>60</v>
      </c>
      <c r="U249" t="s">
        <v>61</v>
      </c>
      <c r="V249" t="s">
        <v>62</v>
      </c>
      <c r="W249" t="s">
        <v>62</v>
      </c>
      <c r="X249">
        <v>0</v>
      </c>
      <c r="Y249">
        <v>0</v>
      </c>
      <c r="Z249">
        <v>3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1</v>
      </c>
      <c r="AK249">
        <v>0</v>
      </c>
      <c r="AL249">
        <v>5</v>
      </c>
      <c r="AM249">
        <v>2</v>
      </c>
      <c r="AN249">
        <v>6</v>
      </c>
      <c r="AO249">
        <v>1</v>
      </c>
      <c r="AP249">
        <v>13</v>
      </c>
      <c r="AQ249">
        <v>2</v>
      </c>
      <c r="AR249" t="s">
        <v>4441</v>
      </c>
      <c r="AS249" t="s">
        <v>4442</v>
      </c>
      <c r="AT249">
        <v>5.3999999999999999E-2</v>
      </c>
      <c r="AU249" t="s">
        <v>65</v>
      </c>
      <c r="AV249">
        <v>19</v>
      </c>
      <c r="AW249">
        <v>3</v>
      </c>
      <c r="AX249" t="s">
        <v>4443</v>
      </c>
      <c r="AY249" t="s">
        <v>4444</v>
      </c>
      <c r="AZ249" t="s">
        <v>4445</v>
      </c>
      <c r="BA249">
        <v>4.7870000000000003E-2</v>
      </c>
      <c r="BB249">
        <v>1</v>
      </c>
      <c r="BC249" t="s">
        <v>69</v>
      </c>
      <c r="BD249">
        <v>0.871</v>
      </c>
      <c r="BE249">
        <v>0.871</v>
      </c>
    </row>
    <row r="250" spans="1:57">
      <c r="A250">
        <v>0</v>
      </c>
      <c r="B250">
        <v>0</v>
      </c>
      <c r="C250">
        <v>0</v>
      </c>
      <c r="D250">
        <v>3287</v>
      </c>
      <c r="E250" t="s">
        <v>4464</v>
      </c>
      <c r="F250" t="s">
        <v>5762</v>
      </c>
      <c r="G250" t="s">
        <v>62</v>
      </c>
      <c r="H250">
        <v>3252807</v>
      </c>
      <c r="I250">
        <v>3253448</v>
      </c>
      <c r="J250" t="s">
        <v>4465</v>
      </c>
      <c r="K250">
        <v>214</v>
      </c>
      <c r="L250" t="s">
        <v>59</v>
      </c>
      <c r="M250">
        <v>5</v>
      </c>
      <c r="N250" t="str">
        <f>HYPERLINK("Gene3287-zp_tree_all.dnd", "Gene3287-tree")</f>
        <v>Gene3287-tree</v>
      </c>
      <c r="O250">
        <v>5</v>
      </c>
      <c r="P250">
        <v>0</v>
      </c>
      <c r="Q250">
        <v>5</v>
      </c>
      <c r="R250">
        <v>0</v>
      </c>
      <c r="S250">
        <v>0</v>
      </c>
      <c r="T250" t="s">
        <v>98</v>
      </c>
      <c r="U250" t="s">
        <v>62</v>
      </c>
      <c r="V250" t="s">
        <v>62</v>
      </c>
      <c r="W250" t="s">
        <v>62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4</v>
      </c>
      <c r="AM250">
        <v>2</v>
      </c>
      <c r="AN250">
        <v>11</v>
      </c>
      <c r="AO250">
        <v>0</v>
      </c>
      <c r="AP250">
        <v>9</v>
      </c>
      <c r="AQ250">
        <v>0</v>
      </c>
      <c r="AR250" t="s">
        <v>64</v>
      </c>
      <c r="AS250" t="s">
        <v>64</v>
      </c>
      <c r="AT250">
        <v>0</v>
      </c>
      <c r="AU250" t="s">
        <v>65</v>
      </c>
      <c r="AV250">
        <v>20</v>
      </c>
      <c r="AW250">
        <v>0</v>
      </c>
      <c r="AX250" t="s">
        <v>4466</v>
      </c>
      <c r="AY250" t="s">
        <v>4467</v>
      </c>
      <c r="AZ250" t="s">
        <v>64</v>
      </c>
      <c r="BA250">
        <v>0</v>
      </c>
      <c r="BB250">
        <v>1</v>
      </c>
      <c r="BC250" t="s">
        <v>69</v>
      </c>
      <c r="BD250">
        <v>0.154</v>
      </c>
      <c r="BE250">
        <v>0.154</v>
      </c>
    </row>
    <row r="251" spans="1:57">
      <c r="A251">
        <v>0</v>
      </c>
      <c r="B251">
        <v>0</v>
      </c>
      <c r="C251">
        <v>0</v>
      </c>
      <c r="D251">
        <v>3291</v>
      </c>
      <c r="E251" t="s">
        <v>4468</v>
      </c>
      <c r="F251" t="s">
        <v>5762</v>
      </c>
      <c r="G251" t="s">
        <v>62</v>
      </c>
      <c r="H251">
        <v>3257095</v>
      </c>
      <c r="I251">
        <v>3257232</v>
      </c>
      <c r="J251" t="s">
        <v>4469</v>
      </c>
      <c r="K251">
        <v>46</v>
      </c>
      <c r="L251" t="s">
        <v>59</v>
      </c>
      <c r="M251">
        <v>5</v>
      </c>
      <c r="N251" t="str">
        <f>HYPERLINK("Gene3291-zp_tree_all.dnd", "Gene3291-tree")</f>
        <v>Gene3291-tree</v>
      </c>
    </row>
    <row r="252" spans="1:57">
      <c r="A252">
        <v>0</v>
      </c>
      <c r="B252">
        <v>0</v>
      </c>
      <c r="C252">
        <v>0</v>
      </c>
      <c r="D252">
        <v>3294</v>
      </c>
      <c r="E252" t="s">
        <v>4476</v>
      </c>
      <c r="F252" t="s">
        <v>5762</v>
      </c>
      <c r="G252" t="s">
        <v>62</v>
      </c>
      <c r="H252">
        <v>3259406</v>
      </c>
      <c r="I252">
        <v>3260875</v>
      </c>
      <c r="J252" t="s">
        <v>4477</v>
      </c>
      <c r="K252">
        <v>490</v>
      </c>
      <c r="L252" t="s">
        <v>83</v>
      </c>
      <c r="M252">
        <v>4</v>
      </c>
      <c r="N252" t="str">
        <f>HYPERLINK("Gene3294-zp_tree_all.dnd", "Gene3294-tree")</f>
        <v>Gene3294-tree</v>
      </c>
      <c r="O252">
        <v>3</v>
      </c>
      <c r="P252">
        <v>1</v>
      </c>
      <c r="Q252">
        <v>3</v>
      </c>
      <c r="R252">
        <v>1</v>
      </c>
      <c r="S252">
        <v>0.25</v>
      </c>
      <c r="T252" t="s">
        <v>84</v>
      </c>
      <c r="U252" t="s">
        <v>61</v>
      </c>
      <c r="V252" t="s">
        <v>62</v>
      </c>
      <c r="W252" t="s">
        <v>62</v>
      </c>
      <c r="X252">
        <v>0</v>
      </c>
      <c r="Y252">
        <v>0</v>
      </c>
      <c r="Z252">
        <v>5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5</v>
      </c>
      <c r="AK252">
        <v>0</v>
      </c>
      <c r="AL252">
        <v>4</v>
      </c>
      <c r="AM252">
        <v>1</v>
      </c>
      <c r="AN252">
        <v>83</v>
      </c>
      <c r="AO252">
        <v>5</v>
      </c>
      <c r="AP252">
        <v>3</v>
      </c>
      <c r="AQ252">
        <v>0</v>
      </c>
      <c r="AR252" t="s">
        <v>4478</v>
      </c>
      <c r="AS252" t="s">
        <v>64</v>
      </c>
      <c r="AT252">
        <v>0.43</v>
      </c>
      <c r="AU252" t="s">
        <v>65</v>
      </c>
      <c r="AV252">
        <v>86</v>
      </c>
      <c r="AW252">
        <v>5</v>
      </c>
      <c r="AX252" t="s">
        <v>4479</v>
      </c>
      <c r="AY252" t="s">
        <v>4480</v>
      </c>
      <c r="AZ252" t="s">
        <v>4481</v>
      </c>
      <c r="BA252">
        <v>1.4200000000000001E-2</v>
      </c>
      <c r="BB252">
        <v>1</v>
      </c>
      <c r="BC252" t="s">
        <v>69</v>
      </c>
      <c r="BD252">
        <v>-0.69199999999999995</v>
      </c>
      <c r="BE252">
        <v>-0.79900000000000004</v>
      </c>
    </row>
    <row r="253" spans="1:57">
      <c r="A253">
        <v>0</v>
      </c>
      <c r="B253">
        <v>0</v>
      </c>
      <c r="C253">
        <v>0</v>
      </c>
      <c r="D253">
        <v>3295</v>
      </c>
      <c r="E253" t="s">
        <v>4482</v>
      </c>
      <c r="F253" t="s">
        <v>5762</v>
      </c>
      <c r="G253" t="s">
        <v>62</v>
      </c>
      <c r="H253">
        <v>3260894</v>
      </c>
      <c r="I253">
        <v>3261442</v>
      </c>
      <c r="J253" t="s">
        <v>4483</v>
      </c>
      <c r="K253">
        <v>183</v>
      </c>
      <c r="L253" t="s">
        <v>59</v>
      </c>
      <c r="M253">
        <v>5</v>
      </c>
      <c r="N253" t="str">
        <f>HYPERLINK("Gene3295-zp_tree_all.dnd", "Gene3295-tree")</f>
        <v>Gene3295-tree</v>
      </c>
      <c r="O253">
        <v>2</v>
      </c>
      <c r="P253">
        <v>3</v>
      </c>
      <c r="Q253">
        <v>2</v>
      </c>
      <c r="R253">
        <v>3</v>
      </c>
      <c r="S253">
        <v>0.6</v>
      </c>
      <c r="T253" t="s">
        <v>135</v>
      </c>
      <c r="U253" t="s">
        <v>84</v>
      </c>
      <c r="V253" t="s">
        <v>62</v>
      </c>
      <c r="W253" t="s">
        <v>62</v>
      </c>
      <c r="X253">
        <v>0</v>
      </c>
      <c r="Y253">
        <v>0</v>
      </c>
      <c r="Z253">
        <v>6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3</v>
      </c>
      <c r="AK253">
        <v>0</v>
      </c>
      <c r="AL253">
        <v>5</v>
      </c>
      <c r="AM253">
        <v>2</v>
      </c>
      <c r="AN253">
        <v>8</v>
      </c>
      <c r="AO253">
        <v>3</v>
      </c>
      <c r="AP253">
        <v>8</v>
      </c>
      <c r="AQ253">
        <v>3</v>
      </c>
      <c r="AR253" t="s">
        <v>4484</v>
      </c>
      <c r="AS253" t="s">
        <v>4485</v>
      </c>
      <c r="AT253">
        <v>0.01</v>
      </c>
      <c r="AU253" t="s">
        <v>65</v>
      </c>
      <c r="AV253">
        <v>16</v>
      </c>
      <c r="AW253">
        <v>6</v>
      </c>
      <c r="AX253" t="s">
        <v>4486</v>
      </c>
      <c r="AY253" t="s">
        <v>4487</v>
      </c>
      <c r="AZ253" t="s">
        <v>4488</v>
      </c>
      <c r="BA253">
        <v>0.10954999999999999</v>
      </c>
      <c r="BB253">
        <v>1</v>
      </c>
      <c r="BC253" t="s">
        <v>69</v>
      </c>
      <c r="BD253">
        <v>0.69299999999999995</v>
      </c>
      <c r="BE253">
        <v>0.308</v>
      </c>
    </row>
    <row r="254" spans="1:57">
      <c r="A254">
        <v>0</v>
      </c>
      <c r="B254">
        <v>0</v>
      </c>
      <c r="C254">
        <v>0</v>
      </c>
      <c r="D254">
        <v>3301</v>
      </c>
      <c r="E254" t="s">
        <v>4489</v>
      </c>
      <c r="F254" t="s">
        <v>5762</v>
      </c>
      <c r="G254" t="s">
        <v>62</v>
      </c>
      <c r="H254">
        <v>3264268</v>
      </c>
      <c r="I254">
        <v>3264501</v>
      </c>
      <c r="J254" t="s">
        <v>118</v>
      </c>
      <c r="K254">
        <v>78</v>
      </c>
      <c r="L254" t="s">
        <v>59</v>
      </c>
      <c r="M254">
        <v>5</v>
      </c>
      <c r="N254" t="str">
        <f>HYPERLINK("Gene3301-zp_tree_all.dnd", "Gene3301-tree")</f>
        <v>Gene3301-tree</v>
      </c>
      <c r="O254">
        <v>4</v>
      </c>
      <c r="P254">
        <v>1</v>
      </c>
      <c r="Q254">
        <v>4</v>
      </c>
      <c r="R254">
        <v>1</v>
      </c>
      <c r="S254">
        <v>0.2</v>
      </c>
      <c r="T254" t="s">
        <v>60</v>
      </c>
      <c r="U254" t="s">
        <v>61</v>
      </c>
      <c r="V254" t="s">
        <v>62</v>
      </c>
      <c r="W254" t="s">
        <v>62</v>
      </c>
      <c r="X254">
        <v>0</v>
      </c>
      <c r="Y254">
        <v>0</v>
      </c>
      <c r="Z254">
        <v>1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1</v>
      </c>
      <c r="AK254">
        <v>0</v>
      </c>
      <c r="AL254">
        <v>3</v>
      </c>
      <c r="AM254">
        <v>1</v>
      </c>
      <c r="AN254">
        <v>7</v>
      </c>
      <c r="AO254">
        <v>1</v>
      </c>
      <c r="AP254">
        <v>3</v>
      </c>
      <c r="AQ254">
        <v>0</v>
      </c>
      <c r="AR254" t="s">
        <v>4490</v>
      </c>
      <c r="AS254" t="s">
        <v>64</v>
      </c>
      <c r="AT254">
        <v>0.753</v>
      </c>
      <c r="AU254" t="s">
        <v>65</v>
      </c>
      <c r="AV254">
        <v>10</v>
      </c>
      <c r="AW254">
        <v>1</v>
      </c>
      <c r="AX254" t="s">
        <v>4491</v>
      </c>
      <c r="AY254" t="s">
        <v>4492</v>
      </c>
      <c r="AZ254" t="s">
        <v>4493</v>
      </c>
      <c r="BA254">
        <v>2.545E-2</v>
      </c>
      <c r="BB254">
        <v>1</v>
      </c>
      <c r="BC254" t="s">
        <v>69</v>
      </c>
      <c r="BD254">
        <v>-0.38200000000000001</v>
      </c>
      <c r="BE254">
        <v>-0.38200000000000001</v>
      </c>
    </row>
    <row r="255" spans="1:57">
      <c r="A255">
        <v>0</v>
      </c>
      <c r="B255">
        <v>0</v>
      </c>
      <c r="C255">
        <v>2</v>
      </c>
      <c r="D255">
        <v>3308</v>
      </c>
      <c r="E255" t="s">
        <v>4494</v>
      </c>
      <c r="F255" t="s">
        <v>5762</v>
      </c>
      <c r="G255" t="s">
        <v>62</v>
      </c>
      <c r="H255">
        <v>3275835</v>
      </c>
      <c r="I255">
        <v>3276071</v>
      </c>
      <c r="J255" t="s">
        <v>4495</v>
      </c>
      <c r="K255">
        <v>79</v>
      </c>
      <c r="L255" t="s">
        <v>59</v>
      </c>
      <c r="M255">
        <v>5</v>
      </c>
      <c r="N255" t="str">
        <f>HYPERLINK("Gene3308-zp_tree_all.dnd", "Gene3308-tree")</f>
        <v>Gene3308-tree</v>
      </c>
      <c r="O255">
        <v>4</v>
      </c>
      <c r="P255">
        <v>1</v>
      </c>
      <c r="Q255">
        <v>3</v>
      </c>
      <c r="R255">
        <v>1</v>
      </c>
      <c r="S255">
        <v>0.25</v>
      </c>
      <c r="T255" t="s">
        <v>119</v>
      </c>
      <c r="U255" t="s">
        <v>61</v>
      </c>
      <c r="V255" t="s">
        <v>62</v>
      </c>
      <c r="W255" t="s">
        <v>62</v>
      </c>
      <c r="X255">
        <v>1</v>
      </c>
      <c r="Y255">
        <v>2</v>
      </c>
      <c r="Z255">
        <v>2</v>
      </c>
      <c r="AA255">
        <v>0.5</v>
      </c>
      <c r="AB255">
        <v>0</v>
      </c>
      <c r="AC255">
        <v>0</v>
      </c>
      <c r="AD255">
        <v>0</v>
      </c>
      <c r="AE255">
        <v>3</v>
      </c>
      <c r="AF255">
        <v>0</v>
      </c>
      <c r="AG255">
        <v>0</v>
      </c>
      <c r="AH255">
        <v>0</v>
      </c>
      <c r="AI255">
        <v>0</v>
      </c>
      <c r="AJ255">
        <v>1</v>
      </c>
      <c r="AK255">
        <v>0</v>
      </c>
      <c r="AL255">
        <v>3</v>
      </c>
      <c r="AM255">
        <v>1</v>
      </c>
      <c r="AN255">
        <v>6</v>
      </c>
      <c r="AO255">
        <v>1</v>
      </c>
      <c r="AP255">
        <v>2</v>
      </c>
      <c r="AQ255">
        <v>3</v>
      </c>
      <c r="AR255" t="s">
        <v>4496</v>
      </c>
      <c r="AS255" t="s">
        <v>4497</v>
      </c>
      <c r="AT255">
        <v>6.4589999999999996</v>
      </c>
      <c r="AU255" t="s">
        <v>65</v>
      </c>
      <c r="AV255">
        <v>8</v>
      </c>
      <c r="AW255">
        <v>4</v>
      </c>
      <c r="AX255" t="s">
        <v>4498</v>
      </c>
      <c r="AY255" t="s">
        <v>4499</v>
      </c>
      <c r="AZ255" t="s">
        <v>4500</v>
      </c>
      <c r="BA255">
        <v>0.15023</v>
      </c>
      <c r="BB255">
        <v>0.97899999999999998</v>
      </c>
      <c r="BC255" t="s">
        <v>69</v>
      </c>
      <c r="BD255">
        <v>0.30099999999999999</v>
      </c>
      <c r="BE255">
        <v>0.30099999999999999</v>
      </c>
    </row>
    <row r="256" spans="1:57">
      <c r="A256">
        <v>0</v>
      </c>
      <c r="B256">
        <v>0</v>
      </c>
      <c r="C256">
        <v>0</v>
      </c>
      <c r="D256">
        <v>3309</v>
      </c>
      <c r="E256" t="s">
        <v>4501</v>
      </c>
      <c r="F256" t="s">
        <v>5762</v>
      </c>
      <c r="G256" t="s">
        <v>62</v>
      </c>
      <c r="H256">
        <v>3276144</v>
      </c>
      <c r="I256">
        <v>3276434</v>
      </c>
      <c r="J256" t="s">
        <v>4502</v>
      </c>
      <c r="K256">
        <v>97</v>
      </c>
      <c r="L256" t="s">
        <v>59</v>
      </c>
      <c r="M256">
        <v>5</v>
      </c>
      <c r="N256" t="str">
        <f>HYPERLINK("Gene3309-zp_tree_all.dnd", "Gene3309-tree")</f>
        <v>Gene3309-tree</v>
      </c>
    </row>
    <row r="257" spans="1:57">
      <c r="A257">
        <v>0</v>
      </c>
      <c r="B257">
        <v>0</v>
      </c>
      <c r="C257">
        <v>0</v>
      </c>
      <c r="D257">
        <v>3313</v>
      </c>
      <c r="E257" t="s">
        <v>4503</v>
      </c>
      <c r="F257" t="s">
        <v>5762</v>
      </c>
      <c r="G257" t="s">
        <v>62</v>
      </c>
      <c r="H257">
        <v>3280297</v>
      </c>
      <c r="I257">
        <v>3280503</v>
      </c>
      <c r="J257" t="s">
        <v>4504</v>
      </c>
      <c r="K257">
        <v>69</v>
      </c>
      <c r="L257" t="s">
        <v>59</v>
      </c>
      <c r="M257">
        <v>5</v>
      </c>
      <c r="N257" t="str">
        <f>HYPERLINK("Gene3313-zp_tree_all.dnd", "Gene3313-tree")</f>
        <v>Gene3313-tree</v>
      </c>
      <c r="O257">
        <v>2</v>
      </c>
      <c r="P257">
        <v>3</v>
      </c>
      <c r="Q257">
        <v>2</v>
      </c>
      <c r="R257">
        <v>3</v>
      </c>
      <c r="S257">
        <v>0.6</v>
      </c>
      <c r="T257" t="s">
        <v>135</v>
      </c>
      <c r="U257" t="s">
        <v>84</v>
      </c>
      <c r="V257" t="s">
        <v>62</v>
      </c>
      <c r="W257" t="s">
        <v>62</v>
      </c>
      <c r="X257">
        <v>0</v>
      </c>
      <c r="Y257">
        <v>0</v>
      </c>
      <c r="Z257">
        <v>4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2</v>
      </c>
      <c r="AK257">
        <v>0</v>
      </c>
      <c r="AL257">
        <v>4</v>
      </c>
      <c r="AM257">
        <v>2</v>
      </c>
      <c r="AN257">
        <v>4</v>
      </c>
      <c r="AO257">
        <v>2</v>
      </c>
      <c r="AP257">
        <v>4</v>
      </c>
      <c r="AQ257">
        <v>2</v>
      </c>
      <c r="AR257" t="s">
        <v>4505</v>
      </c>
      <c r="AS257" t="s">
        <v>4506</v>
      </c>
      <c r="AT257">
        <v>0.02</v>
      </c>
      <c r="AU257" t="s">
        <v>65</v>
      </c>
      <c r="AV257">
        <v>8</v>
      </c>
      <c r="AW257">
        <v>4</v>
      </c>
      <c r="AX257" t="s">
        <v>4507</v>
      </c>
      <c r="AY257" t="s">
        <v>4508</v>
      </c>
      <c r="AZ257" t="s">
        <v>4509</v>
      </c>
      <c r="BA257">
        <v>0.1288</v>
      </c>
      <c r="BB257">
        <v>0.98899999999999999</v>
      </c>
      <c r="BC257" t="s">
        <v>69</v>
      </c>
      <c r="BD257">
        <v>0.30099999999999999</v>
      </c>
      <c r="BE257">
        <v>0.30099999999999999</v>
      </c>
    </row>
    <row r="258" spans="1:57">
      <c r="A258">
        <v>0</v>
      </c>
      <c r="B258">
        <v>2</v>
      </c>
      <c r="C258">
        <v>0</v>
      </c>
      <c r="D258">
        <v>3326</v>
      </c>
      <c r="E258" t="s">
        <v>4510</v>
      </c>
      <c r="F258" t="s">
        <v>5762</v>
      </c>
      <c r="G258" t="s">
        <v>62</v>
      </c>
      <c r="H258">
        <v>3299347</v>
      </c>
      <c r="I258">
        <v>3299664</v>
      </c>
      <c r="J258" t="s">
        <v>118</v>
      </c>
      <c r="K258">
        <v>106</v>
      </c>
      <c r="L258" t="s">
        <v>59</v>
      </c>
      <c r="M258">
        <v>5</v>
      </c>
      <c r="N258" t="str">
        <f>HYPERLINK("Gene3326-zp_tree_all.dnd", "Gene3326-tree")</f>
        <v>Gene3326-tree</v>
      </c>
      <c r="O258">
        <v>1</v>
      </c>
      <c r="P258">
        <v>4</v>
      </c>
      <c r="Q258">
        <v>1</v>
      </c>
      <c r="R258">
        <v>4</v>
      </c>
      <c r="S258">
        <v>0.8</v>
      </c>
      <c r="T258" t="s">
        <v>61</v>
      </c>
      <c r="U258" t="s">
        <v>60</v>
      </c>
      <c r="V258" t="s">
        <v>62</v>
      </c>
      <c r="W258" t="s">
        <v>62</v>
      </c>
      <c r="X258">
        <v>1</v>
      </c>
      <c r="Y258">
        <v>2</v>
      </c>
      <c r="Z258">
        <v>8</v>
      </c>
      <c r="AA258">
        <v>0.2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6</v>
      </c>
      <c r="AK258">
        <v>0</v>
      </c>
      <c r="AL258">
        <v>5</v>
      </c>
      <c r="AM258">
        <v>2</v>
      </c>
      <c r="AN258">
        <v>14</v>
      </c>
      <c r="AO258">
        <v>6</v>
      </c>
      <c r="AP258">
        <v>3</v>
      </c>
      <c r="AQ258">
        <v>4</v>
      </c>
      <c r="AR258" t="s">
        <v>4511</v>
      </c>
      <c r="AS258" t="s">
        <v>4512</v>
      </c>
      <c r="AT258">
        <v>2.4350000000000001</v>
      </c>
      <c r="AU258" t="s">
        <v>65</v>
      </c>
      <c r="AV258">
        <v>17</v>
      </c>
      <c r="AW258">
        <v>10</v>
      </c>
      <c r="AX258" t="s">
        <v>4513</v>
      </c>
      <c r="AY258" t="s">
        <v>4514</v>
      </c>
      <c r="AZ258" t="s">
        <v>4515</v>
      </c>
      <c r="BA258">
        <v>0.18124000000000001</v>
      </c>
      <c r="BB258">
        <v>1</v>
      </c>
      <c r="BC258" t="s">
        <v>69</v>
      </c>
      <c r="BD258">
        <v>-0.248</v>
      </c>
      <c r="BE258">
        <v>-0.248</v>
      </c>
    </row>
    <row r="259" spans="1:57">
      <c r="A259">
        <v>0</v>
      </c>
      <c r="B259">
        <v>0</v>
      </c>
      <c r="C259">
        <v>0</v>
      </c>
      <c r="D259">
        <v>3327</v>
      </c>
      <c r="E259" t="s">
        <v>4516</v>
      </c>
      <c r="F259" t="s">
        <v>5762</v>
      </c>
      <c r="G259" t="s">
        <v>62</v>
      </c>
      <c r="H259">
        <v>3299721</v>
      </c>
      <c r="I259">
        <v>3299861</v>
      </c>
      <c r="J259" t="s">
        <v>118</v>
      </c>
      <c r="K259">
        <v>47</v>
      </c>
      <c r="L259" t="s">
        <v>59</v>
      </c>
      <c r="M259">
        <v>5</v>
      </c>
      <c r="N259" t="str">
        <f>HYPERLINK("Gene3327-zp_tree_all.dnd", "Gene3327-tree")</f>
        <v>Gene3327-tree</v>
      </c>
      <c r="O259">
        <v>1</v>
      </c>
      <c r="P259">
        <v>3</v>
      </c>
      <c r="Q259">
        <v>1</v>
      </c>
      <c r="R259">
        <v>3</v>
      </c>
      <c r="S259">
        <v>0.75</v>
      </c>
      <c r="T259" t="s">
        <v>61</v>
      </c>
      <c r="U259" t="s">
        <v>84</v>
      </c>
      <c r="V259" t="s">
        <v>62</v>
      </c>
      <c r="W259" t="s">
        <v>62</v>
      </c>
      <c r="X259">
        <v>0</v>
      </c>
      <c r="Y259">
        <v>0</v>
      </c>
      <c r="Z259">
        <v>3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3</v>
      </c>
      <c r="AK259">
        <v>0</v>
      </c>
      <c r="AL259">
        <v>3</v>
      </c>
      <c r="AM259">
        <v>1</v>
      </c>
      <c r="AN259">
        <v>7</v>
      </c>
      <c r="AO259">
        <v>3</v>
      </c>
      <c r="AP259">
        <v>1</v>
      </c>
      <c r="AQ259">
        <v>0</v>
      </c>
      <c r="AR259" t="s">
        <v>4517</v>
      </c>
      <c r="AS259" t="s">
        <v>64</v>
      </c>
      <c r="AT259">
        <v>5.5309999999999997</v>
      </c>
      <c r="AU259" t="s">
        <v>286</v>
      </c>
      <c r="AV259">
        <v>8</v>
      </c>
      <c r="AW259">
        <v>3</v>
      </c>
      <c r="AX259" t="s">
        <v>4518</v>
      </c>
      <c r="AY259" t="s">
        <v>4519</v>
      </c>
      <c r="AZ259" t="s">
        <v>4520</v>
      </c>
      <c r="BA259">
        <v>0.11028</v>
      </c>
      <c r="BB259">
        <v>1</v>
      </c>
      <c r="BC259" t="s">
        <v>69</v>
      </c>
      <c r="BD259">
        <v>0.89400000000000002</v>
      </c>
      <c r="BE259">
        <v>0.89400000000000002</v>
      </c>
    </row>
    <row r="260" spans="1:57">
      <c r="A260">
        <v>0</v>
      </c>
      <c r="B260">
        <v>4</v>
      </c>
      <c r="C260">
        <v>0</v>
      </c>
      <c r="D260">
        <v>3332</v>
      </c>
      <c r="E260" t="s">
        <v>4533</v>
      </c>
      <c r="F260" t="s">
        <v>5762</v>
      </c>
      <c r="G260" t="s">
        <v>62</v>
      </c>
      <c r="H260">
        <v>3304099</v>
      </c>
      <c r="I260">
        <v>3304719</v>
      </c>
      <c r="J260" t="s">
        <v>4534</v>
      </c>
      <c r="K260">
        <v>207</v>
      </c>
      <c r="L260" t="s">
        <v>83</v>
      </c>
      <c r="M260">
        <v>4</v>
      </c>
      <c r="N260" t="str">
        <f>HYPERLINK("Gene3332-zp_tree_all.dnd", "Gene3332-tree")</f>
        <v>Gene3332-tree</v>
      </c>
      <c r="O260">
        <v>0</v>
      </c>
      <c r="P260">
        <v>4</v>
      </c>
      <c r="Q260">
        <v>0</v>
      </c>
      <c r="R260">
        <v>4</v>
      </c>
      <c r="S260">
        <v>1</v>
      </c>
      <c r="T260" t="s">
        <v>62</v>
      </c>
      <c r="U260" t="s">
        <v>60</v>
      </c>
      <c r="V260" t="s">
        <v>62</v>
      </c>
      <c r="W260" t="s">
        <v>62</v>
      </c>
      <c r="X260">
        <v>2</v>
      </c>
      <c r="Y260">
        <v>4</v>
      </c>
      <c r="Z260">
        <v>11</v>
      </c>
      <c r="AA260">
        <v>0.26667000000000002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2</v>
      </c>
      <c r="AH260">
        <v>2</v>
      </c>
      <c r="AI260">
        <v>4</v>
      </c>
      <c r="AJ260">
        <v>11</v>
      </c>
      <c r="AK260">
        <v>0.26667000000000002</v>
      </c>
      <c r="AL260">
        <v>4</v>
      </c>
      <c r="AM260">
        <v>1</v>
      </c>
      <c r="AN260">
        <v>14</v>
      </c>
      <c r="AO260">
        <v>16</v>
      </c>
      <c r="AP260">
        <v>2</v>
      </c>
      <c r="AQ260">
        <v>0</v>
      </c>
      <c r="AR260" t="s">
        <v>4535</v>
      </c>
      <c r="AS260" t="s">
        <v>64</v>
      </c>
      <c r="AT260">
        <v>0.83</v>
      </c>
      <c r="AU260" t="s">
        <v>65</v>
      </c>
      <c r="AV260">
        <v>16</v>
      </c>
      <c r="AW260">
        <v>16</v>
      </c>
      <c r="AX260" t="s">
        <v>4536</v>
      </c>
      <c r="AY260" t="s">
        <v>4537</v>
      </c>
      <c r="AZ260" t="s">
        <v>4538</v>
      </c>
      <c r="BA260">
        <v>0.22473000000000001</v>
      </c>
      <c r="BB260">
        <v>1</v>
      </c>
      <c r="BC260" t="s">
        <v>69</v>
      </c>
      <c r="BD260">
        <v>-0.34100000000000003</v>
      </c>
      <c r="BE260">
        <v>-0.76</v>
      </c>
    </row>
    <row r="261" spans="1:57">
      <c r="A261">
        <v>0</v>
      </c>
      <c r="B261">
        <v>0</v>
      </c>
      <c r="C261">
        <v>0</v>
      </c>
      <c r="D261">
        <v>3334</v>
      </c>
      <c r="E261" t="s">
        <v>4539</v>
      </c>
      <c r="F261" t="s">
        <v>5762</v>
      </c>
      <c r="G261" t="s">
        <v>62</v>
      </c>
      <c r="H261">
        <v>3305602</v>
      </c>
      <c r="I261">
        <v>3305961</v>
      </c>
      <c r="J261" t="s">
        <v>4540</v>
      </c>
      <c r="K261">
        <v>120</v>
      </c>
      <c r="L261" t="s">
        <v>112</v>
      </c>
      <c r="M261">
        <v>4</v>
      </c>
      <c r="N261" t="str">
        <f>HYPERLINK("Gene3334-zp_tree_all.dnd", "Gene3334-tree")</f>
        <v>Gene3334-tree</v>
      </c>
    </row>
    <row r="262" spans="1:57">
      <c r="A262">
        <v>0</v>
      </c>
      <c r="B262">
        <v>0</v>
      </c>
      <c r="C262">
        <v>0</v>
      </c>
      <c r="D262">
        <v>3336</v>
      </c>
      <c r="E262" t="s">
        <v>4541</v>
      </c>
      <c r="F262" t="s">
        <v>5762</v>
      </c>
      <c r="G262" t="s">
        <v>62</v>
      </c>
      <c r="H262">
        <v>3307020</v>
      </c>
      <c r="I262">
        <v>3308231</v>
      </c>
      <c r="J262" t="s">
        <v>4542</v>
      </c>
      <c r="K262">
        <v>404</v>
      </c>
      <c r="L262" t="s">
        <v>112</v>
      </c>
      <c r="M262">
        <v>4</v>
      </c>
      <c r="N262" t="str">
        <f>HYPERLINK("Gene3336-zp_tree_all.dnd", "Gene3336-tree")</f>
        <v>Gene3336-tree</v>
      </c>
      <c r="O262">
        <v>2</v>
      </c>
      <c r="P262">
        <v>2</v>
      </c>
      <c r="Q262">
        <v>2</v>
      </c>
      <c r="R262">
        <v>2</v>
      </c>
      <c r="S262">
        <v>0.5</v>
      </c>
      <c r="T262" t="s">
        <v>135</v>
      </c>
      <c r="U262" t="s">
        <v>135</v>
      </c>
      <c r="V262" t="s">
        <v>62</v>
      </c>
      <c r="W262" t="s">
        <v>62</v>
      </c>
      <c r="X262">
        <v>0</v>
      </c>
      <c r="Y262">
        <v>0</v>
      </c>
      <c r="Z262">
        <v>6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6</v>
      </c>
      <c r="AK262">
        <v>0</v>
      </c>
      <c r="AL262">
        <v>4</v>
      </c>
      <c r="AM262">
        <v>1</v>
      </c>
      <c r="AN262">
        <v>62</v>
      </c>
      <c r="AO262">
        <v>6</v>
      </c>
      <c r="AP262">
        <v>1</v>
      </c>
      <c r="AQ262">
        <v>0</v>
      </c>
      <c r="AR262" t="s">
        <v>4543</v>
      </c>
      <c r="AS262" t="s">
        <v>64</v>
      </c>
      <c r="AT262">
        <v>0.54800000000000004</v>
      </c>
      <c r="AU262" t="s">
        <v>65</v>
      </c>
      <c r="AV262">
        <v>63</v>
      </c>
      <c r="AW262">
        <v>6</v>
      </c>
      <c r="AX262" t="s">
        <v>4544</v>
      </c>
      <c r="AY262" t="s">
        <v>4545</v>
      </c>
      <c r="AZ262" t="s">
        <v>4546</v>
      </c>
      <c r="BA262">
        <v>2.913E-2</v>
      </c>
      <c r="BB262">
        <v>1</v>
      </c>
      <c r="BC262" t="s">
        <v>69</v>
      </c>
      <c r="BD262">
        <v>-0.72699999999999998</v>
      </c>
      <c r="BE262">
        <v>-0.72699999999999998</v>
      </c>
    </row>
    <row r="263" spans="1:57">
      <c r="A263">
        <v>0</v>
      </c>
      <c r="B263">
        <v>0</v>
      </c>
      <c r="C263">
        <v>0</v>
      </c>
      <c r="D263">
        <v>3337</v>
      </c>
      <c r="E263" t="s">
        <v>4547</v>
      </c>
      <c r="F263" t="s">
        <v>5762</v>
      </c>
      <c r="G263" t="s">
        <v>62</v>
      </c>
      <c r="H263">
        <v>3308371</v>
      </c>
      <c r="I263">
        <v>3308604</v>
      </c>
      <c r="J263" t="s">
        <v>118</v>
      </c>
      <c r="K263">
        <v>78</v>
      </c>
      <c r="L263" t="s">
        <v>59</v>
      </c>
      <c r="M263">
        <v>5</v>
      </c>
      <c r="N263" t="str">
        <f>HYPERLINK("Gene3337-zp_tree_all.dnd", "Gene3337-tree")</f>
        <v>Gene3337-tree</v>
      </c>
      <c r="O263">
        <v>4</v>
      </c>
      <c r="P263">
        <v>0</v>
      </c>
      <c r="Q263">
        <v>4</v>
      </c>
      <c r="R263">
        <v>0</v>
      </c>
      <c r="S263">
        <v>0</v>
      </c>
      <c r="T263" t="s">
        <v>60</v>
      </c>
      <c r="U263" t="s">
        <v>62</v>
      </c>
      <c r="V263" t="s">
        <v>62</v>
      </c>
      <c r="W263" t="s">
        <v>62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3</v>
      </c>
      <c r="AM263">
        <v>0</v>
      </c>
      <c r="AN263">
        <v>9</v>
      </c>
      <c r="AO263">
        <v>0</v>
      </c>
      <c r="AP263">
        <v>0</v>
      </c>
      <c r="AQ263">
        <v>0</v>
      </c>
      <c r="AR263" t="s">
        <v>64</v>
      </c>
      <c r="AS263" t="s">
        <v>64</v>
      </c>
      <c r="AT263">
        <v>0</v>
      </c>
      <c r="AU263" t="s">
        <v>65</v>
      </c>
      <c r="AV263">
        <v>9</v>
      </c>
      <c r="AW263">
        <v>0</v>
      </c>
      <c r="AX263" t="s">
        <v>4548</v>
      </c>
      <c r="AY263" t="s">
        <v>4549</v>
      </c>
      <c r="AZ263" t="s">
        <v>64</v>
      </c>
      <c r="BA263">
        <v>0</v>
      </c>
      <c r="BB263">
        <v>1</v>
      </c>
      <c r="BC263" t="s">
        <v>69</v>
      </c>
      <c r="BD263">
        <v>0.79</v>
      </c>
      <c r="BE263">
        <v>0.79</v>
      </c>
    </row>
    <row r="264" spans="1:57">
      <c r="A264">
        <v>0</v>
      </c>
      <c r="B264">
        <v>2</v>
      </c>
      <c r="C264">
        <v>2</v>
      </c>
      <c r="D264">
        <v>3339</v>
      </c>
      <c r="E264" t="s">
        <v>4557</v>
      </c>
      <c r="F264" t="s">
        <v>5762</v>
      </c>
      <c r="G264" t="s">
        <v>62</v>
      </c>
      <c r="H264">
        <v>3309963</v>
      </c>
      <c r="I264">
        <v>3310286</v>
      </c>
      <c r="J264" t="s">
        <v>4558</v>
      </c>
      <c r="K264">
        <v>108</v>
      </c>
      <c r="L264" t="s">
        <v>59</v>
      </c>
      <c r="M264">
        <v>5</v>
      </c>
      <c r="N264" t="str">
        <f>HYPERLINK("Gene3339-zp_tree_all.dnd", "Gene3339-tree")</f>
        <v>Gene3339-tree</v>
      </c>
      <c r="O264">
        <v>1</v>
      </c>
      <c r="P264">
        <v>4</v>
      </c>
      <c r="Q264">
        <v>1</v>
      </c>
      <c r="R264">
        <v>4</v>
      </c>
      <c r="S264">
        <v>0.8</v>
      </c>
      <c r="T264" t="s">
        <v>61</v>
      </c>
      <c r="U264" t="s">
        <v>60</v>
      </c>
      <c r="V264" t="s">
        <v>62</v>
      </c>
      <c r="W264" t="s">
        <v>62</v>
      </c>
      <c r="X264">
        <v>2</v>
      </c>
      <c r="Y264">
        <v>4</v>
      </c>
      <c r="Z264">
        <v>4</v>
      </c>
      <c r="AA264">
        <v>0.5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2</v>
      </c>
      <c r="AH264">
        <v>2</v>
      </c>
      <c r="AI264">
        <v>4</v>
      </c>
      <c r="AJ264">
        <v>3</v>
      </c>
      <c r="AK264">
        <v>0.57142999999999999</v>
      </c>
      <c r="AL264">
        <v>5</v>
      </c>
      <c r="AM264">
        <v>2</v>
      </c>
      <c r="AN264">
        <v>8</v>
      </c>
      <c r="AO264">
        <v>7</v>
      </c>
      <c r="AP264">
        <v>7</v>
      </c>
      <c r="AQ264">
        <v>1</v>
      </c>
      <c r="AR264" t="s">
        <v>4559</v>
      </c>
      <c r="AS264" t="s">
        <v>4560</v>
      </c>
      <c r="AT264">
        <v>1.659</v>
      </c>
      <c r="AU264" t="s">
        <v>65</v>
      </c>
      <c r="AV264">
        <v>15</v>
      </c>
      <c r="AW264">
        <v>8</v>
      </c>
      <c r="AX264" t="s">
        <v>4561</v>
      </c>
      <c r="AY264" t="s">
        <v>4562</v>
      </c>
      <c r="AZ264" t="s">
        <v>4563</v>
      </c>
      <c r="BA264">
        <v>0.10477</v>
      </c>
      <c r="BB264">
        <v>1</v>
      </c>
      <c r="BC264" t="s">
        <v>69</v>
      </c>
      <c r="BD264">
        <v>0.309</v>
      </c>
      <c r="BE264">
        <v>-5.8999999999999997E-2</v>
      </c>
    </row>
    <row r="265" spans="1:57">
      <c r="A265">
        <v>0</v>
      </c>
      <c r="B265">
        <v>0</v>
      </c>
      <c r="C265">
        <v>0</v>
      </c>
      <c r="D265">
        <v>3344</v>
      </c>
      <c r="E265" t="s">
        <v>4566</v>
      </c>
      <c r="F265" t="s">
        <v>5762</v>
      </c>
      <c r="G265" t="s">
        <v>62</v>
      </c>
      <c r="H265">
        <v>3314831</v>
      </c>
      <c r="I265">
        <v>3316129</v>
      </c>
      <c r="J265" t="s">
        <v>4567</v>
      </c>
      <c r="K265">
        <v>433</v>
      </c>
      <c r="L265" t="s">
        <v>112</v>
      </c>
      <c r="M265">
        <v>4</v>
      </c>
      <c r="N265" t="str">
        <f>HYPERLINK("Gene3344-zp_tree_all.dnd", "Gene3344-tree")</f>
        <v>Gene3344-tree</v>
      </c>
    </row>
    <row r="266" spans="1:57">
      <c r="A266">
        <v>0</v>
      </c>
      <c r="B266">
        <v>0</v>
      </c>
      <c r="C266">
        <v>0</v>
      </c>
      <c r="D266">
        <v>3349</v>
      </c>
      <c r="E266" t="s">
        <v>4575</v>
      </c>
      <c r="F266" t="s">
        <v>5762</v>
      </c>
      <c r="G266" t="s">
        <v>62</v>
      </c>
      <c r="H266">
        <v>3319289</v>
      </c>
      <c r="I266">
        <v>3319561</v>
      </c>
      <c r="J266" t="s">
        <v>118</v>
      </c>
      <c r="K266">
        <v>91</v>
      </c>
      <c r="L266" t="s">
        <v>59</v>
      </c>
      <c r="M266">
        <v>5</v>
      </c>
      <c r="N266" t="str">
        <f>HYPERLINK("Gene3349-zp_tree_all.dnd", "Gene3349-tree")</f>
        <v>Gene3349-tree</v>
      </c>
      <c r="O266">
        <v>4</v>
      </c>
      <c r="P266">
        <v>1</v>
      </c>
      <c r="Q266">
        <v>3</v>
      </c>
      <c r="R266">
        <v>1</v>
      </c>
      <c r="S266">
        <v>0.25</v>
      </c>
      <c r="T266" t="s">
        <v>119</v>
      </c>
      <c r="U266" t="s">
        <v>61</v>
      </c>
      <c r="V266" t="s">
        <v>62</v>
      </c>
      <c r="W266" t="s">
        <v>62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1</v>
      </c>
      <c r="AF266">
        <v>0</v>
      </c>
      <c r="AG266">
        <v>0</v>
      </c>
      <c r="AH266">
        <v>0</v>
      </c>
      <c r="AI266">
        <v>0</v>
      </c>
      <c r="AJ266">
        <v>1</v>
      </c>
      <c r="AK266">
        <v>0</v>
      </c>
      <c r="AL266">
        <v>3</v>
      </c>
      <c r="AM266">
        <v>1</v>
      </c>
      <c r="AN266">
        <v>5</v>
      </c>
      <c r="AO266">
        <v>1</v>
      </c>
      <c r="AP266">
        <v>4</v>
      </c>
      <c r="AQ266">
        <v>1</v>
      </c>
      <c r="AR266" t="s">
        <v>4576</v>
      </c>
      <c r="AS266" t="s">
        <v>4577</v>
      </c>
      <c r="AT266">
        <v>0.16400000000000001</v>
      </c>
      <c r="AU266" t="s">
        <v>65</v>
      </c>
      <c r="AV266">
        <v>9</v>
      </c>
      <c r="AW266">
        <v>2</v>
      </c>
      <c r="AX266" t="s">
        <v>4578</v>
      </c>
      <c r="AY266" t="s">
        <v>4579</v>
      </c>
      <c r="AZ266" t="s">
        <v>4580</v>
      </c>
      <c r="BA266">
        <v>5.5870000000000003E-2</v>
      </c>
      <c r="BB266">
        <v>1</v>
      </c>
      <c r="BC266" t="s">
        <v>69</v>
      </c>
      <c r="BD266">
        <v>0.59599999999999997</v>
      </c>
      <c r="BE266">
        <v>0.59599999999999997</v>
      </c>
    </row>
    <row r="267" spans="1:57">
      <c r="A267">
        <v>0</v>
      </c>
      <c r="B267">
        <v>0</v>
      </c>
      <c r="C267">
        <v>0</v>
      </c>
      <c r="D267">
        <v>3351</v>
      </c>
      <c r="E267" t="s">
        <v>4581</v>
      </c>
      <c r="F267" t="s">
        <v>5762</v>
      </c>
      <c r="G267" t="s">
        <v>62</v>
      </c>
      <c r="H267">
        <v>3320327</v>
      </c>
      <c r="I267">
        <v>3321220</v>
      </c>
      <c r="J267" t="s">
        <v>4582</v>
      </c>
      <c r="K267">
        <v>298</v>
      </c>
      <c r="L267" t="s">
        <v>59</v>
      </c>
      <c r="M267">
        <v>5</v>
      </c>
      <c r="N267" t="str">
        <f>HYPERLINK("Gene3351-zp_tree_all.dnd", "Gene3351-tree")</f>
        <v>Gene3351-tree</v>
      </c>
      <c r="O267">
        <v>5</v>
      </c>
      <c r="P267">
        <v>0</v>
      </c>
      <c r="Q267">
        <v>5</v>
      </c>
      <c r="R267">
        <v>0</v>
      </c>
      <c r="S267">
        <v>0</v>
      </c>
      <c r="T267" t="s">
        <v>98</v>
      </c>
      <c r="U267" t="s">
        <v>62</v>
      </c>
      <c r="V267" t="s">
        <v>62</v>
      </c>
      <c r="W267" t="s">
        <v>62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5</v>
      </c>
      <c r="AM267">
        <v>2</v>
      </c>
      <c r="AN267">
        <v>42</v>
      </c>
      <c r="AO267">
        <v>0</v>
      </c>
      <c r="AP267">
        <v>24</v>
      </c>
      <c r="AQ267">
        <v>0</v>
      </c>
      <c r="AR267" t="s">
        <v>64</v>
      </c>
      <c r="AS267" t="s">
        <v>64</v>
      </c>
      <c r="AT267">
        <v>0</v>
      </c>
      <c r="AU267" t="s">
        <v>65</v>
      </c>
      <c r="AV267">
        <v>66</v>
      </c>
      <c r="AW267">
        <v>0</v>
      </c>
      <c r="AX267" t="s">
        <v>4583</v>
      </c>
      <c r="AY267" t="s">
        <v>4584</v>
      </c>
      <c r="AZ267" t="s">
        <v>64</v>
      </c>
      <c r="BA267">
        <v>0</v>
      </c>
      <c r="BB267">
        <v>1</v>
      </c>
      <c r="BC267" t="s">
        <v>69</v>
      </c>
      <c r="BD267">
        <v>0.36899999999999999</v>
      </c>
      <c r="BE267">
        <v>0.23499999999999999</v>
      </c>
    </row>
    <row r="268" spans="1:57">
      <c r="A268">
        <v>0</v>
      </c>
      <c r="B268">
        <v>0</v>
      </c>
      <c r="C268">
        <v>0</v>
      </c>
      <c r="D268">
        <v>3357</v>
      </c>
      <c r="E268" t="s">
        <v>4585</v>
      </c>
      <c r="F268" t="s">
        <v>5762</v>
      </c>
      <c r="G268" t="s">
        <v>62</v>
      </c>
      <c r="H268">
        <v>3325920</v>
      </c>
      <c r="I268">
        <v>3326765</v>
      </c>
      <c r="J268" t="s">
        <v>118</v>
      </c>
      <c r="K268">
        <v>282</v>
      </c>
      <c r="L268" t="s">
        <v>59</v>
      </c>
      <c r="M268">
        <v>5</v>
      </c>
      <c r="N268" t="str">
        <f>HYPERLINK("Gene3357-zp_tree_all.dnd", "Gene3357-tree")</f>
        <v>Gene3357-tree</v>
      </c>
      <c r="O268">
        <v>3</v>
      </c>
      <c r="P268">
        <v>2</v>
      </c>
      <c r="Q268">
        <v>3</v>
      </c>
      <c r="R268">
        <v>2</v>
      </c>
      <c r="S268">
        <v>0.4</v>
      </c>
      <c r="T268" t="s">
        <v>84</v>
      </c>
      <c r="U268" t="s">
        <v>135</v>
      </c>
      <c r="V268" t="s">
        <v>62</v>
      </c>
      <c r="W268" t="s">
        <v>62</v>
      </c>
      <c r="X268">
        <v>0</v>
      </c>
      <c r="Y268">
        <v>0</v>
      </c>
      <c r="Z268">
        <v>4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3</v>
      </c>
      <c r="AK268">
        <v>0</v>
      </c>
      <c r="AL268">
        <v>5</v>
      </c>
      <c r="AM268">
        <v>2</v>
      </c>
      <c r="AN268">
        <v>24</v>
      </c>
      <c r="AO268">
        <v>3</v>
      </c>
      <c r="AP268">
        <v>19</v>
      </c>
      <c r="AQ268">
        <v>1</v>
      </c>
      <c r="AR268" t="s">
        <v>4586</v>
      </c>
      <c r="AS268" t="s">
        <v>4587</v>
      </c>
      <c r="AT268">
        <v>0.55900000000000005</v>
      </c>
      <c r="AU268" t="s">
        <v>65</v>
      </c>
      <c r="AV268">
        <v>43</v>
      </c>
      <c r="AW268">
        <v>4</v>
      </c>
      <c r="AX268" t="s">
        <v>4588</v>
      </c>
      <c r="AY268" t="s">
        <v>4589</v>
      </c>
      <c r="AZ268" t="s">
        <v>4590</v>
      </c>
      <c r="BA268">
        <v>2.249E-2</v>
      </c>
      <c r="BB268">
        <v>1</v>
      </c>
      <c r="BC268" t="s">
        <v>69</v>
      </c>
      <c r="BD268">
        <v>0.314</v>
      </c>
      <c r="BE268">
        <v>-0.185</v>
      </c>
    </row>
    <row r="269" spans="1:57">
      <c r="A269">
        <v>0</v>
      </c>
      <c r="B269">
        <v>0</v>
      </c>
      <c r="C269">
        <v>0</v>
      </c>
      <c r="D269">
        <v>3377</v>
      </c>
      <c r="E269" t="s">
        <v>4591</v>
      </c>
      <c r="F269" t="s">
        <v>5762</v>
      </c>
      <c r="G269" t="s">
        <v>62</v>
      </c>
      <c r="H269">
        <v>3347922</v>
      </c>
      <c r="I269">
        <v>3348821</v>
      </c>
      <c r="J269" t="s">
        <v>4592</v>
      </c>
      <c r="K269">
        <v>300</v>
      </c>
      <c r="L269" t="s">
        <v>59</v>
      </c>
      <c r="M269">
        <v>5</v>
      </c>
      <c r="N269" t="str">
        <f>HYPERLINK("Gene3377-zp_tree_all.dnd", "Gene3377-tree")</f>
        <v>Gene3377-tree</v>
      </c>
      <c r="O269">
        <v>2</v>
      </c>
      <c r="P269">
        <v>3</v>
      </c>
      <c r="Q269">
        <v>2</v>
      </c>
      <c r="R269">
        <v>3</v>
      </c>
      <c r="S269">
        <v>0.6</v>
      </c>
      <c r="T269" t="s">
        <v>135</v>
      </c>
      <c r="U269" t="s">
        <v>84</v>
      </c>
      <c r="V269" t="s">
        <v>62</v>
      </c>
      <c r="W269" t="s">
        <v>62</v>
      </c>
      <c r="X269">
        <v>0</v>
      </c>
      <c r="Y269">
        <v>0</v>
      </c>
      <c r="Z269">
        <v>8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5</v>
      </c>
      <c r="AK269">
        <v>0</v>
      </c>
      <c r="AL269">
        <v>4</v>
      </c>
      <c r="AM269">
        <v>2</v>
      </c>
      <c r="AN269">
        <v>22</v>
      </c>
      <c r="AO269">
        <v>7</v>
      </c>
      <c r="AP269">
        <v>31</v>
      </c>
      <c r="AQ269">
        <v>3</v>
      </c>
      <c r="AR269" t="s">
        <v>4593</v>
      </c>
      <c r="AS269" t="s">
        <v>4594</v>
      </c>
      <c r="AT269">
        <v>1.8109999999999999</v>
      </c>
      <c r="AU269" t="s">
        <v>65</v>
      </c>
      <c r="AV269">
        <v>53</v>
      </c>
      <c r="AW269">
        <v>10</v>
      </c>
      <c r="AX269" t="s">
        <v>4595</v>
      </c>
      <c r="AY269" t="s">
        <v>4596</v>
      </c>
      <c r="AZ269" t="s">
        <v>4597</v>
      </c>
      <c r="BA269">
        <v>4.8189999999999997E-2</v>
      </c>
      <c r="BB269">
        <v>1</v>
      </c>
      <c r="BC269" t="s">
        <v>69</v>
      </c>
      <c r="BD269">
        <v>0.52500000000000002</v>
      </c>
      <c r="BE269">
        <v>0.42</v>
      </c>
    </row>
    <row r="270" spans="1:57">
      <c r="A270">
        <v>0</v>
      </c>
      <c r="B270">
        <v>0</v>
      </c>
      <c r="C270">
        <v>0</v>
      </c>
      <c r="D270">
        <v>3378</v>
      </c>
      <c r="E270" t="s">
        <v>4598</v>
      </c>
      <c r="F270" t="s">
        <v>5762</v>
      </c>
      <c r="G270" t="s">
        <v>62</v>
      </c>
      <c r="H270">
        <v>3348828</v>
      </c>
      <c r="I270">
        <v>3349703</v>
      </c>
      <c r="J270" t="s">
        <v>4592</v>
      </c>
      <c r="K270">
        <v>292</v>
      </c>
      <c r="L270" t="s">
        <v>59</v>
      </c>
      <c r="M270">
        <v>5</v>
      </c>
      <c r="N270" t="str">
        <f>HYPERLINK("Gene3378-zp_tree_all.dnd", "Gene3378-tree")</f>
        <v>Gene3378-tree</v>
      </c>
      <c r="O270">
        <v>4</v>
      </c>
      <c r="P270">
        <v>1</v>
      </c>
      <c r="Q270">
        <v>4</v>
      </c>
      <c r="R270">
        <v>1</v>
      </c>
      <c r="S270">
        <v>0.2</v>
      </c>
      <c r="T270" t="s">
        <v>60</v>
      </c>
      <c r="U270" t="s">
        <v>61</v>
      </c>
      <c r="V270" t="s">
        <v>62</v>
      </c>
      <c r="W270" t="s">
        <v>62</v>
      </c>
      <c r="X270">
        <v>0</v>
      </c>
      <c r="Y270">
        <v>0</v>
      </c>
      <c r="Z270">
        <v>3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1</v>
      </c>
      <c r="AK270">
        <v>0</v>
      </c>
      <c r="AL270">
        <v>5</v>
      </c>
      <c r="AM270">
        <v>2</v>
      </c>
      <c r="AN270">
        <v>17</v>
      </c>
      <c r="AO270">
        <v>1</v>
      </c>
      <c r="AP270">
        <v>29</v>
      </c>
      <c r="AQ270">
        <v>2</v>
      </c>
      <c r="AR270" t="s">
        <v>4599</v>
      </c>
      <c r="AS270" t="s">
        <v>4600</v>
      </c>
      <c r="AT270">
        <v>4.1000000000000002E-2</v>
      </c>
      <c r="AU270" t="s">
        <v>65</v>
      </c>
      <c r="AV270">
        <v>46</v>
      </c>
      <c r="AW270">
        <v>3</v>
      </c>
      <c r="AX270" t="s">
        <v>4601</v>
      </c>
      <c r="AY270" t="s">
        <v>4602</v>
      </c>
      <c r="AZ270" t="s">
        <v>4603</v>
      </c>
      <c r="BA270">
        <v>1.8620000000000001E-2</v>
      </c>
      <c r="BB270">
        <v>1</v>
      </c>
      <c r="BC270" t="s">
        <v>69</v>
      </c>
      <c r="BD270">
        <v>0.88200000000000001</v>
      </c>
      <c r="BE270">
        <v>0.749</v>
      </c>
    </row>
    <row r="271" spans="1:57">
      <c r="A271">
        <v>0</v>
      </c>
      <c r="B271">
        <v>2</v>
      </c>
      <c r="C271">
        <v>0</v>
      </c>
      <c r="D271">
        <v>3380</v>
      </c>
      <c r="E271" t="s">
        <v>4604</v>
      </c>
      <c r="F271" t="s">
        <v>5762</v>
      </c>
      <c r="G271" t="s">
        <v>62</v>
      </c>
      <c r="H271">
        <v>3351113</v>
      </c>
      <c r="I271">
        <v>3352096</v>
      </c>
      <c r="J271" t="s">
        <v>4605</v>
      </c>
      <c r="K271">
        <v>328</v>
      </c>
      <c r="L271" t="s">
        <v>59</v>
      </c>
      <c r="M271">
        <v>5</v>
      </c>
      <c r="N271" t="str">
        <f>HYPERLINK("Gene3380-zp_tree_all.dnd", "Gene3380-tree")</f>
        <v>Gene3380-tree</v>
      </c>
      <c r="O271">
        <v>2</v>
      </c>
      <c r="P271">
        <v>3</v>
      </c>
      <c r="Q271">
        <v>2</v>
      </c>
      <c r="R271">
        <v>3</v>
      </c>
      <c r="S271">
        <v>0.6</v>
      </c>
      <c r="T271" t="s">
        <v>135</v>
      </c>
      <c r="U271" t="s">
        <v>84</v>
      </c>
      <c r="V271" t="s">
        <v>62</v>
      </c>
      <c r="W271" t="s">
        <v>62</v>
      </c>
      <c r="X271">
        <v>1</v>
      </c>
      <c r="Y271">
        <v>2</v>
      </c>
      <c r="Z271">
        <v>8</v>
      </c>
      <c r="AA271">
        <v>0.2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5</v>
      </c>
      <c r="AK271">
        <v>0</v>
      </c>
      <c r="AL271">
        <v>5</v>
      </c>
      <c r="AM271">
        <v>2</v>
      </c>
      <c r="AN271">
        <v>14</v>
      </c>
      <c r="AO271">
        <v>5</v>
      </c>
      <c r="AP271">
        <v>28</v>
      </c>
      <c r="AQ271">
        <v>5</v>
      </c>
      <c r="AR271" t="s">
        <v>4606</v>
      </c>
      <c r="AS271" t="s">
        <v>4607</v>
      </c>
      <c r="AT271">
        <v>1.0329999999999999</v>
      </c>
      <c r="AU271" t="s">
        <v>65</v>
      </c>
      <c r="AV271">
        <v>42</v>
      </c>
      <c r="AW271">
        <v>10</v>
      </c>
      <c r="AX271" t="s">
        <v>4608</v>
      </c>
      <c r="AY271" t="s">
        <v>4609</v>
      </c>
      <c r="AZ271" t="s">
        <v>4610</v>
      </c>
      <c r="BA271">
        <v>5.8110000000000002E-2</v>
      </c>
      <c r="BB271">
        <v>1</v>
      </c>
      <c r="BC271" t="s">
        <v>69</v>
      </c>
      <c r="BD271">
        <v>0.86</v>
      </c>
      <c r="BE271">
        <v>0.86</v>
      </c>
    </row>
    <row r="272" spans="1:57">
      <c r="A272">
        <v>0</v>
      </c>
      <c r="B272">
        <v>0</v>
      </c>
      <c r="C272">
        <v>0</v>
      </c>
      <c r="D272">
        <v>3387</v>
      </c>
      <c r="E272" t="s">
        <v>4611</v>
      </c>
      <c r="F272" t="s">
        <v>5762</v>
      </c>
      <c r="G272" t="s">
        <v>62</v>
      </c>
      <c r="H272">
        <v>3355596</v>
      </c>
      <c r="I272">
        <v>3356990</v>
      </c>
      <c r="J272" t="s">
        <v>4612</v>
      </c>
      <c r="K272">
        <v>465</v>
      </c>
      <c r="L272" t="s">
        <v>59</v>
      </c>
      <c r="M272">
        <v>5</v>
      </c>
      <c r="N272" t="str">
        <f>HYPERLINK("Gene3387-zp_tree_all.dnd", "Gene3387-tree")</f>
        <v>Gene3387-tree</v>
      </c>
      <c r="O272">
        <v>4</v>
      </c>
      <c r="P272">
        <v>1</v>
      </c>
      <c r="Q272">
        <v>4</v>
      </c>
      <c r="R272">
        <v>1</v>
      </c>
      <c r="S272">
        <v>0.2</v>
      </c>
      <c r="T272" t="s">
        <v>60</v>
      </c>
      <c r="U272" t="s">
        <v>61</v>
      </c>
      <c r="V272" t="s">
        <v>62</v>
      </c>
      <c r="W272" t="s">
        <v>62</v>
      </c>
      <c r="X272">
        <v>0</v>
      </c>
      <c r="Y272">
        <v>0</v>
      </c>
      <c r="Z272">
        <v>1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1</v>
      </c>
      <c r="AK272">
        <v>0</v>
      </c>
      <c r="AL272">
        <v>5</v>
      </c>
      <c r="AM272">
        <v>2</v>
      </c>
      <c r="AN272">
        <v>30</v>
      </c>
      <c r="AO272">
        <v>1</v>
      </c>
      <c r="AP272">
        <v>16</v>
      </c>
      <c r="AQ272">
        <v>0</v>
      </c>
      <c r="AR272" t="s">
        <v>4613</v>
      </c>
      <c r="AS272" t="s">
        <v>64</v>
      </c>
      <c r="AT272">
        <v>0.53800000000000003</v>
      </c>
      <c r="AU272" t="s">
        <v>65</v>
      </c>
      <c r="AV272">
        <v>46</v>
      </c>
      <c r="AW272">
        <v>1</v>
      </c>
      <c r="AX272" t="s">
        <v>4614</v>
      </c>
      <c r="AY272" t="s">
        <v>4615</v>
      </c>
      <c r="AZ272" t="s">
        <v>4616</v>
      </c>
      <c r="BA272">
        <v>5.0699999999999999E-3</v>
      </c>
      <c r="BB272">
        <v>1</v>
      </c>
      <c r="BC272" t="s">
        <v>69</v>
      </c>
      <c r="BD272">
        <v>-0.16400000000000001</v>
      </c>
      <c r="BE272">
        <v>-0.187</v>
      </c>
    </row>
    <row r="273" spans="1:57">
      <c r="A273">
        <v>0</v>
      </c>
      <c r="B273">
        <v>0</v>
      </c>
      <c r="C273">
        <v>0</v>
      </c>
      <c r="D273">
        <v>3388</v>
      </c>
      <c r="E273" t="s">
        <v>4617</v>
      </c>
      <c r="F273" t="s">
        <v>5762</v>
      </c>
      <c r="G273" t="s">
        <v>62</v>
      </c>
      <c r="H273">
        <v>3357014</v>
      </c>
      <c r="I273">
        <v>3357454</v>
      </c>
      <c r="J273" t="s">
        <v>4618</v>
      </c>
      <c r="K273">
        <v>147</v>
      </c>
      <c r="L273" t="s">
        <v>59</v>
      </c>
      <c r="M273">
        <v>5</v>
      </c>
      <c r="N273" t="str">
        <f>HYPERLINK("Gene3388-zp_tree_all.dnd", "Gene3388-tree")</f>
        <v>Gene3388-tree</v>
      </c>
      <c r="O273">
        <v>5</v>
      </c>
      <c r="P273">
        <v>0</v>
      </c>
      <c r="Q273">
        <v>5</v>
      </c>
      <c r="R273">
        <v>0</v>
      </c>
      <c r="S273">
        <v>0</v>
      </c>
      <c r="T273" t="s">
        <v>98</v>
      </c>
      <c r="U273" t="s">
        <v>62</v>
      </c>
      <c r="V273" t="s">
        <v>62</v>
      </c>
      <c r="W273" t="s">
        <v>62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3</v>
      </c>
      <c r="AM273">
        <v>2</v>
      </c>
      <c r="AN273">
        <v>6</v>
      </c>
      <c r="AO273">
        <v>0</v>
      </c>
      <c r="AP273">
        <v>9</v>
      </c>
      <c r="AQ273">
        <v>0</v>
      </c>
      <c r="AR273" t="s">
        <v>64</v>
      </c>
      <c r="AS273" t="s">
        <v>64</v>
      </c>
      <c r="AT273">
        <v>0</v>
      </c>
      <c r="AU273" t="s">
        <v>65</v>
      </c>
      <c r="AV273">
        <v>15</v>
      </c>
      <c r="AW273">
        <v>0</v>
      </c>
      <c r="AX273" t="s">
        <v>4619</v>
      </c>
      <c r="AY273" t="s">
        <v>4620</v>
      </c>
      <c r="AZ273" t="s">
        <v>64</v>
      </c>
      <c r="BA273">
        <v>0</v>
      </c>
      <c r="BB273">
        <v>1</v>
      </c>
      <c r="BC273" t="s">
        <v>69</v>
      </c>
      <c r="BD273">
        <v>0.60899999999999999</v>
      </c>
      <c r="BE273">
        <v>0.60899999999999999</v>
      </c>
    </row>
    <row r="274" spans="1:57">
      <c r="A274">
        <v>0</v>
      </c>
      <c r="B274">
        <v>0</v>
      </c>
      <c r="C274">
        <v>0</v>
      </c>
      <c r="D274">
        <v>3389</v>
      </c>
      <c r="E274" t="s">
        <v>4621</v>
      </c>
      <c r="F274" t="s">
        <v>5762</v>
      </c>
      <c r="G274" t="s">
        <v>62</v>
      </c>
      <c r="H274">
        <v>3357447</v>
      </c>
      <c r="I274">
        <v>3358664</v>
      </c>
      <c r="J274" t="s">
        <v>4622</v>
      </c>
      <c r="K274">
        <v>406</v>
      </c>
      <c r="L274" t="s">
        <v>59</v>
      </c>
      <c r="M274">
        <v>5</v>
      </c>
      <c r="N274" t="str">
        <f>HYPERLINK("Gene3389-zp_tree_all.dnd", "Gene3389-tree")</f>
        <v>Gene3389-tree</v>
      </c>
      <c r="O274">
        <v>2</v>
      </c>
      <c r="P274">
        <v>3</v>
      </c>
      <c r="Q274">
        <v>2</v>
      </c>
      <c r="R274">
        <v>3</v>
      </c>
      <c r="S274">
        <v>0.6</v>
      </c>
      <c r="T274" t="s">
        <v>135</v>
      </c>
      <c r="U274" t="s">
        <v>84</v>
      </c>
      <c r="V274" t="s">
        <v>62</v>
      </c>
      <c r="W274" t="s">
        <v>62</v>
      </c>
      <c r="X274">
        <v>0</v>
      </c>
      <c r="Y274">
        <v>0</v>
      </c>
      <c r="Z274">
        <v>8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4</v>
      </c>
      <c r="AK274">
        <v>0</v>
      </c>
      <c r="AL274">
        <v>5</v>
      </c>
      <c r="AM274">
        <v>2</v>
      </c>
      <c r="AN274">
        <v>27</v>
      </c>
      <c r="AO274">
        <v>4</v>
      </c>
      <c r="AP274">
        <v>26</v>
      </c>
      <c r="AQ274">
        <v>4</v>
      </c>
      <c r="AR274" t="s">
        <v>4623</v>
      </c>
      <c r="AS274" t="s">
        <v>4624</v>
      </c>
      <c r="AT274">
        <v>4.0000000000000001E-3</v>
      </c>
      <c r="AU274" t="s">
        <v>65</v>
      </c>
      <c r="AV274">
        <v>53</v>
      </c>
      <c r="AW274">
        <v>8</v>
      </c>
      <c r="AX274" t="s">
        <v>4625</v>
      </c>
      <c r="AY274" t="s">
        <v>4626</v>
      </c>
      <c r="AZ274" t="s">
        <v>4627</v>
      </c>
      <c r="BA274">
        <v>4.3279999999999999E-2</v>
      </c>
      <c r="BB274">
        <v>1</v>
      </c>
      <c r="BC274" t="s">
        <v>69</v>
      </c>
      <c r="BD274">
        <v>0.36799999999999999</v>
      </c>
      <c r="BE274">
        <v>0.36799999999999999</v>
      </c>
    </row>
    <row r="275" spans="1:57">
      <c r="A275">
        <v>0</v>
      </c>
      <c r="B275">
        <v>2</v>
      </c>
      <c r="C275">
        <v>2</v>
      </c>
      <c r="D275">
        <v>3390</v>
      </c>
      <c r="E275" t="s">
        <v>4628</v>
      </c>
      <c r="F275" t="s">
        <v>5762</v>
      </c>
      <c r="G275" t="s">
        <v>62</v>
      </c>
      <c r="H275">
        <v>3358667</v>
      </c>
      <c r="I275">
        <v>3359977</v>
      </c>
      <c r="J275" t="s">
        <v>4629</v>
      </c>
      <c r="K275">
        <v>437</v>
      </c>
      <c r="L275" t="s">
        <v>59</v>
      </c>
      <c r="M275">
        <v>5</v>
      </c>
      <c r="N275" t="str">
        <f>HYPERLINK("Gene3390-zp_tree_all.dnd", "Gene3390-tree")</f>
        <v>Gene3390-tree</v>
      </c>
      <c r="O275">
        <v>2</v>
      </c>
      <c r="P275">
        <v>3</v>
      </c>
      <c r="Q275">
        <v>2</v>
      </c>
      <c r="R275">
        <v>3</v>
      </c>
      <c r="S275">
        <v>0.6</v>
      </c>
      <c r="T275" t="s">
        <v>135</v>
      </c>
      <c r="U275" t="s">
        <v>84</v>
      </c>
      <c r="V275" t="s">
        <v>62</v>
      </c>
      <c r="W275" t="s">
        <v>62</v>
      </c>
      <c r="X275">
        <v>2</v>
      </c>
      <c r="Y275">
        <v>4</v>
      </c>
      <c r="Z275">
        <v>3</v>
      </c>
      <c r="AA275">
        <v>0.57142999999999999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2</v>
      </c>
      <c r="AI275">
        <v>2</v>
      </c>
      <c r="AJ275">
        <v>2</v>
      </c>
      <c r="AK275">
        <v>0.5</v>
      </c>
      <c r="AL275">
        <v>5</v>
      </c>
      <c r="AM275">
        <v>2</v>
      </c>
      <c r="AN275">
        <v>31</v>
      </c>
      <c r="AO275">
        <v>4</v>
      </c>
      <c r="AP275">
        <v>28</v>
      </c>
      <c r="AQ275">
        <v>3</v>
      </c>
      <c r="AR275" t="s">
        <v>4630</v>
      </c>
      <c r="AS275" t="s">
        <v>4631</v>
      </c>
      <c r="AT275">
        <v>0.17199999999999999</v>
      </c>
      <c r="AU275" t="s">
        <v>65</v>
      </c>
      <c r="AV275">
        <v>59</v>
      </c>
      <c r="AW275">
        <v>7</v>
      </c>
      <c r="AX275" t="s">
        <v>4632</v>
      </c>
      <c r="AY275" t="s">
        <v>4633</v>
      </c>
      <c r="AZ275" t="s">
        <v>4634</v>
      </c>
      <c r="BA275">
        <v>2.827E-2</v>
      </c>
      <c r="BB275">
        <v>1</v>
      </c>
      <c r="BC275" t="s">
        <v>69</v>
      </c>
      <c r="BD275">
        <v>0.46800000000000003</v>
      </c>
      <c r="BE275">
        <v>0.214</v>
      </c>
    </row>
    <row r="276" spans="1:57">
      <c r="A276">
        <v>0</v>
      </c>
      <c r="B276">
        <v>0</v>
      </c>
      <c r="C276">
        <v>0</v>
      </c>
      <c r="D276">
        <v>3391</v>
      </c>
      <c r="E276" t="s">
        <v>4635</v>
      </c>
      <c r="F276" t="s">
        <v>5762</v>
      </c>
      <c r="G276" t="s">
        <v>62</v>
      </c>
      <c r="H276">
        <v>3359998</v>
      </c>
      <c r="I276">
        <v>3360780</v>
      </c>
      <c r="J276" t="s">
        <v>4636</v>
      </c>
      <c r="K276">
        <v>261</v>
      </c>
      <c r="L276" t="s">
        <v>59</v>
      </c>
      <c r="M276">
        <v>5</v>
      </c>
      <c r="N276" t="str">
        <f>HYPERLINK("Gene3391-zp_tree_all.dnd", "Gene3391-tree")</f>
        <v>Gene3391-tree</v>
      </c>
      <c r="O276">
        <v>3</v>
      </c>
      <c r="P276">
        <v>2</v>
      </c>
      <c r="Q276">
        <v>3</v>
      </c>
      <c r="R276">
        <v>2</v>
      </c>
      <c r="S276">
        <v>0.4</v>
      </c>
      <c r="T276" t="s">
        <v>84</v>
      </c>
      <c r="U276" t="s">
        <v>135</v>
      </c>
      <c r="V276" t="s">
        <v>62</v>
      </c>
      <c r="W276" t="s">
        <v>62</v>
      </c>
      <c r="X276">
        <v>0</v>
      </c>
      <c r="Y276">
        <v>0</v>
      </c>
      <c r="Z276">
        <v>2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2</v>
      </c>
      <c r="AK276">
        <v>0</v>
      </c>
      <c r="AL276">
        <v>4</v>
      </c>
      <c r="AM276">
        <v>2</v>
      </c>
      <c r="AN276">
        <v>15</v>
      </c>
      <c r="AO276">
        <v>2</v>
      </c>
      <c r="AP276">
        <v>16</v>
      </c>
      <c r="AQ276">
        <v>0</v>
      </c>
      <c r="AR276" t="s">
        <v>4637</v>
      </c>
      <c r="AS276" t="s">
        <v>64</v>
      </c>
      <c r="AT276">
        <v>1.1910000000000001</v>
      </c>
      <c r="AU276" t="s">
        <v>65</v>
      </c>
      <c r="AV276">
        <v>31</v>
      </c>
      <c r="AW276">
        <v>2</v>
      </c>
      <c r="AX276" t="s">
        <v>4638</v>
      </c>
      <c r="AY276" t="s">
        <v>4639</v>
      </c>
      <c r="AZ276" t="s">
        <v>4526</v>
      </c>
      <c r="BA276">
        <v>1.4019999999999999E-2</v>
      </c>
      <c r="BB276">
        <v>1</v>
      </c>
      <c r="BC276" t="s">
        <v>69</v>
      </c>
      <c r="BD276">
        <v>0.51900000000000002</v>
      </c>
      <c r="BE276">
        <v>0</v>
      </c>
    </row>
    <row r="277" spans="1:57">
      <c r="A277">
        <v>0</v>
      </c>
      <c r="B277">
        <v>0</v>
      </c>
      <c r="C277">
        <v>0</v>
      </c>
      <c r="D277">
        <v>3392</v>
      </c>
      <c r="E277" t="s">
        <v>4640</v>
      </c>
      <c r="F277" t="s">
        <v>5762</v>
      </c>
      <c r="G277" t="s">
        <v>62</v>
      </c>
      <c r="H277">
        <v>3360977</v>
      </c>
      <c r="I277">
        <v>3361111</v>
      </c>
      <c r="J277" t="s">
        <v>4641</v>
      </c>
      <c r="K277">
        <v>45</v>
      </c>
      <c r="L277" t="s">
        <v>112</v>
      </c>
      <c r="M277">
        <v>4</v>
      </c>
      <c r="N277" t="str">
        <f>HYPERLINK("Gene3392-zp_tree_all.dnd", "Gene3392-tree")</f>
        <v>Gene3392-tree</v>
      </c>
    </row>
    <row r="278" spans="1:57">
      <c r="A278">
        <v>0</v>
      </c>
      <c r="B278">
        <v>0</v>
      </c>
      <c r="C278">
        <v>0</v>
      </c>
      <c r="D278">
        <v>3394</v>
      </c>
      <c r="E278" t="s">
        <v>4642</v>
      </c>
      <c r="F278" t="s">
        <v>5762</v>
      </c>
      <c r="G278" t="s">
        <v>62</v>
      </c>
      <c r="H278">
        <v>3361770</v>
      </c>
      <c r="I278">
        <v>3362591</v>
      </c>
      <c r="J278" t="s">
        <v>4643</v>
      </c>
      <c r="K278">
        <v>274</v>
      </c>
      <c r="L278" t="s">
        <v>59</v>
      </c>
      <c r="M278">
        <v>5</v>
      </c>
      <c r="N278" t="str">
        <f>HYPERLINK("Gene3394-zp_tree_all.dnd", "Gene3394-tree")</f>
        <v>Gene3394-tree</v>
      </c>
      <c r="O278">
        <v>4</v>
      </c>
      <c r="P278">
        <v>1</v>
      </c>
      <c r="Q278">
        <v>4</v>
      </c>
      <c r="R278">
        <v>1</v>
      </c>
      <c r="S278">
        <v>0.2</v>
      </c>
      <c r="T278" t="s">
        <v>60</v>
      </c>
      <c r="U278" t="s">
        <v>61</v>
      </c>
      <c r="V278" t="s">
        <v>62</v>
      </c>
      <c r="W278" t="s">
        <v>62</v>
      </c>
      <c r="X278">
        <v>0</v>
      </c>
      <c r="Y278">
        <v>0</v>
      </c>
      <c r="Z278">
        <v>5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1</v>
      </c>
      <c r="AK278">
        <v>0</v>
      </c>
      <c r="AL278">
        <v>5</v>
      </c>
      <c r="AM278">
        <v>2</v>
      </c>
      <c r="AN278">
        <v>13</v>
      </c>
      <c r="AO278">
        <v>1</v>
      </c>
      <c r="AP278">
        <v>19</v>
      </c>
      <c r="AQ278">
        <v>4</v>
      </c>
      <c r="AR278" t="s">
        <v>4644</v>
      </c>
      <c r="AS278" t="s">
        <v>4645</v>
      </c>
      <c r="AT278">
        <v>0.41899999999999998</v>
      </c>
      <c r="AU278" t="s">
        <v>65</v>
      </c>
      <c r="AV278">
        <v>32</v>
      </c>
      <c r="AW278">
        <v>5</v>
      </c>
      <c r="AX278" t="s">
        <v>4646</v>
      </c>
      <c r="AY278" t="s">
        <v>4647</v>
      </c>
      <c r="AZ278" t="s">
        <v>4648</v>
      </c>
      <c r="BA278">
        <v>4.7550000000000002E-2</v>
      </c>
      <c r="BB278">
        <v>1</v>
      </c>
      <c r="BC278" t="s">
        <v>69</v>
      </c>
      <c r="BD278">
        <v>1.0469999999999999</v>
      </c>
      <c r="BE278">
        <v>0.86399999999999999</v>
      </c>
    </row>
    <row r="279" spans="1:57">
      <c r="A279">
        <v>0</v>
      </c>
      <c r="B279">
        <v>0</v>
      </c>
      <c r="C279">
        <v>2</v>
      </c>
      <c r="D279">
        <v>3396</v>
      </c>
      <c r="E279" t="s">
        <v>4649</v>
      </c>
      <c r="F279" t="s">
        <v>5762</v>
      </c>
      <c r="G279" t="s">
        <v>62</v>
      </c>
      <c r="H279">
        <v>3363269</v>
      </c>
      <c r="I279">
        <v>3364291</v>
      </c>
      <c r="J279" t="s">
        <v>4650</v>
      </c>
      <c r="K279">
        <v>341</v>
      </c>
      <c r="L279" t="s">
        <v>59</v>
      </c>
      <c r="M279">
        <v>5</v>
      </c>
      <c r="N279" t="str">
        <f>HYPERLINK("Gene3396-zp_tree_all.dnd", "Gene3396-tree")</f>
        <v>Gene3396-tree</v>
      </c>
      <c r="O279">
        <v>4</v>
      </c>
      <c r="P279">
        <v>1</v>
      </c>
      <c r="Q279">
        <v>4</v>
      </c>
      <c r="R279">
        <v>1</v>
      </c>
      <c r="S279">
        <v>0.2</v>
      </c>
      <c r="T279" t="s">
        <v>60</v>
      </c>
      <c r="U279" t="s">
        <v>61</v>
      </c>
      <c r="V279" t="s">
        <v>62</v>
      </c>
      <c r="W279" t="s">
        <v>62</v>
      </c>
      <c r="X279">
        <v>1</v>
      </c>
      <c r="Y279">
        <v>2</v>
      </c>
      <c r="Z279">
        <v>5</v>
      </c>
      <c r="AA279">
        <v>0.28571000000000002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1</v>
      </c>
      <c r="AK279">
        <v>0</v>
      </c>
      <c r="AL279">
        <v>5</v>
      </c>
      <c r="AM279">
        <v>2</v>
      </c>
      <c r="AN279">
        <v>27</v>
      </c>
      <c r="AO279">
        <v>1</v>
      </c>
      <c r="AP279">
        <v>33</v>
      </c>
      <c r="AQ279">
        <v>7</v>
      </c>
      <c r="AR279" t="s">
        <v>4651</v>
      </c>
      <c r="AS279" t="s">
        <v>4652</v>
      </c>
      <c r="AT279">
        <v>0.88700000000000001</v>
      </c>
      <c r="AU279" t="s">
        <v>65</v>
      </c>
      <c r="AV279">
        <v>60</v>
      </c>
      <c r="AW279">
        <v>8</v>
      </c>
      <c r="AX279" t="s">
        <v>4653</v>
      </c>
      <c r="AY279" t="s">
        <v>4654</v>
      </c>
      <c r="AZ279" t="s">
        <v>4655</v>
      </c>
      <c r="BA279">
        <v>3.8949999999999999E-2</v>
      </c>
      <c r="BB279">
        <v>1</v>
      </c>
      <c r="BC279" t="s">
        <v>69</v>
      </c>
      <c r="BD279">
        <v>1.129</v>
      </c>
      <c r="BE279">
        <v>0.63</v>
      </c>
    </row>
    <row r="280" spans="1:57">
      <c r="A280">
        <v>0</v>
      </c>
      <c r="B280">
        <v>0</v>
      </c>
      <c r="C280">
        <v>0</v>
      </c>
      <c r="D280">
        <v>3397</v>
      </c>
      <c r="E280" t="s">
        <v>4656</v>
      </c>
      <c r="F280" t="s">
        <v>5762</v>
      </c>
      <c r="G280" t="s">
        <v>62</v>
      </c>
      <c r="H280">
        <v>3364621</v>
      </c>
      <c r="I280">
        <v>3364962</v>
      </c>
      <c r="J280" t="s">
        <v>118</v>
      </c>
      <c r="K280">
        <v>114</v>
      </c>
      <c r="L280" t="s">
        <v>83</v>
      </c>
      <c r="M280">
        <v>4</v>
      </c>
      <c r="N280" t="str">
        <f>HYPERLINK("Gene3397-zp_tree_all.dnd", "Gene3397-tree")</f>
        <v>Gene3397-tree</v>
      </c>
      <c r="O280">
        <v>3</v>
      </c>
      <c r="P280">
        <v>1</v>
      </c>
      <c r="Q280">
        <v>3</v>
      </c>
      <c r="R280">
        <v>1</v>
      </c>
      <c r="S280">
        <v>0.25</v>
      </c>
      <c r="T280" t="s">
        <v>84</v>
      </c>
      <c r="U280" t="s">
        <v>61</v>
      </c>
      <c r="V280" t="s">
        <v>62</v>
      </c>
      <c r="W280" t="s">
        <v>62</v>
      </c>
      <c r="X280">
        <v>0</v>
      </c>
      <c r="Y280">
        <v>0</v>
      </c>
      <c r="Z280">
        <v>3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3</v>
      </c>
      <c r="AK280">
        <v>0</v>
      </c>
      <c r="AL280">
        <v>3</v>
      </c>
      <c r="AM280">
        <v>1</v>
      </c>
      <c r="AN280">
        <v>14</v>
      </c>
      <c r="AO280">
        <v>3</v>
      </c>
      <c r="AP280">
        <v>1</v>
      </c>
      <c r="AQ280">
        <v>0</v>
      </c>
      <c r="AR280" t="s">
        <v>4657</v>
      </c>
      <c r="AS280" t="s">
        <v>64</v>
      </c>
      <c r="AT280">
        <v>0.63400000000000001</v>
      </c>
      <c r="AU280" t="s">
        <v>65</v>
      </c>
      <c r="AV280">
        <v>15</v>
      </c>
      <c r="AW280">
        <v>3</v>
      </c>
      <c r="AX280" t="s">
        <v>4658</v>
      </c>
      <c r="AY280" t="s">
        <v>4659</v>
      </c>
      <c r="AZ280" t="s">
        <v>4660</v>
      </c>
      <c r="BA280">
        <v>5.0790000000000002E-2</v>
      </c>
      <c r="BB280">
        <v>1</v>
      </c>
      <c r="BC280" t="s">
        <v>69</v>
      </c>
      <c r="BD280">
        <v>-0.67800000000000005</v>
      </c>
      <c r="BE280">
        <v>-0.67800000000000005</v>
      </c>
    </row>
    <row r="281" spans="1:57">
      <c r="A281">
        <v>0</v>
      </c>
      <c r="B281">
        <v>0</v>
      </c>
      <c r="C281">
        <v>0</v>
      </c>
      <c r="D281">
        <v>3398</v>
      </c>
      <c r="E281" t="s">
        <v>4661</v>
      </c>
      <c r="F281" t="s">
        <v>5762</v>
      </c>
      <c r="G281" t="s">
        <v>62</v>
      </c>
      <c r="H281">
        <v>3365072</v>
      </c>
      <c r="I281">
        <v>3365389</v>
      </c>
      <c r="J281" t="s">
        <v>4213</v>
      </c>
      <c r="K281">
        <v>106</v>
      </c>
      <c r="L281" t="s">
        <v>112</v>
      </c>
      <c r="M281">
        <v>4</v>
      </c>
      <c r="N281" t="str">
        <f>HYPERLINK("Gene3398-zp_tree_all.dnd", "Gene3398-tree")</f>
        <v>Gene3398-tree</v>
      </c>
    </row>
    <row r="282" spans="1:57">
      <c r="A282">
        <v>0</v>
      </c>
      <c r="B282">
        <v>0</v>
      </c>
      <c r="C282">
        <v>0</v>
      </c>
      <c r="D282">
        <v>3400</v>
      </c>
      <c r="E282" t="s">
        <v>4662</v>
      </c>
      <c r="F282" t="s">
        <v>5762</v>
      </c>
      <c r="G282" t="s">
        <v>62</v>
      </c>
      <c r="H282">
        <v>3365834</v>
      </c>
      <c r="I282">
        <v>3366067</v>
      </c>
      <c r="J282" t="s">
        <v>118</v>
      </c>
      <c r="K282">
        <v>78</v>
      </c>
      <c r="L282" t="s">
        <v>59</v>
      </c>
      <c r="M282">
        <v>5</v>
      </c>
      <c r="N282" t="str">
        <f>HYPERLINK("Gene3400-zp_tree_all.dnd", "Gene3400-tree")</f>
        <v>Gene3400-tree</v>
      </c>
    </row>
    <row r="283" spans="1:57">
      <c r="A283">
        <v>0</v>
      </c>
      <c r="B283">
        <v>0</v>
      </c>
      <c r="C283">
        <v>0</v>
      </c>
      <c r="D283">
        <v>3401</v>
      </c>
      <c r="E283" t="s">
        <v>4663</v>
      </c>
      <c r="F283" t="s">
        <v>5762</v>
      </c>
      <c r="G283" t="s">
        <v>62</v>
      </c>
      <c r="H283">
        <v>3366126</v>
      </c>
      <c r="I283">
        <v>3366506</v>
      </c>
      <c r="J283" t="s">
        <v>4664</v>
      </c>
      <c r="K283">
        <v>127</v>
      </c>
      <c r="L283" t="s">
        <v>59</v>
      </c>
      <c r="M283">
        <v>5</v>
      </c>
      <c r="N283" t="str">
        <f>HYPERLINK("Gene3401-zp_tree_all.dnd", "Gene3401-tree")</f>
        <v>Gene3401-tree</v>
      </c>
      <c r="O283">
        <v>4</v>
      </c>
      <c r="P283">
        <v>0</v>
      </c>
      <c r="Q283">
        <v>4</v>
      </c>
      <c r="R283">
        <v>0</v>
      </c>
      <c r="S283">
        <v>0</v>
      </c>
      <c r="T283" t="s">
        <v>60</v>
      </c>
      <c r="U283" t="s">
        <v>62</v>
      </c>
      <c r="V283" t="s">
        <v>62</v>
      </c>
      <c r="W283" t="s">
        <v>62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3</v>
      </c>
      <c r="AM283">
        <v>1</v>
      </c>
      <c r="AN283">
        <v>8</v>
      </c>
      <c r="AO283">
        <v>0</v>
      </c>
      <c r="AP283">
        <v>6</v>
      </c>
      <c r="AQ283">
        <v>0</v>
      </c>
      <c r="AR283" t="s">
        <v>64</v>
      </c>
      <c r="AS283" t="s">
        <v>64</v>
      </c>
      <c r="AT283">
        <v>0</v>
      </c>
      <c r="AU283" t="s">
        <v>65</v>
      </c>
      <c r="AV283">
        <v>14</v>
      </c>
      <c r="AW283">
        <v>0</v>
      </c>
      <c r="AX283" t="s">
        <v>4665</v>
      </c>
      <c r="AY283" t="s">
        <v>4666</v>
      </c>
      <c r="AZ283" t="s">
        <v>64</v>
      </c>
      <c r="BA283">
        <v>0</v>
      </c>
      <c r="BB283">
        <v>1</v>
      </c>
      <c r="BC283" t="s">
        <v>69</v>
      </c>
      <c r="BD283">
        <v>8.6999999999999994E-2</v>
      </c>
      <c r="BE283">
        <v>8.6999999999999994E-2</v>
      </c>
    </row>
    <row r="284" spans="1:57">
      <c r="A284">
        <v>0</v>
      </c>
      <c r="B284">
        <v>0</v>
      </c>
      <c r="C284">
        <v>0</v>
      </c>
      <c r="D284">
        <v>3402</v>
      </c>
      <c r="E284" t="s">
        <v>4667</v>
      </c>
      <c r="F284" t="s">
        <v>5762</v>
      </c>
      <c r="G284" t="s">
        <v>62</v>
      </c>
      <c r="H284">
        <v>3366576</v>
      </c>
      <c r="I284">
        <v>3366929</v>
      </c>
      <c r="J284" t="s">
        <v>4668</v>
      </c>
      <c r="K284">
        <v>118</v>
      </c>
      <c r="L284" t="s">
        <v>59</v>
      </c>
      <c r="M284">
        <v>5</v>
      </c>
      <c r="N284" t="str">
        <f>HYPERLINK("Gene3402-zp_tree_all.dnd", "Gene3402-tree")</f>
        <v>Gene3402-tree</v>
      </c>
      <c r="O284">
        <v>5</v>
      </c>
      <c r="P284">
        <v>0</v>
      </c>
      <c r="Q284">
        <v>5</v>
      </c>
      <c r="R284">
        <v>0</v>
      </c>
      <c r="S284">
        <v>0</v>
      </c>
      <c r="T284" t="s">
        <v>98</v>
      </c>
      <c r="U284" t="s">
        <v>62</v>
      </c>
      <c r="V284" t="s">
        <v>62</v>
      </c>
      <c r="W284" t="s">
        <v>62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4</v>
      </c>
      <c r="AM284">
        <v>2</v>
      </c>
      <c r="AN284">
        <v>6</v>
      </c>
      <c r="AO284">
        <v>0</v>
      </c>
      <c r="AP284">
        <v>12</v>
      </c>
      <c r="AQ284">
        <v>0</v>
      </c>
      <c r="AR284" t="s">
        <v>64</v>
      </c>
      <c r="AS284" t="s">
        <v>64</v>
      </c>
      <c r="AT284">
        <v>0</v>
      </c>
      <c r="AU284" t="s">
        <v>65</v>
      </c>
      <c r="AV284">
        <v>18</v>
      </c>
      <c r="AW284">
        <v>0</v>
      </c>
      <c r="AX284" t="s">
        <v>4669</v>
      </c>
      <c r="AY284" t="s">
        <v>4670</v>
      </c>
      <c r="AZ284" t="s">
        <v>64</v>
      </c>
      <c r="BA284">
        <v>0</v>
      </c>
      <c r="BB284">
        <v>1</v>
      </c>
      <c r="BC284" t="s">
        <v>69</v>
      </c>
      <c r="BD284">
        <v>0.81799999999999995</v>
      </c>
      <c r="BE284">
        <v>0.81799999999999995</v>
      </c>
    </row>
    <row r="285" spans="1:57">
      <c r="A285">
        <v>0</v>
      </c>
      <c r="B285">
        <v>0</v>
      </c>
      <c r="C285">
        <v>0</v>
      </c>
      <c r="D285">
        <v>3416</v>
      </c>
      <c r="E285" t="s">
        <v>4688</v>
      </c>
      <c r="F285" t="s">
        <v>5762</v>
      </c>
      <c r="G285" t="s">
        <v>62</v>
      </c>
      <c r="H285">
        <v>3378803</v>
      </c>
      <c r="I285">
        <v>3379087</v>
      </c>
      <c r="J285" t="s">
        <v>118</v>
      </c>
      <c r="K285">
        <v>95</v>
      </c>
      <c r="L285" t="s">
        <v>59</v>
      </c>
      <c r="M285">
        <v>5</v>
      </c>
      <c r="N285" t="str">
        <f>HYPERLINK("Gene3416-zp_tree_all.dnd", "Gene3416-tree")</f>
        <v>Gene3416-tree</v>
      </c>
      <c r="O285">
        <v>4</v>
      </c>
      <c r="P285">
        <v>1</v>
      </c>
      <c r="Q285">
        <v>3</v>
      </c>
      <c r="R285">
        <v>1</v>
      </c>
      <c r="S285">
        <v>0.25</v>
      </c>
      <c r="T285" t="s">
        <v>119</v>
      </c>
      <c r="U285" t="s">
        <v>61</v>
      </c>
      <c r="V285" t="s">
        <v>62</v>
      </c>
      <c r="W285" t="s">
        <v>62</v>
      </c>
      <c r="X285">
        <v>0</v>
      </c>
      <c r="Y285">
        <v>0</v>
      </c>
      <c r="Z285">
        <v>4</v>
      </c>
      <c r="AA285">
        <v>0</v>
      </c>
      <c r="AB285">
        <v>0</v>
      </c>
      <c r="AC285">
        <v>0</v>
      </c>
      <c r="AD285">
        <v>0</v>
      </c>
      <c r="AE285">
        <v>3</v>
      </c>
      <c r="AF285">
        <v>0</v>
      </c>
      <c r="AG285">
        <v>0</v>
      </c>
      <c r="AH285">
        <v>0</v>
      </c>
      <c r="AI285">
        <v>0</v>
      </c>
      <c r="AJ285">
        <v>1</v>
      </c>
      <c r="AK285">
        <v>0</v>
      </c>
      <c r="AL285">
        <v>4</v>
      </c>
      <c r="AM285">
        <v>1</v>
      </c>
      <c r="AN285">
        <v>8</v>
      </c>
      <c r="AO285">
        <v>1</v>
      </c>
      <c r="AP285">
        <v>3</v>
      </c>
      <c r="AQ285">
        <v>3</v>
      </c>
      <c r="AR285" t="s">
        <v>4689</v>
      </c>
      <c r="AS285" t="s">
        <v>4690</v>
      </c>
      <c r="AT285">
        <v>4.4569999999999999</v>
      </c>
      <c r="AU285" t="s">
        <v>65</v>
      </c>
      <c r="AV285">
        <v>11</v>
      </c>
      <c r="AW285">
        <v>4</v>
      </c>
      <c r="AX285" t="s">
        <v>4691</v>
      </c>
      <c r="AY285" t="s">
        <v>4692</v>
      </c>
      <c r="AZ285" t="s">
        <v>4693</v>
      </c>
      <c r="BA285">
        <v>0.10298</v>
      </c>
      <c r="BB285">
        <v>1</v>
      </c>
      <c r="BC285" t="s">
        <v>69</v>
      </c>
      <c r="BD285">
        <v>0.73799999999999999</v>
      </c>
      <c r="BE285">
        <v>0.30399999999999999</v>
      </c>
    </row>
    <row r="286" spans="1:57">
      <c r="A286">
        <v>0</v>
      </c>
      <c r="B286">
        <v>0</v>
      </c>
      <c r="C286">
        <v>0</v>
      </c>
      <c r="D286">
        <v>3417</v>
      </c>
      <c r="E286" t="s">
        <v>4694</v>
      </c>
      <c r="F286" t="s">
        <v>5762</v>
      </c>
      <c r="G286" t="s">
        <v>62</v>
      </c>
      <c r="H286">
        <v>3379115</v>
      </c>
      <c r="I286">
        <v>3379939</v>
      </c>
      <c r="J286" t="s">
        <v>4695</v>
      </c>
      <c r="K286">
        <v>275</v>
      </c>
      <c r="L286" t="s">
        <v>59</v>
      </c>
      <c r="M286">
        <v>5</v>
      </c>
      <c r="N286" t="str">
        <f>HYPERLINK("Gene3417-zp_tree_all.dnd", "Gene3417-tree")</f>
        <v>Gene3417-tree</v>
      </c>
      <c r="O286">
        <v>3</v>
      </c>
      <c r="P286">
        <v>2</v>
      </c>
      <c r="Q286">
        <v>3</v>
      </c>
      <c r="R286">
        <v>2</v>
      </c>
      <c r="S286">
        <v>0.4</v>
      </c>
      <c r="T286" t="s">
        <v>84</v>
      </c>
      <c r="U286" t="s">
        <v>135</v>
      </c>
      <c r="V286" t="s">
        <v>62</v>
      </c>
      <c r="W286" t="s">
        <v>62</v>
      </c>
      <c r="X286">
        <v>0</v>
      </c>
      <c r="Y286">
        <v>0</v>
      </c>
      <c r="Z286">
        <v>3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2</v>
      </c>
      <c r="AK286">
        <v>0</v>
      </c>
      <c r="AL286">
        <v>4</v>
      </c>
      <c r="AM286">
        <v>2</v>
      </c>
      <c r="AN286">
        <v>19</v>
      </c>
      <c r="AO286">
        <v>2</v>
      </c>
      <c r="AP286">
        <v>25</v>
      </c>
      <c r="AQ286">
        <v>1</v>
      </c>
      <c r="AR286" t="s">
        <v>4696</v>
      </c>
      <c r="AS286" t="s">
        <v>4697</v>
      </c>
      <c r="AT286">
        <v>0.72499999999999998</v>
      </c>
      <c r="AU286" t="s">
        <v>65</v>
      </c>
      <c r="AV286">
        <v>44</v>
      </c>
      <c r="AW286">
        <v>3</v>
      </c>
      <c r="AX286" t="s">
        <v>4698</v>
      </c>
      <c r="AY286" t="s">
        <v>4699</v>
      </c>
      <c r="AZ286" t="s">
        <v>4700</v>
      </c>
      <c r="BA286">
        <v>2.1389999999999999E-2</v>
      </c>
      <c r="BB286">
        <v>1</v>
      </c>
      <c r="BC286" t="s">
        <v>69</v>
      </c>
      <c r="BD286">
        <v>0.83599999999999997</v>
      </c>
      <c r="BE286">
        <v>-0.06</v>
      </c>
    </row>
    <row r="287" spans="1:57">
      <c r="A287">
        <v>0</v>
      </c>
      <c r="B287">
        <v>0</v>
      </c>
      <c r="C287">
        <v>0</v>
      </c>
      <c r="D287">
        <v>3426</v>
      </c>
      <c r="E287" t="s">
        <v>4714</v>
      </c>
      <c r="F287" t="s">
        <v>5762</v>
      </c>
      <c r="G287" t="s">
        <v>62</v>
      </c>
      <c r="H287">
        <v>3387784</v>
      </c>
      <c r="I287">
        <v>3387945</v>
      </c>
      <c r="J287" t="s">
        <v>4715</v>
      </c>
      <c r="K287">
        <v>54</v>
      </c>
      <c r="L287" t="s">
        <v>59</v>
      </c>
      <c r="M287">
        <v>5</v>
      </c>
      <c r="N287" t="str">
        <f>HYPERLINK("Gene3426-zp_tree_all.dnd", "Gene3426-tree")</f>
        <v>Gene3426-tree</v>
      </c>
    </row>
    <row r="288" spans="1:57">
      <c r="A288">
        <v>0</v>
      </c>
      <c r="B288">
        <v>0</v>
      </c>
      <c r="C288">
        <v>0</v>
      </c>
      <c r="D288">
        <v>3428</v>
      </c>
      <c r="E288" t="s">
        <v>4722</v>
      </c>
      <c r="F288" t="s">
        <v>5762</v>
      </c>
      <c r="G288" t="s">
        <v>62</v>
      </c>
      <c r="H288">
        <v>3389027</v>
      </c>
      <c r="I288">
        <v>3390412</v>
      </c>
      <c r="J288" t="s">
        <v>4723</v>
      </c>
      <c r="K288">
        <v>462</v>
      </c>
      <c r="L288" t="s">
        <v>59</v>
      </c>
      <c r="M288">
        <v>5</v>
      </c>
      <c r="N288" t="str">
        <f>HYPERLINK("Gene3428-zp_tree_all.dnd", "Gene3428-tree")</f>
        <v>Gene3428-tree</v>
      </c>
      <c r="O288">
        <v>4</v>
      </c>
      <c r="P288">
        <v>1</v>
      </c>
      <c r="Q288">
        <v>4</v>
      </c>
      <c r="R288">
        <v>1</v>
      </c>
      <c r="S288">
        <v>0.2</v>
      </c>
      <c r="T288" t="s">
        <v>60</v>
      </c>
      <c r="U288" t="s">
        <v>61</v>
      </c>
      <c r="V288" t="s">
        <v>62</v>
      </c>
      <c r="W288" t="s">
        <v>62</v>
      </c>
      <c r="X288">
        <v>0</v>
      </c>
      <c r="Y288">
        <v>0</v>
      </c>
      <c r="Z288">
        <v>3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1</v>
      </c>
      <c r="AK288">
        <v>0</v>
      </c>
      <c r="AL288">
        <v>4</v>
      </c>
      <c r="AM288">
        <v>2</v>
      </c>
      <c r="AN288">
        <v>36</v>
      </c>
      <c r="AO288">
        <v>1</v>
      </c>
      <c r="AP288">
        <v>37</v>
      </c>
      <c r="AQ288">
        <v>2</v>
      </c>
      <c r="AR288" t="s">
        <v>4724</v>
      </c>
      <c r="AS288" t="s">
        <v>4725</v>
      </c>
      <c r="AT288">
        <v>0.29599999999999999</v>
      </c>
      <c r="AU288" t="s">
        <v>65</v>
      </c>
      <c r="AV288">
        <v>73</v>
      </c>
      <c r="AW288">
        <v>3</v>
      </c>
      <c r="AX288" t="s">
        <v>4726</v>
      </c>
      <c r="AY288" t="s">
        <v>4727</v>
      </c>
      <c r="AZ288" t="s">
        <v>4728</v>
      </c>
      <c r="BA288">
        <v>1.159E-2</v>
      </c>
      <c r="BB288">
        <v>1</v>
      </c>
      <c r="BC288" t="s">
        <v>69</v>
      </c>
      <c r="BD288">
        <v>0.53500000000000003</v>
      </c>
      <c r="BE288">
        <v>0.316</v>
      </c>
    </row>
    <row r="289" spans="1:57">
      <c r="A289">
        <v>0</v>
      </c>
      <c r="B289">
        <v>0</v>
      </c>
      <c r="C289">
        <v>0</v>
      </c>
      <c r="D289">
        <v>3429</v>
      </c>
      <c r="E289" t="s">
        <v>4729</v>
      </c>
      <c r="F289" t="s">
        <v>5762</v>
      </c>
      <c r="G289" t="s">
        <v>62</v>
      </c>
      <c r="H289">
        <v>3390482</v>
      </c>
      <c r="I289">
        <v>3390664</v>
      </c>
      <c r="J289" t="s">
        <v>118</v>
      </c>
      <c r="K289">
        <v>61</v>
      </c>
      <c r="L289" t="s">
        <v>59</v>
      </c>
      <c r="M289">
        <v>5</v>
      </c>
      <c r="N289" t="str">
        <f>HYPERLINK("Gene3429-zp_tree_all.dnd", "Gene3429-tree")</f>
        <v>Gene3429-tree</v>
      </c>
      <c r="O289">
        <v>2</v>
      </c>
      <c r="P289">
        <v>3</v>
      </c>
      <c r="Q289">
        <v>2</v>
      </c>
      <c r="R289">
        <v>3</v>
      </c>
      <c r="S289">
        <v>0.6</v>
      </c>
      <c r="T289" t="s">
        <v>135</v>
      </c>
      <c r="U289" t="s">
        <v>84</v>
      </c>
      <c r="V289" t="s">
        <v>62</v>
      </c>
      <c r="W289" t="s">
        <v>62</v>
      </c>
      <c r="X289">
        <v>0</v>
      </c>
      <c r="Y289">
        <v>0</v>
      </c>
      <c r="Z289">
        <v>3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3</v>
      </c>
      <c r="AK289">
        <v>0</v>
      </c>
      <c r="AL289">
        <v>3</v>
      </c>
      <c r="AM289">
        <v>2</v>
      </c>
      <c r="AN289">
        <v>3</v>
      </c>
      <c r="AO289">
        <v>3</v>
      </c>
      <c r="AP289">
        <v>5</v>
      </c>
      <c r="AQ289">
        <v>0</v>
      </c>
      <c r="AR289" t="s">
        <v>4730</v>
      </c>
      <c r="AS289" t="s">
        <v>64</v>
      </c>
      <c r="AT289">
        <v>2.569</v>
      </c>
      <c r="AU289" t="s">
        <v>286</v>
      </c>
      <c r="AV289">
        <v>8</v>
      </c>
      <c r="AW289">
        <v>3</v>
      </c>
      <c r="AX289" t="s">
        <v>4731</v>
      </c>
      <c r="AY289" t="s">
        <v>4732</v>
      </c>
      <c r="AZ289" t="s">
        <v>4733</v>
      </c>
      <c r="BA289">
        <v>7.7090000000000006E-2</v>
      </c>
      <c r="BB289">
        <v>1</v>
      </c>
      <c r="BC289" t="s">
        <v>69</v>
      </c>
      <c r="BD289">
        <v>0.16400000000000001</v>
      </c>
      <c r="BE289">
        <v>0.16400000000000001</v>
      </c>
    </row>
    <row r="290" spans="1:57">
      <c r="A290">
        <v>0</v>
      </c>
      <c r="B290">
        <v>0</v>
      </c>
      <c r="C290">
        <v>0</v>
      </c>
      <c r="D290">
        <v>3438</v>
      </c>
      <c r="E290" t="s">
        <v>4734</v>
      </c>
      <c r="F290" t="s">
        <v>5762</v>
      </c>
      <c r="G290" t="s">
        <v>62</v>
      </c>
      <c r="H290">
        <v>3398553</v>
      </c>
      <c r="I290">
        <v>3398930</v>
      </c>
      <c r="J290" t="s">
        <v>4735</v>
      </c>
      <c r="K290">
        <v>126</v>
      </c>
      <c r="L290" t="s">
        <v>83</v>
      </c>
      <c r="M290">
        <v>4</v>
      </c>
      <c r="N290" t="str">
        <f>HYPERLINK("Gene3438-zp_tree_all.dnd", "Gene3438-tree")</f>
        <v>Gene3438-tree</v>
      </c>
    </row>
    <row r="291" spans="1:57">
      <c r="A291">
        <v>0</v>
      </c>
      <c r="B291">
        <v>0</v>
      </c>
      <c r="C291">
        <v>0</v>
      </c>
      <c r="D291">
        <v>3461</v>
      </c>
      <c r="E291" t="s">
        <v>4736</v>
      </c>
      <c r="F291" t="s">
        <v>5762</v>
      </c>
      <c r="G291" t="s">
        <v>62</v>
      </c>
      <c r="H291">
        <v>3421468</v>
      </c>
      <c r="I291">
        <v>3421605</v>
      </c>
      <c r="J291" t="s">
        <v>172</v>
      </c>
      <c r="K291">
        <v>46</v>
      </c>
      <c r="L291" t="s">
        <v>59</v>
      </c>
      <c r="M291">
        <v>5</v>
      </c>
      <c r="N291" t="str">
        <f>HYPERLINK("Gene3461-zp_tree_all.dnd", "Gene3461-tree")</f>
        <v>Gene3461-tree</v>
      </c>
    </row>
    <row r="292" spans="1:57">
      <c r="A292">
        <v>0</v>
      </c>
      <c r="B292">
        <v>0</v>
      </c>
      <c r="C292">
        <v>2</v>
      </c>
      <c r="D292">
        <v>3467</v>
      </c>
      <c r="E292" t="s">
        <v>4737</v>
      </c>
      <c r="F292" t="s">
        <v>5762</v>
      </c>
      <c r="G292" t="s">
        <v>62</v>
      </c>
      <c r="H292">
        <v>3426752</v>
      </c>
      <c r="I292">
        <v>3427579</v>
      </c>
      <c r="J292" t="s">
        <v>4738</v>
      </c>
      <c r="K292">
        <v>276</v>
      </c>
      <c r="L292" t="s">
        <v>83</v>
      </c>
      <c r="M292">
        <v>4</v>
      </c>
      <c r="N292" t="str">
        <f>HYPERLINK("Gene3467-zp_tree_all.dnd", "Gene3467-tree")</f>
        <v>Gene3467-tree</v>
      </c>
      <c r="O292">
        <v>1</v>
      </c>
      <c r="P292">
        <v>3</v>
      </c>
      <c r="Q292">
        <v>1</v>
      </c>
      <c r="R292">
        <v>3</v>
      </c>
      <c r="S292">
        <v>0.75</v>
      </c>
      <c r="T292" t="s">
        <v>61</v>
      </c>
      <c r="U292" t="s">
        <v>84</v>
      </c>
      <c r="V292" t="s">
        <v>62</v>
      </c>
      <c r="W292" t="s">
        <v>62</v>
      </c>
      <c r="X292">
        <v>1</v>
      </c>
      <c r="Y292">
        <v>2</v>
      </c>
      <c r="Z292">
        <v>4</v>
      </c>
      <c r="AA292">
        <v>0.33333000000000002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2</v>
      </c>
      <c r="AI292">
        <v>2</v>
      </c>
      <c r="AJ292">
        <v>4</v>
      </c>
      <c r="AK292">
        <v>0.33333000000000002</v>
      </c>
      <c r="AL292">
        <v>4</v>
      </c>
      <c r="AM292">
        <v>1</v>
      </c>
      <c r="AN292">
        <v>36</v>
      </c>
      <c r="AO292">
        <v>6</v>
      </c>
      <c r="AP292">
        <v>3</v>
      </c>
      <c r="AQ292">
        <v>0</v>
      </c>
      <c r="AR292" t="s">
        <v>4739</v>
      </c>
      <c r="AS292" t="s">
        <v>64</v>
      </c>
      <c r="AT292">
        <v>1.3839999999999999</v>
      </c>
      <c r="AU292" t="s">
        <v>65</v>
      </c>
      <c r="AV292">
        <v>39</v>
      </c>
      <c r="AW292">
        <v>6</v>
      </c>
      <c r="AX292" t="s">
        <v>4740</v>
      </c>
      <c r="AY292" t="s">
        <v>4741</v>
      </c>
      <c r="AZ292" t="s">
        <v>4742</v>
      </c>
      <c r="BA292">
        <v>3.705E-2</v>
      </c>
      <c r="BB292">
        <v>1</v>
      </c>
      <c r="BC292" t="s">
        <v>69</v>
      </c>
      <c r="BD292">
        <v>-0.505</v>
      </c>
      <c r="BE292">
        <v>-0.72199999999999998</v>
      </c>
    </row>
    <row r="293" spans="1:57">
      <c r="A293">
        <v>0</v>
      </c>
      <c r="B293">
        <v>0</v>
      </c>
      <c r="C293">
        <v>0</v>
      </c>
      <c r="D293">
        <v>3478</v>
      </c>
      <c r="E293" t="s">
        <v>4750</v>
      </c>
      <c r="F293" t="s">
        <v>5762</v>
      </c>
      <c r="G293" t="s">
        <v>62</v>
      </c>
      <c r="H293">
        <v>3443616</v>
      </c>
      <c r="I293">
        <v>3443822</v>
      </c>
      <c r="J293" t="s">
        <v>4751</v>
      </c>
      <c r="K293">
        <v>69</v>
      </c>
      <c r="L293" t="s">
        <v>112</v>
      </c>
      <c r="M293">
        <v>4</v>
      </c>
      <c r="N293" t="str">
        <f>HYPERLINK("Gene3478-zp_tree_all.dnd", "Gene3478-tree")</f>
        <v>Gene3478-tree</v>
      </c>
      <c r="O293">
        <v>3</v>
      </c>
      <c r="P293">
        <v>1</v>
      </c>
      <c r="Q293">
        <v>3</v>
      </c>
      <c r="R293">
        <v>1</v>
      </c>
      <c r="S293">
        <v>0.25</v>
      </c>
      <c r="T293" t="s">
        <v>84</v>
      </c>
      <c r="U293" t="s">
        <v>61</v>
      </c>
      <c r="V293" t="s">
        <v>62</v>
      </c>
      <c r="W293" t="s">
        <v>62</v>
      </c>
      <c r="X293">
        <v>0</v>
      </c>
      <c r="Y293">
        <v>0</v>
      </c>
      <c r="Z293">
        <v>2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2</v>
      </c>
      <c r="AK293">
        <v>0</v>
      </c>
      <c r="AL293">
        <v>4</v>
      </c>
      <c r="AM293">
        <v>1</v>
      </c>
      <c r="AN293">
        <v>10</v>
      </c>
      <c r="AO293">
        <v>2</v>
      </c>
      <c r="AP293">
        <v>1</v>
      </c>
      <c r="AQ293">
        <v>0</v>
      </c>
      <c r="AR293" t="s">
        <v>4752</v>
      </c>
      <c r="AS293" t="s">
        <v>64</v>
      </c>
      <c r="AT293">
        <v>0.53400000000000003</v>
      </c>
      <c r="AU293" t="s">
        <v>65</v>
      </c>
      <c r="AV293">
        <v>11</v>
      </c>
      <c r="AW293">
        <v>2</v>
      </c>
      <c r="AX293" t="s">
        <v>4753</v>
      </c>
      <c r="AY293" t="s">
        <v>4754</v>
      </c>
      <c r="AZ293" t="s">
        <v>4755</v>
      </c>
      <c r="BA293">
        <v>4.9020000000000001E-2</v>
      </c>
      <c r="BB293">
        <v>1</v>
      </c>
      <c r="BC293" t="s">
        <v>69</v>
      </c>
      <c r="BD293">
        <v>0.27900000000000003</v>
      </c>
      <c r="BE293">
        <v>-0.55800000000000005</v>
      </c>
    </row>
    <row r="294" spans="1:57">
      <c r="A294">
        <v>0</v>
      </c>
      <c r="B294">
        <v>0</v>
      </c>
      <c r="C294">
        <v>0</v>
      </c>
      <c r="D294">
        <v>3479</v>
      </c>
      <c r="E294" t="s">
        <v>4756</v>
      </c>
      <c r="F294" t="s">
        <v>5762</v>
      </c>
      <c r="G294" t="s">
        <v>62</v>
      </c>
      <c r="H294">
        <v>3443899</v>
      </c>
      <c r="I294">
        <v>3444201</v>
      </c>
      <c r="J294" t="s">
        <v>4757</v>
      </c>
      <c r="K294">
        <v>101</v>
      </c>
      <c r="L294" t="s">
        <v>112</v>
      </c>
      <c r="M294">
        <v>4</v>
      </c>
      <c r="N294" t="str">
        <f>HYPERLINK("Gene3479-zp_tree_all.dnd", "Gene3479-tree")</f>
        <v>Gene3479-tree</v>
      </c>
      <c r="O294">
        <v>3</v>
      </c>
      <c r="P294">
        <v>1</v>
      </c>
      <c r="Q294">
        <v>3</v>
      </c>
      <c r="R294">
        <v>1</v>
      </c>
      <c r="S294">
        <v>0.25</v>
      </c>
      <c r="T294" t="s">
        <v>84</v>
      </c>
      <c r="U294" t="s">
        <v>61</v>
      </c>
      <c r="V294" t="s">
        <v>62</v>
      </c>
      <c r="W294" t="s">
        <v>62</v>
      </c>
      <c r="X294">
        <v>0</v>
      </c>
      <c r="Y294">
        <v>0</v>
      </c>
      <c r="Z294">
        <v>2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2</v>
      </c>
      <c r="AK294">
        <v>0</v>
      </c>
      <c r="AL294">
        <v>4</v>
      </c>
      <c r="AM294">
        <v>1</v>
      </c>
      <c r="AN294">
        <v>14</v>
      </c>
      <c r="AO294">
        <v>2</v>
      </c>
      <c r="AP294">
        <v>4</v>
      </c>
      <c r="AQ294">
        <v>0</v>
      </c>
      <c r="AR294" t="s">
        <v>4758</v>
      </c>
      <c r="AS294" t="s">
        <v>64</v>
      </c>
      <c r="AT294">
        <v>0.57799999999999996</v>
      </c>
      <c r="AU294" t="s">
        <v>65</v>
      </c>
      <c r="AV294">
        <v>18</v>
      </c>
      <c r="AW294">
        <v>2</v>
      </c>
      <c r="AX294" t="s">
        <v>4759</v>
      </c>
      <c r="AY294" t="s">
        <v>4760</v>
      </c>
      <c r="AZ294" t="s">
        <v>4761</v>
      </c>
      <c r="BA294">
        <v>2.3390000000000001E-2</v>
      </c>
      <c r="BB294">
        <v>1</v>
      </c>
      <c r="BC294" t="s">
        <v>69</v>
      </c>
      <c r="BD294">
        <v>-0.03</v>
      </c>
      <c r="BE294">
        <v>-0.03</v>
      </c>
    </row>
    <row r="295" spans="1:57">
      <c r="A295">
        <v>0</v>
      </c>
      <c r="B295">
        <v>0</v>
      </c>
      <c r="C295">
        <v>0</v>
      </c>
      <c r="D295">
        <v>3486</v>
      </c>
      <c r="E295" t="s">
        <v>4762</v>
      </c>
      <c r="F295" t="s">
        <v>5762</v>
      </c>
      <c r="G295" t="s">
        <v>62</v>
      </c>
      <c r="H295">
        <v>3449735</v>
      </c>
      <c r="I295">
        <v>3450526</v>
      </c>
      <c r="J295" t="s">
        <v>4763</v>
      </c>
      <c r="K295">
        <v>264</v>
      </c>
      <c r="L295" t="s">
        <v>59</v>
      </c>
      <c r="M295">
        <v>5</v>
      </c>
      <c r="N295" t="str">
        <f>HYPERLINK("Gene3486-zp_tree_all.dnd", "Gene3486-tree")</f>
        <v>Gene3486-tree</v>
      </c>
      <c r="O295">
        <v>3</v>
      </c>
      <c r="P295">
        <v>2</v>
      </c>
      <c r="Q295">
        <v>3</v>
      </c>
      <c r="R295">
        <v>2</v>
      </c>
      <c r="S295">
        <v>0.4</v>
      </c>
      <c r="T295" t="s">
        <v>84</v>
      </c>
      <c r="U295" t="s">
        <v>135</v>
      </c>
      <c r="V295" t="s">
        <v>62</v>
      </c>
      <c r="W295" t="s">
        <v>62</v>
      </c>
      <c r="X295">
        <v>0</v>
      </c>
      <c r="Y295">
        <v>0</v>
      </c>
      <c r="Z295">
        <v>8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5</v>
      </c>
      <c r="AK295">
        <v>0</v>
      </c>
      <c r="AL295">
        <v>5</v>
      </c>
      <c r="AM295">
        <v>2</v>
      </c>
      <c r="AN295">
        <v>41</v>
      </c>
      <c r="AO295">
        <v>5</v>
      </c>
      <c r="AP295">
        <v>11</v>
      </c>
      <c r="AQ295">
        <v>3</v>
      </c>
      <c r="AR295" t="s">
        <v>4764</v>
      </c>
      <c r="AS295" t="s">
        <v>4765</v>
      </c>
      <c r="AT295">
        <v>0.44600000000000001</v>
      </c>
      <c r="AU295" t="s">
        <v>65</v>
      </c>
      <c r="AV295">
        <v>52</v>
      </c>
      <c r="AW295">
        <v>8</v>
      </c>
      <c r="AX295" t="s">
        <v>4766</v>
      </c>
      <c r="AY295" t="s">
        <v>4767</v>
      </c>
      <c r="AZ295" t="s">
        <v>4768</v>
      </c>
      <c r="BA295">
        <v>4.8059999999999999E-2</v>
      </c>
      <c r="BB295">
        <v>1</v>
      </c>
      <c r="BC295" t="s">
        <v>69</v>
      </c>
      <c r="BD295">
        <v>-0.34799999999999998</v>
      </c>
      <c r="BE295">
        <v>-0.59699999999999998</v>
      </c>
    </row>
    <row r="296" spans="1:57">
      <c r="A296">
        <v>0</v>
      </c>
      <c r="B296">
        <v>0</v>
      </c>
      <c r="C296">
        <v>0</v>
      </c>
      <c r="D296">
        <v>3487</v>
      </c>
      <c r="E296" t="s">
        <v>4769</v>
      </c>
      <c r="F296" t="s">
        <v>5762</v>
      </c>
      <c r="G296" t="s">
        <v>62</v>
      </c>
      <c r="H296">
        <v>3451251</v>
      </c>
      <c r="I296">
        <v>3451718</v>
      </c>
      <c r="J296" t="s">
        <v>4770</v>
      </c>
      <c r="K296">
        <v>156</v>
      </c>
      <c r="L296" t="s">
        <v>59</v>
      </c>
      <c r="M296">
        <v>5</v>
      </c>
      <c r="N296" t="str">
        <f>HYPERLINK("Gene3487-zp_tree_all.dnd", "Gene3487-tree")</f>
        <v>Gene3487-tree</v>
      </c>
      <c r="O296">
        <v>5</v>
      </c>
      <c r="P296">
        <v>0</v>
      </c>
      <c r="Q296">
        <v>5</v>
      </c>
      <c r="R296">
        <v>0</v>
      </c>
      <c r="S296">
        <v>0</v>
      </c>
      <c r="T296" t="s">
        <v>98</v>
      </c>
      <c r="U296" t="s">
        <v>62</v>
      </c>
      <c r="V296" t="s">
        <v>62</v>
      </c>
      <c r="W296" t="s">
        <v>62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4</v>
      </c>
      <c r="AM296">
        <v>2</v>
      </c>
      <c r="AN296">
        <v>12</v>
      </c>
      <c r="AO296">
        <v>0</v>
      </c>
      <c r="AP296">
        <v>8</v>
      </c>
      <c r="AQ296">
        <v>0</v>
      </c>
      <c r="AR296" t="s">
        <v>64</v>
      </c>
      <c r="AS296" t="s">
        <v>64</v>
      </c>
      <c r="AT296">
        <v>0</v>
      </c>
      <c r="AU296" t="s">
        <v>65</v>
      </c>
      <c r="AV296">
        <v>20</v>
      </c>
      <c r="AW296">
        <v>0</v>
      </c>
      <c r="AX296" t="s">
        <v>4771</v>
      </c>
      <c r="AY296" t="s">
        <v>4772</v>
      </c>
      <c r="AZ296" t="s">
        <v>64</v>
      </c>
      <c r="BA296">
        <v>0</v>
      </c>
      <c r="BB296">
        <v>1</v>
      </c>
      <c r="BC296" t="s">
        <v>69</v>
      </c>
      <c r="BD296">
        <v>0.39200000000000002</v>
      </c>
      <c r="BE296">
        <v>-3.4000000000000002E-2</v>
      </c>
    </row>
    <row r="297" spans="1:57">
      <c r="A297">
        <v>0</v>
      </c>
      <c r="B297">
        <v>0</v>
      </c>
      <c r="C297">
        <v>0</v>
      </c>
      <c r="D297">
        <v>3488</v>
      </c>
      <c r="E297" t="s">
        <v>4773</v>
      </c>
      <c r="F297" t="s">
        <v>5762</v>
      </c>
      <c r="G297" t="s">
        <v>62</v>
      </c>
      <c r="H297">
        <v>3451866</v>
      </c>
      <c r="I297">
        <v>3454202</v>
      </c>
      <c r="J297" t="s">
        <v>4774</v>
      </c>
      <c r="K297">
        <v>779</v>
      </c>
      <c r="L297" t="s">
        <v>59</v>
      </c>
      <c r="M297">
        <v>5</v>
      </c>
      <c r="N297" t="str">
        <f>HYPERLINK("Gene3488-zp_tree_all.dnd", "Gene3488-tree")</f>
        <v>Gene3488-tree</v>
      </c>
      <c r="O297">
        <v>2</v>
      </c>
      <c r="P297">
        <v>3</v>
      </c>
      <c r="Q297">
        <v>2</v>
      </c>
      <c r="R297">
        <v>3</v>
      </c>
      <c r="S297">
        <v>0.6</v>
      </c>
      <c r="T297" t="s">
        <v>135</v>
      </c>
      <c r="U297" t="s">
        <v>84</v>
      </c>
      <c r="V297" t="s">
        <v>62</v>
      </c>
      <c r="W297" t="s">
        <v>62</v>
      </c>
      <c r="X297">
        <v>0</v>
      </c>
      <c r="Y297">
        <v>0</v>
      </c>
      <c r="Z297">
        <v>11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6</v>
      </c>
      <c r="AK297">
        <v>0</v>
      </c>
      <c r="AL297">
        <v>5</v>
      </c>
      <c r="AM297">
        <v>2</v>
      </c>
      <c r="AN297">
        <v>98</v>
      </c>
      <c r="AO297">
        <v>6</v>
      </c>
      <c r="AP297">
        <v>72</v>
      </c>
      <c r="AQ297">
        <v>5</v>
      </c>
      <c r="AR297" t="s">
        <v>4775</v>
      </c>
      <c r="AS297" t="s">
        <v>4776</v>
      </c>
      <c r="AT297">
        <v>5.2999999999999999E-2</v>
      </c>
      <c r="AU297" t="s">
        <v>65</v>
      </c>
      <c r="AV297">
        <v>170</v>
      </c>
      <c r="AW297">
        <v>11</v>
      </c>
      <c r="AX297" t="s">
        <v>4777</v>
      </c>
      <c r="AY297" t="s">
        <v>4778</v>
      </c>
      <c r="AZ297" t="s">
        <v>4779</v>
      </c>
      <c r="BA297">
        <v>1.7309999999999999E-2</v>
      </c>
      <c r="BB297">
        <v>1</v>
      </c>
      <c r="BC297" t="s">
        <v>69</v>
      </c>
      <c r="BD297">
        <v>0.504</v>
      </c>
      <c r="BE297">
        <v>2.4E-2</v>
      </c>
    </row>
    <row r="298" spans="1:57">
      <c r="A298">
        <v>0</v>
      </c>
      <c r="B298">
        <v>0</v>
      </c>
      <c r="C298">
        <v>0</v>
      </c>
      <c r="D298">
        <v>3489</v>
      </c>
      <c r="E298" t="s">
        <v>4780</v>
      </c>
      <c r="F298" t="s">
        <v>5762</v>
      </c>
      <c r="G298" t="s">
        <v>62</v>
      </c>
      <c r="H298">
        <v>3454224</v>
      </c>
      <c r="I298">
        <v>3454961</v>
      </c>
      <c r="J298" t="s">
        <v>4781</v>
      </c>
      <c r="K298">
        <v>246</v>
      </c>
      <c r="L298" t="s">
        <v>59</v>
      </c>
      <c r="M298">
        <v>5</v>
      </c>
      <c r="N298" t="str">
        <f>HYPERLINK("Gene3489-zp_tree_all.dnd", "Gene3489-tree")</f>
        <v>Gene3489-tree</v>
      </c>
      <c r="O298">
        <v>4</v>
      </c>
      <c r="P298">
        <v>1</v>
      </c>
      <c r="Q298">
        <v>4</v>
      </c>
      <c r="R298">
        <v>1</v>
      </c>
      <c r="S298">
        <v>0.2</v>
      </c>
      <c r="T298" t="s">
        <v>60</v>
      </c>
      <c r="U298" t="s">
        <v>61</v>
      </c>
      <c r="V298" t="s">
        <v>62</v>
      </c>
      <c r="W298" t="s">
        <v>62</v>
      </c>
      <c r="X298">
        <v>0</v>
      </c>
      <c r="Y298">
        <v>0</v>
      </c>
      <c r="Z298">
        <v>2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1</v>
      </c>
      <c r="AK298">
        <v>0</v>
      </c>
      <c r="AL298">
        <v>5</v>
      </c>
      <c r="AM298">
        <v>1</v>
      </c>
      <c r="AN298">
        <v>15</v>
      </c>
      <c r="AO298">
        <v>1</v>
      </c>
      <c r="AP298">
        <v>22</v>
      </c>
      <c r="AQ298">
        <v>1</v>
      </c>
      <c r="AR298" t="s">
        <v>4782</v>
      </c>
      <c r="AS298" t="s">
        <v>4783</v>
      </c>
      <c r="AT298">
        <v>0.19</v>
      </c>
      <c r="AU298" t="s">
        <v>65</v>
      </c>
      <c r="AV298">
        <v>37</v>
      </c>
      <c r="AW298">
        <v>2</v>
      </c>
      <c r="AX298" t="s">
        <v>4784</v>
      </c>
      <c r="AY298" t="s">
        <v>4785</v>
      </c>
      <c r="AZ298" t="s">
        <v>4786</v>
      </c>
      <c r="BA298">
        <v>1.302E-2</v>
      </c>
      <c r="BB298">
        <v>1</v>
      </c>
      <c r="BC298" t="s">
        <v>69</v>
      </c>
      <c r="BD298">
        <v>0.59399999999999997</v>
      </c>
      <c r="BE298">
        <v>0.59399999999999997</v>
      </c>
    </row>
    <row r="299" spans="1:57">
      <c r="A299">
        <v>0</v>
      </c>
      <c r="B299">
        <v>0</v>
      </c>
      <c r="C299">
        <v>0</v>
      </c>
      <c r="D299">
        <v>3490</v>
      </c>
      <c r="E299" t="s">
        <v>4787</v>
      </c>
      <c r="F299" t="s">
        <v>5762</v>
      </c>
      <c r="G299" t="s">
        <v>62</v>
      </c>
      <c r="H299">
        <v>3455096</v>
      </c>
      <c r="I299">
        <v>3455323</v>
      </c>
      <c r="J299" t="s">
        <v>390</v>
      </c>
      <c r="K299">
        <v>76</v>
      </c>
      <c r="L299" t="s">
        <v>59</v>
      </c>
      <c r="M299">
        <v>5</v>
      </c>
      <c r="N299" t="str">
        <f>HYPERLINK("Gene3490-zp_tree_all.dnd", "Gene3490-tree")</f>
        <v>Gene3490-tree</v>
      </c>
      <c r="O299">
        <v>4</v>
      </c>
      <c r="P299">
        <v>0</v>
      </c>
      <c r="Q299">
        <v>4</v>
      </c>
      <c r="R299">
        <v>0</v>
      </c>
      <c r="S299">
        <v>0</v>
      </c>
      <c r="T299" t="s">
        <v>60</v>
      </c>
      <c r="U299" t="s">
        <v>62</v>
      </c>
      <c r="V299" t="s">
        <v>62</v>
      </c>
      <c r="W299" t="s">
        <v>62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2</v>
      </c>
      <c r="AM299">
        <v>1</v>
      </c>
      <c r="AN299">
        <v>2</v>
      </c>
      <c r="AO299">
        <v>0</v>
      </c>
      <c r="AP299">
        <v>4</v>
      </c>
      <c r="AQ299">
        <v>0</v>
      </c>
      <c r="AR299" t="s">
        <v>64</v>
      </c>
      <c r="AS299" t="s">
        <v>64</v>
      </c>
      <c r="AT299">
        <v>0</v>
      </c>
      <c r="AU299" t="s">
        <v>65</v>
      </c>
      <c r="AV299">
        <v>6</v>
      </c>
      <c r="AW299">
        <v>0</v>
      </c>
      <c r="AX299" t="s">
        <v>4788</v>
      </c>
      <c r="AY299" t="s">
        <v>4789</v>
      </c>
      <c r="AZ299" t="s">
        <v>64</v>
      </c>
      <c r="BA299">
        <v>0</v>
      </c>
      <c r="BB299">
        <v>1</v>
      </c>
      <c r="BC299" t="s">
        <v>69</v>
      </c>
      <c r="BD299">
        <v>0.76400000000000001</v>
      </c>
      <c r="BE299">
        <v>0.76400000000000001</v>
      </c>
    </row>
    <row r="300" spans="1:57">
      <c r="A300">
        <v>0</v>
      </c>
      <c r="B300">
        <v>0</v>
      </c>
      <c r="C300">
        <v>0</v>
      </c>
      <c r="D300">
        <v>3492</v>
      </c>
      <c r="E300" t="s">
        <v>4790</v>
      </c>
      <c r="F300" t="s">
        <v>5762</v>
      </c>
      <c r="G300" t="s">
        <v>62</v>
      </c>
      <c r="H300">
        <v>3456285</v>
      </c>
      <c r="I300">
        <v>3456515</v>
      </c>
      <c r="J300" t="s">
        <v>4791</v>
      </c>
      <c r="K300">
        <v>77</v>
      </c>
      <c r="L300" t="s">
        <v>59</v>
      </c>
      <c r="M300">
        <v>5</v>
      </c>
      <c r="N300" t="str">
        <f>HYPERLINK("Gene3492-zp_tree_all.dnd", "Gene3492-tree")</f>
        <v>Gene3492-tree</v>
      </c>
      <c r="O300">
        <v>5</v>
      </c>
      <c r="P300">
        <v>0</v>
      </c>
      <c r="Q300">
        <v>5</v>
      </c>
      <c r="R300">
        <v>0</v>
      </c>
      <c r="S300">
        <v>0</v>
      </c>
      <c r="T300" t="s">
        <v>98</v>
      </c>
      <c r="U300" t="s">
        <v>62</v>
      </c>
      <c r="V300" t="s">
        <v>62</v>
      </c>
      <c r="W300" t="s">
        <v>62</v>
      </c>
      <c r="X300">
        <v>0</v>
      </c>
      <c r="Y300">
        <v>0</v>
      </c>
      <c r="Z300">
        <v>1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3</v>
      </c>
      <c r="AM300">
        <v>2</v>
      </c>
      <c r="AN300">
        <v>6</v>
      </c>
      <c r="AO300">
        <v>0</v>
      </c>
      <c r="AP300">
        <v>2</v>
      </c>
      <c r="AQ300">
        <v>1</v>
      </c>
      <c r="AR300" t="s">
        <v>64</v>
      </c>
      <c r="AS300" t="s">
        <v>4792</v>
      </c>
      <c r="AT300">
        <v>0.70699999999999996</v>
      </c>
      <c r="AU300" t="s">
        <v>65</v>
      </c>
      <c r="AV300">
        <v>8</v>
      </c>
      <c r="AW300">
        <v>1</v>
      </c>
      <c r="AX300" t="s">
        <v>4793</v>
      </c>
      <c r="AY300" t="s">
        <v>4794</v>
      </c>
      <c r="AZ300" t="s">
        <v>4795</v>
      </c>
      <c r="BA300">
        <v>4.6980000000000001E-2</v>
      </c>
      <c r="BB300">
        <v>1</v>
      </c>
      <c r="BC300" t="s">
        <v>69</v>
      </c>
      <c r="BD300">
        <v>-0.19700000000000001</v>
      </c>
      <c r="BE300">
        <v>-0.19700000000000001</v>
      </c>
    </row>
    <row r="301" spans="1:57">
      <c r="A301">
        <v>0</v>
      </c>
      <c r="B301">
        <v>0</v>
      </c>
      <c r="C301">
        <v>0</v>
      </c>
      <c r="D301">
        <v>3517</v>
      </c>
      <c r="E301" t="s">
        <v>4813</v>
      </c>
      <c r="F301" t="s">
        <v>5762</v>
      </c>
      <c r="G301" t="s">
        <v>62</v>
      </c>
      <c r="H301">
        <v>3476558</v>
      </c>
      <c r="I301">
        <v>3477847</v>
      </c>
      <c r="J301" t="s">
        <v>4814</v>
      </c>
      <c r="K301">
        <v>430</v>
      </c>
      <c r="L301" t="s">
        <v>59</v>
      </c>
      <c r="M301">
        <v>5</v>
      </c>
      <c r="N301" t="str">
        <f>HYPERLINK("Gene3517-zp_tree_all.dnd", "Gene3517-tree")</f>
        <v>Gene3517-tree</v>
      </c>
      <c r="O301">
        <v>4</v>
      </c>
      <c r="P301">
        <v>1</v>
      </c>
      <c r="Q301">
        <v>4</v>
      </c>
      <c r="R301">
        <v>1</v>
      </c>
      <c r="S301">
        <v>0.2</v>
      </c>
      <c r="T301" t="s">
        <v>60</v>
      </c>
      <c r="U301" t="s">
        <v>61</v>
      </c>
      <c r="V301" t="s">
        <v>62</v>
      </c>
      <c r="W301" t="s">
        <v>62</v>
      </c>
      <c r="X301">
        <v>0</v>
      </c>
      <c r="Y301">
        <v>0</v>
      </c>
      <c r="Z301">
        <v>5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1</v>
      </c>
      <c r="AK301">
        <v>0</v>
      </c>
      <c r="AL301">
        <v>5</v>
      </c>
      <c r="AM301">
        <v>1</v>
      </c>
      <c r="AN301">
        <v>22</v>
      </c>
      <c r="AO301">
        <v>1</v>
      </c>
      <c r="AP301">
        <v>18</v>
      </c>
      <c r="AQ301">
        <v>7</v>
      </c>
      <c r="AR301" t="s">
        <v>4815</v>
      </c>
      <c r="AS301" t="s">
        <v>4816</v>
      </c>
      <c r="AT301">
        <v>3.423</v>
      </c>
      <c r="AU301" t="s">
        <v>65</v>
      </c>
      <c r="AV301">
        <v>40</v>
      </c>
      <c r="AW301">
        <v>8</v>
      </c>
      <c r="AX301" t="s">
        <v>4817</v>
      </c>
      <c r="AY301" t="s">
        <v>4818</v>
      </c>
      <c r="AZ301" t="s">
        <v>4819</v>
      </c>
      <c r="BA301">
        <v>6.9779999999999995E-2</v>
      </c>
      <c r="BB301">
        <v>1</v>
      </c>
      <c r="BC301" t="s">
        <v>69</v>
      </c>
      <c r="BD301">
        <v>0.44800000000000001</v>
      </c>
      <c r="BE301">
        <v>0.28100000000000003</v>
      </c>
    </row>
    <row r="302" spans="1:57">
      <c r="A302">
        <v>0</v>
      </c>
      <c r="B302">
        <v>2</v>
      </c>
      <c r="C302">
        <v>0</v>
      </c>
      <c r="D302">
        <v>3518</v>
      </c>
      <c r="E302" t="s">
        <v>4820</v>
      </c>
      <c r="F302" t="s">
        <v>5762</v>
      </c>
      <c r="G302" t="s">
        <v>62</v>
      </c>
      <c r="H302">
        <v>3477880</v>
      </c>
      <c r="I302">
        <v>3479412</v>
      </c>
      <c r="J302" t="s">
        <v>4821</v>
      </c>
      <c r="K302">
        <v>511</v>
      </c>
      <c r="L302" t="s">
        <v>59</v>
      </c>
      <c r="M302">
        <v>5</v>
      </c>
      <c r="N302" t="str">
        <f>HYPERLINK("Gene3518-zp_tree_all.dnd", "Gene3518-tree")</f>
        <v>Gene3518-tree</v>
      </c>
      <c r="O302">
        <v>3</v>
      </c>
      <c r="P302">
        <v>2</v>
      </c>
      <c r="Q302">
        <v>3</v>
      </c>
      <c r="R302">
        <v>2</v>
      </c>
      <c r="S302">
        <v>0.4</v>
      </c>
      <c r="T302" t="s">
        <v>84</v>
      </c>
      <c r="U302" t="s">
        <v>135</v>
      </c>
      <c r="V302" t="s">
        <v>62</v>
      </c>
      <c r="W302" t="s">
        <v>62</v>
      </c>
      <c r="X302">
        <v>1</v>
      </c>
      <c r="Y302">
        <v>2</v>
      </c>
      <c r="Z302">
        <v>12</v>
      </c>
      <c r="AA302">
        <v>0.14285999999999999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6</v>
      </c>
      <c r="AK302">
        <v>0</v>
      </c>
      <c r="AL302">
        <v>5</v>
      </c>
      <c r="AM302">
        <v>2</v>
      </c>
      <c r="AN302">
        <v>47</v>
      </c>
      <c r="AO302">
        <v>6</v>
      </c>
      <c r="AP302">
        <v>44</v>
      </c>
      <c r="AQ302">
        <v>8</v>
      </c>
      <c r="AR302" t="s">
        <v>4822</v>
      </c>
      <c r="AS302" t="s">
        <v>4823</v>
      </c>
      <c r="AT302">
        <v>0.26200000000000001</v>
      </c>
      <c r="AU302" t="s">
        <v>65</v>
      </c>
      <c r="AV302">
        <v>91</v>
      </c>
      <c r="AW302">
        <v>14</v>
      </c>
      <c r="AX302" t="s">
        <v>4824</v>
      </c>
      <c r="AY302" t="s">
        <v>4825</v>
      </c>
      <c r="AZ302" t="s">
        <v>4826</v>
      </c>
      <c r="BA302">
        <v>4.326E-2</v>
      </c>
      <c r="BB302">
        <v>1</v>
      </c>
      <c r="BC302" t="s">
        <v>69</v>
      </c>
      <c r="BD302">
        <v>0.379</v>
      </c>
      <c r="BE302">
        <v>0.23799999999999999</v>
      </c>
    </row>
    <row r="303" spans="1:57">
      <c r="A303">
        <v>0</v>
      </c>
      <c r="B303">
        <v>2</v>
      </c>
      <c r="C303">
        <v>0</v>
      </c>
      <c r="D303">
        <v>3519</v>
      </c>
      <c r="E303" t="s">
        <v>4827</v>
      </c>
      <c r="F303" t="s">
        <v>5762</v>
      </c>
      <c r="G303" t="s">
        <v>62</v>
      </c>
      <c r="H303">
        <v>3479408</v>
      </c>
      <c r="I303">
        <v>3480166</v>
      </c>
      <c r="J303" t="s">
        <v>4828</v>
      </c>
      <c r="K303">
        <v>253</v>
      </c>
      <c r="L303" t="s">
        <v>59</v>
      </c>
      <c r="M303">
        <v>5</v>
      </c>
      <c r="N303" t="str">
        <f>HYPERLINK("Gene3519-zp_tree_all.dnd", "Gene3519-tree")</f>
        <v>Gene3519-tree</v>
      </c>
      <c r="O303">
        <v>2</v>
      </c>
      <c r="P303">
        <v>3</v>
      </c>
      <c r="Q303">
        <v>2</v>
      </c>
      <c r="R303">
        <v>3</v>
      </c>
      <c r="S303">
        <v>0.6</v>
      </c>
      <c r="T303" t="s">
        <v>135</v>
      </c>
      <c r="U303" t="s">
        <v>84</v>
      </c>
      <c r="V303" t="s">
        <v>62</v>
      </c>
      <c r="W303" t="s">
        <v>62</v>
      </c>
      <c r="X303">
        <v>1</v>
      </c>
      <c r="Y303">
        <v>2</v>
      </c>
      <c r="Z303">
        <v>2</v>
      </c>
      <c r="AA303">
        <v>0.5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2</v>
      </c>
      <c r="AH303">
        <v>0</v>
      </c>
      <c r="AI303">
        <v>2</v>
      </c>
      <c r="AJ303">
        <v>1</v>
      </c>
      <c r="AK303">
        <v>0.66666999999999998</v>
      </c>
      <c r="AL303">
        <v>5</v>
      </c>
      <c r="AM303">
        <v>2</v>
      </c>
      <c r="AN303">
        <v>8</v>
      </c>
      <c r="AO303">
        <v>3</v>
      </c>
      <c r="AP303">
        <v>9</v>
      </c>
      <c r="AQ303">
        <v>1</v>
      </c>
      <c r="AR303" t="s">
        <v>4829</v>
      </c>
      <c r="AS303" t="s">
        <v>4830</v>
      </c>
      <c r="AT303">
        <v>0.78600000000000003</v>
      </c>
      <c r="AU303" t="s">
        <v>65</v>
      </c>
      <c r="AV303">
        <v>17</v>
      </c>
      <c r="AW303">
        <v>4</v>
      </c>
      <c r="AX303" t="s">
        <v>4831</v>
      </c>
      <c r="AY303" t="s">
        <v>4832</v>
      </c>
      <c r="AZ303" t="s">
        <v>4833</v>
      </c>
      <c r="BA303">
        <v>5.2920000000000002E-2</v>
      </c>
      <c r="BB303">
        <v>1</v>
      </c>
      <c r="BC303" t="s">
        <v>69</v>
      </c>
      <c r="BD303">
        <v>0.46200000000000002</v>
      </c>
      <c r="BE303">
        <v>0.46200000000000002</v>
      </c>
    </row>
    <row r="304" spans="1:57">
      <c r="A304">
        <v>0</v>
      </c>
      <c r="B304">
        <v>0</v>
      </c>
      <c r="C304">
        <v>0</v>
      </c>
      <c r="D304">
        <v>3520</v>
      </c>
      <c r="E304" t="s">
        <v>4834</v>
      </c>
      <c r="F304" t="s">
        <v>5762</v>
      </c>
      <c r="G304" t="s">
        <v>62</v>
      </c>
      <c r="H304">
        <v>3480200</v>
      </c>
      <c r="I304">
        <v>3481381</v>
      </c>
      <c r="J304" t="s">
        <v>4835</v>
      </c>
      <c r="K304">
        <v>394</v>
      </c>
      <c r="L304" t="s">
        <v>59</v>
      </c>
      <c r="M304">
        <v>5</v>
      </c>
      <c r="N304" t="str">
        <f>HYPERLINK("Gene3520-zp_tree_all.dnd", "Gene3520-tree")</f>
        <v>Gene3520-tree</v>
      </c>
      <c r="O304">
        <v>4</v>
      </c>
      <c r="P304">
        <v>1</v>
      </c>
      <c r="Q304">
        <v>4</v>
      </c>
      <c r="R304">
        <v>1</v>
      </c>
      <c r="S304">
        <v>0.2</v>
      </c>
      <c r="T304" t="s">
        <v>60</v>
      </c>
      <c r="U304" t="s">
        <v>61</v>
      </c>
      <c r="V304" t="s">
        <v>62</v>
      </c>
      <c r="W304" t="s">
        <v>62</v>
      </c>
      <c r="X304">
        <v>0</v>
      </c>
      <c r="Y304">
        <v>0</v>
      </c>
      <c r="Z304">
        <v>5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2</v>
      </c>
      <c r="AK304">
        <v>0</v>
      </c>
      <c r="AL304">
        <v>4</v>
      </c>
      <c r="AM304">
        <v>2</v>
      </c>
      <c r="AN304">
        <v>15</v>
      </c>
      <c r="AO304">
        <v>2</v>
      </c>
      <c r="AP304">
        <v>16</v>
      </c>
      <c r="AQ304">
        <v>3</v>
      </c>
      <c r="AR304" t="s">
        <v>4836</v>
      </c>
      <c r="AS304" t="s">
        <v>4837</v>
      </c>
      <c r="AT304">
        <v>0.17499999999999999</v>
      </c>
      <c r="AU304" t="s">
        <v>65</v>
      </c>
      <c r="AV304">
        <v>31</v>
      </c>
      <c r="AW304">
        <v>5</v>
      </c>
      <c r="AX304" t="s">
        <v>4838</v>
      </c>
      <c r="AY304" t="s">
        <v>4839</v>
      </c>
      <c r="AZ304" t="s">
        <v>4840</v>
      </c>
      <c r="BA304">
        <v>5.1909999999999998E-2</v>
      </c>
      <c r="BB304">
        <v>1</v>
      </c>
      <c r="BC304" t="s">
        <v>69</v>
      </c>
      <c r="BD304">
        <v>0.69099999999999995</v>
      </c>
      <c r="BE304">
        <v>0.45400000000000001</v>
      </c>
    </row>
    <row r="305" spans="1:57">
      <c r="A305">
        <v>0</v>
      </c>
      <c r="B305">
        <v>0</v>
      </c>
      <c r="C305">
        <v>0</v>
      </c>
      <c r="D305">
        <v>3521</v>
      </c>
      <c r="E305" t="s">
        <v>4841</v>
      </c>
      <c r="F305" t="s">
        <v>5762</v>
      </c>
      <c r="G305" t="s">
        <v>62</v>
      </c>
      <c r="H305">
        <v>3481701</v>
      </c>
      <c r="I305">
        <v>3482705</v>
      </c>
      <c r="J305" t="s">
        <v>4842</v>
      </c>
      <c r="K305">
        <v>335</v>
      </c>
      <c r="L305" t="s">
        <v>59</v>
      </c>
      <c r="M305">
        <v>5</v>
      </c>
      <c r="N305" t="str">
        <f>HYPERLINK("Gene3521-zp_tree_all.dnd", "Gene3521-tree")</f>
        <v>Gene3521-tree</v>
      </c>
      <c r="O305">
        <v>4</v>
      </c>
      <c r="P305">
        <v>0</v>
      </c>
      <c r="Q305">
        <v>4</v>
      </c>
      <c r="R305">
        <v>0</v>
      </c>
      <c r="S305">
        <v>0</v>
      </c>
      <c r="T305" t="s">
        <v>60</v>
      </c>
      <c r="U305" t="s">
        <v>62</v>
      </c>
      <c r="V305" t="s">
        <v>62</v>
      </c>
      <c r="W305" t="s">
        <v>62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3</v>
      </c>
      <c r="AM305">
        <v>1</v>
      </c>
      <c r="AN305">
        <v>10</v>
      </c>
      <c r="AO305">
        <v>0</v>
      </c>
      <c r="AP305">
        <v>3</v>
      </c>
      <c r="AQ305">
        <v>0</v>
      </c>
      <c r="AR305" t="s">
        <v>64</v>
      </c>
      <c r="AS305" t="s">
        <v>64</v>
      </c>
      <c r="AT305">
        <v>0</v>
      </c>
      <c r="AU305" t="s">
        <v>65</v>
      </c>
      <c r="AV305">
        <v>13</v>
      </c>
      <c r="AW305">
        <v>0</v>
      </c>
      <c r="AX305" t="s">
        <v>4843</v>
      </c>
      <c r="AY305" t="s">
        <v>4844</v>
      </c>
      <c r="AZ305" t="s">
        <v>64</v>
      </c>
      <c r="BA305">
        <v>0</v>
      </c>
      <c r="BB305">
        <v>1</v>
      </c>
      <c r="BC305" t="s">
        <v>69</v>
      </c>
      <c r="BD305">
        <v>-0.51200000000000001</v>
      </c>
      <c r="BE305">
        <v>-0.51200000000000001</v>
      </c>
    </row>
    <row r="306" spans="1:57">
      <c r="A306">
        <v>0</v>
      </c>
      <c r="B306">
        <v>0</v>
      </c>
      <c r="C306">
        <v>0</v>
      </c>
      <c r="D306">
        <v>3522</v>
      </c>
      <c r="E306" t="s">
        <v>4845</v>
      </c>
      <c r="F306" t="s">
        <v>5762</v>
      </c>
      <c r="G306" t="s">
        <v>62</v>
      </c>
      <c r="H306">
        <v>3482755</v>
      </c>
      <c r="I306">
        <v>3483774</v>
      </c>
      <c r="J306" t="s">
        <v>4846</v>
      </c>
      <c r="K306">
        <v>340</v>
      </c>
      <c r="L306" t="s">
        <v>59</v>
      </c>
      <c r="M306">
        <v>5</v>
      </c>
      <c r="N306" t="str">
        <f>HYPERLINK("Gene3522-zp_tree_all.dnd", "Gene3522-tree")</f>
        <v>Gene3522-tree</v>
      </c>
      <c r="O306">
        <v>2</v>
      </c>
      <c r="P306">
        <v>3</v>
      </c>
      <c r="Q306">
        <v>2</v>
      </c>
      <c r="R306">
        <v>3</v>
      </c>
      <c r="S306">
        <v>0.6</v>
      </c>
      <c r="T306" t="s">
        <v>135</v>
      </c>
      <c r="U306" t="s">
        <v>84</v>
      </c>
      <c r="V306" t="s">
        <v>62</v>
      </c>
      <c r="W306" t="s">
        <v>62</v>
      </c>
      <c r="X306">
        <v>0</v>
      </c>
      <c r="Y306">
        <v>0</v>
      </c>
      <c r="Z306">
        <v>3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3</v>
      </c>
      <c r="AK306">
        <v>0</v>
      </c>
      <c r="AL306">
        <v>5</v>
      </c>
      <c r="AM306">
        <v>2</v>
      </c>
      <c r="AN306">
        <v>12</v>
      </c>
      <c r="AO306">
        <v>3</v>
      </c>
      <c r="AP306">
        <v>16</v>
      </c>
      <c r="AQ306">
        <v>0</v>
      </c>
      <c r="AR306" t="s">
        <v>4847</v>
      </c>
      <c r="AS306" t="s">
        <v>64</v>
      </c>
      <c r="AT306">
        <v>2.1070000000000002</v>
      </c>
      <c r="AU306" t="s">
        <v>286</v>
      </c>
      <c r="AV306">
        <v>28</v>
      </c>
      <c r="AW306">
        <v>3</v>
      </c>
      <c r="AX306" t="s">
        <v>4848</v>
      </c>
      <c r="AY306" t="s">
        <v>4849</v>
      </c>
      <c r="AZ306" t="s">
        <v>4850</v>
      </c>
      <c r="BA306">
        <v>2.3470000000000001E-2</v>
      </c>
      <c r="BB306">
        <v>1</v>
      </c>
      <c r="BC306" t="s">
        <v>69</v>
      </c>
      <c r="BD306">
        <v>0.36199999999999999</v>
      </c>
      <c r="BE306">
        <v>0.36199999999999999</v>
      </c>
    </row>
    <row r="307" spans="1:57">
      <c r="A307">
        <v>0</v>
      </c>
      <c r="B307">
        <v>0</v>
      </c>
      <c r="C307">
        <v>0</v>
      </c>
      <c r="D307">
        <v>3552</v>
      </c>
      <c r="E307" t="s">
        <v>4854</v>
      </c>
      <c r="F307" t="s">
        <v>5762</v>
      </c>
      <c r="G307" t="s">
        <v>62</v>
      </c>
      <c r="H307">
        <v>3516883</v>
      </c>
      <c r="I307">
        <v>3517488</v>
      </c>
      <c r="J307" t="s">
        <v>4855</v>
      </c>
      <c r="K307">
        <v>202</v>
      </c>
      <c r="L307" t="s">
        <v>83</v>
      </c>
      <c r="M307">
        <v>4</v>
      </c>
      <c r="N307" t="str">
        <f>HYPERLINK("Gene3552-zp_tree_all.dnd", "Gene3552-tree")</f>
        <v>Gene3552-tree</v>
      </c>
    </row>
    <row r="308" spans="1:57">
      <c r="A308">
        <v>0</v>
      </c>
      <c r="B308">
        <v>0</v>
      </c>
      <c r="C308">
        <v>2</v>
      </c>
      <c r="D308">
        <v>3562</v>
      </c>
      <c r="E308" t="s">
        <v>4856</v>
      </c>
      <c r="F308" t="s">
        <v>5762</v>
      </c>
      <c r="G308" t="s">
        <v>62</v>
      </c>
      <c r="H308">
        <v>3528465</v>
      </c>
      <c r="I308">
        <v>3529145</v>
      </c>
      <c r="J308" t="s">
        <v>4857</v>
      </c>
      <c r="K308">
        <v>227</v>
      </c>
      <c r="L308" t="s">
        <v>59</v>
      </c>
      <c r="M308">
        <v>5</v>
      </c>
      <c r="N308" t="str">
        <f>HYPERLINK("Gene3562-zp_tree_all.dnd", "Gene3562-tree")</f>
        <v>Gene3562-tree</v>
      </c>
      <c r="O308">
        <v>4</v>
      </c>
      <c r="P308">
        <v>1</v>
      </c>
      <c r="Q308">
        <v>3</v>
      </c>
      <c r="R308">
        <v>1</v>
      </c>
      <c r="S308">
        <v>0.25</v>
      </c>
      <c r="T308" t="s">
        <v>119</v>
      </c>
      <c r="U308" t="s">
        <v>61</v>
      </c>
      <c r="V308" t="s">
        <v>62</v>
      </c>
      <c r="W308" t="s">
        <v>62</v>
      </c>
      <c r="X308">
        <v>1</v>
      </c>
      <c r="Y308">
        <v>2</v>
      </c>
      <c r="Z308">
        <v>4</v>
      </c>
      <c r="AA308">
        <v>0.33333000000000002</v>
      </c>
      <c r="AB308">
        <v>0</v>
      </c>
      <c r="AC308">
        <v>0</v>
      </c>
      <c r="AD308">
        <v>0</v>
      </c>
      <c r="AE308">
        <v>4</v>
      </c>
      <c r="AF308">
        <v>0</v>
      </c>
      <c r="AG308">
        <v>0</v>
      </c>
      <c r="AH308">
        <v>0</v>
      </c>
      <c r="AI308">
        <v>0</v>
      </c>
      <c r="AJ308">
        <v>2</v>
      </c>
      <c r="AK308">
        <v>0</v>
      </c>
      <c r="AL308">
        <v>4</v>
      </c>
      <c r="AM308">
        <v>1</v>
      </c>
      <c r="AN308">
        <v>22</v>
      </c>
      <c r="AO308">
        <v>2</v>
      </c>
      <c r="AP308">
        <v>16</v>
      </c>
      <c r="AQ308">
        <v>4</v>
      </c>
      <c r="AR308" t="s">
        <v>4858</v>
      </c>
      <c r="AS308" t="s">
        <v>4859</v>
      </c>
      <c r="AT308">
        <v>0.98899999999999999</v>
      </c>
      <c r="AU308" t="s">
        <v>65</v>
      </c>
      <c r="AV308">
        <v>38</v>
      </c>
      <c r="AW308">
        <v>6</v>
      </c>
      <c r="AX308" t="s">
        <v>4860</v>
      </c>
      <c r="AY308" t="s">
        <v>4861</v>
      </c>
      <c r="AZ308" t="s">
        <v>4862</v>
      </c>
      <c r="BA308">
        <v>4.725E-2</v>
      </c>
      <c r="BB308">
        <v>1</v>
      </c>
      <c r="BC308" t="s">
        <v>69</v>
      </c>
      <c r="BD308">
        <v>0.78300000000000003</v>
      </c>
      <c r="BE308">
        <v>7.8E-2</v>
      </c>
    </row>
    <row r="309" spans="1:57">
      <c r="A309">
        <v>0</v>
      </c>
      <c r="B309">
        <v>2</v>
      </c>
      <c r="C309">
        <v>0</v>
      </c>
      <c r="D309">
        <v>3563</v>
      </c>
      <c r="E309" t="s">
        <v>4863</v>
      </c>
      <c r="F309" t="s">
        <v>5762</v>
      </c>
      <c r="G309" t="s">
        <v>62</v>
      </c>
      <c r="H309">
        <v>3529154</v>
      </c>
      <c r="I309">
        <v>3529855</v>
      </c>
      <c r="J309" t="s">
        <v>4864</v>
      </c>
      <c r="K309">
        <v>234</v>
      </c>
      <c r="L309" t="s">
        <v>59</v>
      </c>
      <c r="M309">
        <v>5</v>
      </c>
      <c r="N309" t="str">
        <f>HYPERLINK("Gene3563-zp_tree_all.dnd", "Gene3563-tree")</f>
        <v>Gene3563-tree</v>
      </c>
      <c r="O309">
        <v>2</v>
      </c>
      <c r="P309">
        <v>3</v>
      </c>
      <c r="Q309">
        <v>2</v>
      </c>
      <c r="R309">
        <v>3</v>
      </c>
      <c r="S309">
        <v>0.6</v>
      </c>
      <c r="T309" t="s">
        <v>135</v>
      </c>
      <c r="U309" t="s">
        <v>84</v>
      </c>
      <c r="V309" t="s">
        <v>62</v>
      </c>
      <c r="W309" t="s">
        <v>62</v>
      </c>
      <c r="X309">
        <v>1</v>
      </c>
      <c r="Y309">
        <v>2</v>
      </c>
      <c r="Z309">
        <v>10</v>
      </c>
      <c r="AA309">
        <v>0.16667000000000001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7</v>
      </c>
      <c r="AK309">
        <v>0</v>
      </c>
      <c r="AL309">
        <v>5</v>
      </c>
      <c r="AM309">
        <v>2</v>
      </c>
      <c r="AN309">
        <v>23</v>
      </c>
      <c r="AO309">
        <v>7</v>
      </c>
      <c r="AP309">
        <v>17</v>
      </c>
      <c r="AQ309">
        <v>5</v>
      </c>
      <c r="AR309" t="s">
        <v>4865</v>
      </c>
      <c r="AS309" t="s">
        <v>4866</v>
      </c>
      <c r="AT309">
        <v>6.8000000000000005E-2</v>
      </c>
      <c r="AU309" t="s">
        <v>65</v>
      </c>
      <c r="AV309">
        <v>40</v>
      </c>
      <c r="AW309">
        <v>12</v>
      </c>
      <c r="AX309" t="s">
        <v>4867</v>
      </c>
      <c r="AY309" t="s">
        <v>4868</v>
      </c>
      <c r="AZ309" t="s">
        <v>4869</v>
      </c>
      <c r="BA309">
        <v>7.5579999999999994E-2</v>
      </c>
      <c r="BB309">
        <v>1</v>
      </c>
      <c r="BC309" t="s">
        <v>69</v>
      </c>
      <c r="BD309">
        <v>0.58699999999999997</v>
      </c>
      <c r="BE309">
        <v>0.109</v>
      </c>
    </row>
    <row r="310" spans="1:57">
      <c r="A310">
        <v>0</v>
      </c>
      <c r="B310">
        <v>0</v>
      </c>
      <c r="C310">
        <v>0</v>
      </c>
      <c r="D310">
        <v>3601</v>
      </c>
      <c r="E310" t="s">
        <v>4889</v>
      </c>
      <c r="F310" t="s">
        <v>5762</v>
      </c>
      <c r="G310" t="s">
        <v>62</v>
      </c>
      <c r="H310">
        <v>3569295</v>
      </c>
      <c r="I310">
        <v>3569549</v>
      </c>
      <c r="J310" t="s">
        <v>4890</v>
      </c>
      <c r="K310">
        <v>85</v>
      </c>
      <c r="L310" t="s">
        <v>59</v>
      </c>
      <c r="M310">
        <v>5</v>
      </c>
      <c r="N310" t="str">
        <f>HYPERLINK("Gene3601-zp_tree_all.dnd", "Gene3601-tree")</f>
        <v>Gene3601-tree</v>
      </c>
    </row>
    <row r="311" spans="1:57">
      <c r="A311">
        <v>0</v>
      </c>
      <c r="B311">
        <v>0</v>
      </c>
      <c r="C311">
        <v>0</v>
      </c>
      <c r="D311">
        <v>3602</v>
      </c>
      <c r="E311" t="s">
        <v>4891</v>
      </c>
      <c r="F311" t="s">
        <v>5762</v>
      </c>
      <c r="G311" t="s">
        <v>62</v>
      </c>
      <c r="H311">
        <v>3569576</v>
      </c>
      <c r="I311">
        <v>3570523</v>
      </c>
      <c r="J311" t="s">
        <v>4892</v>
      </c>
      <c r="K311">
        <v>316</v>
      </c>
      <c r="L311" t="s">
        <v>59</v>
      </c>
      <c r="M311">
        <v>5</v>
      </c>
      <c r="N311" t="str">
        <f>HYPERLINK("Gene3602-zp_tree_all.dnd", "Gene3602-tree")</f>
        <v>Gene3602-tree</v>
      </c>
      <c r="O311">
        <v>5</v>
      </c>
      <c r="P311">
        <v>0</v>
      </c>
      <c r="Q311">
        <v>5</v>
      </c>
      <c r="R311">
        <v>0</v>
      </c>
      <c r="S311">
        <v>0</v>
      </c>
      <c r="T311" t="s">
        <v>98</v>
      </c>
      <c r="U311" t="s">
        <v>62</v>
      </c>
      <c r="V311" t="s">
        <v>62</v>
      </c>
      <c r="W311" t="s">
        <v>62</v>
      </c>
      <c r="X311">
        <v>0</v>
      </c>
      <c r="Y311">
        <v>0</v>
      </c>
      <c r="Z311">
        <v>1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5</v>
      </c>
      <c r="AM311">
        <v>2</v>
      </c>
      <c r="AN311">
        <v>21</v>
      </c>
      <c r="AO311">
        <v>0</v>
      </c>
      <c r="AP311">
        <v>30</v>
      </c>
      <c r="AQ311">
        <v>1</v>
      </c>
      <c r="AR311" t="s">
        <v>64</v>
      </c>
      <c r="AS311" t="s">
        <v>4893</v>
      </c>
      <c r="AT311">
        <v>0.96299999999999997</v>
      </c>
      <c r="AU311" t="s">
        <v>65</v>
      </c>
      <c r="AV311">
        <v>51</v>
      </c>
      <c r="AW311">
        <v>1</v>
      </c>
      <c r="AX311" t="s">
        <v>4894</v>
      </c>
      <c r="AY311" t="s">
        <v>4895</v>
      </c>
      <c r="AZ311" t="s">
        <v>4896</v>
      </c>
      <c r="BA311">
        <v>6.4200000000000004E-3</v>
      </c>
      <c r="BB311">
        <v>1</v>
      </c>
      <c r="BC311" t="s">
        <v>69</v>
      </c>
      <c r="BD311">
        <v>0.80500000000000005</v>
      </c>
      <c r="BE311">
        <v>0.51100000000000001</v>
      </c>
    </row>
    <row r="312" spans="1:57">
      <c r="A312">
        <v>0</v>
      </c>
      <c r="B312">
        <v>0</v>
      </c>
      <c r="C312">
        <v>0</v>
      </c>
      <c r="D312">
        <v>3603</v>
      </c>
      <c r="E312" t="s">
        <v>4897</v>
      </c>
      <c r="F312" t="s">
        <v>5762</v>
      </c>
      <c r="G312" t="s">
        <v>62</v>
      </c>
      <c r="H312">
        <v>3570549</v>
      </c>
      <c r="I312">
        <v>3571499</v>
      </c>
      <c r="J312" t="s">
        <v>4898</v>
      </c>
      <c r="K312">
        <v>317</v>
      </c>
      <c r="L312" t="s">
        <v>59</v>
      </c>
      <c r="M312">
        <v>5</v>
      </c>
      <c r="N312" t="str">
        <f>HYPERLINK("Gene3603-zp_tree_all.dnd", "Gene3603-tree")</f>
        <v>Gene3603-tree</v>
      </c>
      <c r="O312">
        <v>3</v>
      </c>
      <c r="P312">
        <v>2</v>
      </c>
      <c r="Q312">
        <v>3</v>
      </c>
      <c r="R312">
        <v>2</v>
      </c>
      <c r="S312">
        <v>0.4</v>
      </c>
      <c r="T312" t="s">
        <v>84</v>
      </c>
      <c r="U312" t="s">
        <v>135</v>
      </c>
      <c r="V312" t="s">
        <v>62</v>
      </c>
      <c r="W312" t="s">
        <v>62</v>
      </c>
      <c r="X312">
        <v>0</v>
      </c>
      <c r="Y312">
        <v>0</v>
      </c>
      <c r="Z312">
        <v>8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6</v>
      </c>
      <c r="AK312">
        <v>0</v>
      </c>
      <c r="AL312">
        <v>5</v>
      </c>
      <c r="AM312">
        <v>2</v>
      </c>
      <c r="AN312">
        <v>37</v>
      </c>
      <c r="AO312">
        <v>6</v>
      </c>
      <c r="AP312">
        <v>24</v>
      </c>
      <c r="AQ312">
        <v>2</v>
      </c>
      <c r="AR312" t="s">
        <v>4899</v>
      </c>
      <c r="AS312" t="s">
        <v>4900</v>
      </c>
      <c r="AT312">
        <v>0.42199999999999999</v>
      </c>
      <c r="AU312" t="s">
        <v>65</v>
      </c>
      <c r="AV312">
        <v>61</v>
      </c>
      <c r="AW312">
        <v>8</v>
      </c>
      <c r="AX312" t="s">
        <v>4901</v>
      </c>
      <c r="AY312" t="s">
        <v>4902</v>
      </c>
      <c r="AZ312" t="s">
        <v>4903</v>
      </c>
      <c r="BA312">
        <v>3.4610000000000002E-2</v>
      </c>
      <c r="BB312">
        <v>1</v>
      </c>
      <c r="BC312" t="s">
        <v>69</v>
      </c>
      <c r="BD312">
        <v>0.124</v>
      </c>
      <c r="BE312">
        <v>2.9000000000000001E-2</v>
      </c>
    </row>
    <row r="313" spans="1:57">
      <c r="A313">
        <v>0</v>
      </c>
      <c r="B313">
        <v>0</v>
      </c>
      <c r="C313">
        <v>0</v>
      </c>
      <c r="D313">
        <v>3604</v>
      </c>
      <c r="E313" t="s">
        <v>4904</v>
      </c>
      <c r="F313" t="s">
        <v>5762</v>
      </c>
      <c r="G313" t="s">
        <v>62</v>
      </c>
      <c r="H313">
        <v>3571504</v>
      </c>
      <c r="I313">
        <v>3572388</v>
      </c>
      <c r="J313" t="s">
        <v>4905</v>
      </c>
      <c r="K313">
        <v>295</v>
      </c>
      <c r="L313" t="s">
        <v>83</v>
      </c>
      <c r="M313">
        <v>4</v>
      </c>
      <c r="N313" t="str">
        <f>HYPERLINK("Gene3604-zp_tree_all.dnd", "Gene3604-tree")</f>
        <v>Gene3604-tree</v>
      </c>
      <c r="O313">
        <v>3</v>
      </c>
      <c r="P313">
        <v>1</v>
      </c>
      <c r="Q313">
        <v>3</v>
      </c>
      <c r="R313">
        <v>1</v>
      </c>
      <c r="S313">
        <v>0.25</v>
      </c>
      <c r="T313" t="s">
        <v>84</v>
      </c>
      <c r="U313" t="s">
        <v>61</v>
      </c>
      <c r="V313" t="s">
        <v>62</v>
      </c>
      <c r="W313" t="s">
        <v>62</v>
      </c>
      <c r="X313">
        <v>0</v>
      </c>
      <c r="Y313">
        <v>0</v>
      </c>
      <c r="Z313">
        <v>4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4</v>
      </c>
      <c r="AK313">
        <v>0</v>
      </c>
      <c r="AL313">
        <v>4</v>
      </c>
      <c r="AM313">
        <v>1</v>
      </c>
      <c r="AN313">
        <v>46</v>
      </c>
      <c r="AO313">
        <v>5</v>
      </c>
      <c r="AP313">
        <v>3</v>
      </c>
      <c r="AQ313">
        <v>0</v>
      </c>
      <c r="AR313" t="s">
        <v>4906</v>
      </c>
      <c r="AS313" t="s">
        <v>64</v>
      </c>
      <c r="AT313">
        <v>0.48</v>
      </c>
      <c r="AU313" t="s">
        <v>65</v>
      </c>
      <c r="AV313">
        <v>49</v>
      </c>
      <c r="AW313">
        <v>5</v>
      </c>
      <c r="AX313" t="s">
        <v>4907</v>
      </c>
      <c r="AY313" t="s">
        <v>4908</v>
      </c>
      <c r="AZ313" t="s">
        <v>4909</v>
      </c>
      <c r="BA313">
        <v>2.622E-2</v>
      </c>
      <c r="BB313">
        <v>1</v>
      </c>
      <c r="BC313" t="s">
        <v>69</v>
      </c>
      <c r="BD313">
        <v>-0.628</v>
      </c>
      <c r="BE313">
        <v>-0.628</v>
      </c>
    </row>
    <row r="314" spans="1:57">
      <c r="A314">
        <v>0</v>
      </c>
      <c r="B314">
        <v>0</v>
      </c>
      <c r="C314">
        <v>0</v>
      </c>
      <c r="D314">
        <v>3606</v>
      </c>
      <c r="E314" t="s">
        <v>4910</v>
      </c>
      <c r="F314" t="s">
        <v>5762</v>
      </c>
      <c r="G314" t="s">
        <v>62</v>
      </c>
      <c r="H314">
        <v>3573210</v>
      </c>
      <c r="I314">
        <v>3574157</v>
      </c>
      <c r="J314" t="s">
        <v>4911</v>
      </c>
      <c r="K314">
        <v>316</v>
      </c>
      <c r="L314" t="s">
        <v>83</v>
      </c>
      <c r="M314">
        <v>4</v>
      </c>
      <c r="N314" t="str">
        <f>HYPERLINK("Gene3606-zp_tree_all.dnd", "Gene3606-tree")</f>
        <v>Gene3606-tree</v>
      </c>
      <c r="O314">
        <v>3</v>
      </c>
      <c r="P314">
        <v>1</v>
      </c>
      <c r="Q314">
        <v>3</v>
      </c>
      <c r="R314">
        <v>1</v>
      </c>
      <c r="S314">
        <v>0.25</v>
      </c>
      <c r="T314" t="s">
        <v>84</v>
      </c>
      <c r="U314" t="s">
        <v>61</v>
      </c>
      <c r="V314" t="s">
        <v>62</v>
      </c>
      <c r="W314" t="s">
        <v>62</v>
      </c>
      <c r="X314">
        <v>0</v>
      </c>
      <c r="Y314">
        <v>0</v>
      </c>
      <c r="Z314">
        <v>2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1</v>
      </c>
      <c r="AK314">
        <v>0</v>
      </c>
      <c r="AL314">
        <v>3</v>
      </c>
      <c r="AM314">
        <v>1</v>
      </c>
      <c r="AN314">
        <v>41</v>
      </c>
      <c r="AO314">
        <v>1</v>
      </c>
      <c r="AP314">
        <v>10</v>
      </c>
      <c r="AQ314">
        <v>1</v>
      </c>
      <c r="AR314" t="s">
        <v>4912</v>
      </c>
      <c r="AS314" t="s">
        <v>4913</v>
      </c>
      <c r="AT314">
        <v>1.9770000000000001</v>
      </c>
      <c r="AU314" t="s">
        <v>65</v>
      </c>
      <c r="AV314">
        <v>51</v>
      </c>
      <c r="AW314">
        <v>2</v>
      </c>
      <c r="AX314" t="s">
        <v>4914</v>
      </c>
      <c r="AY314" t="s">
        <v>4915</v>
      </c>
      <c r="AZ314" t="s">
        <v>4916</v>
      </c>
      <c r="BA314">
        <v>1.188E-2</v>
      </c>
      <c r="BB314">
        <v>1</v>
      </c>
      <c r="BC314" t="s">
        <v>69</v>
      </c>
      <c r="BD314">
        <v>-0.13300000000000001</v>
      </c>
      <c r="BE314">
        <v>-0.317</v>
      </c>
    </row>
    <row r="315" spans="1:57">
      <c r="A315">
        <v>0</v>
      </c>
      <c r="B315">
        <v>0</v>
      </c>
      <c r="C315">
        <v>0</v>
      </c>
      <c r="D315">
        <v>3608</v>
      </c>
      <c r="E315" t="s">
        <v>4917</v>
      </c>
      <c r="F315" t="s">
        <v>5762</v>
      </c>
      <c r="G315" t="s">
        <v>62</v>
      </c>
      <c r="H315">
        <v>3576168</v>
      </c>
      <c r="I315">
        <v>3577619</v>
      </c>
      <c r="J315" t="s">
        <v>118</v>
      </c>
      <c r="K315">
        <v>484</v>
      </c>
      <c r="L315" t="s">
        <v>83</v>
      </c>
      <c r="M315">
        <v>4</v>
      </c>
      <c r="N315" t="str">
        <f>HYPERLINK("Gene3608-zp_tree_all.dnd", "Gene3608-tree")</f>
        <v>Gene3608-tree</v>
      </c>
      <c r="O315">
        <v>0</v>
      </c>
      <c r="P315">
        <v>4</v>
      </c>
      <c r="Q315">
        <v>0</v>
      </c>
      <c r="R315">
        <v>4</v>
      </c>
      <c r="S315">
        <v>1</v>
      </c>
      <c r="T315" t="s">
        <v>62</v>
      </c>
      <c r="U315" t="s">
        <v>60</v>
      </c>
      <c r="V315" t="s">
        <v>62</v>
      </c>
      <c r="W315" t="s">
        <v>62</v>
      </c>
      <c r="X315">
        <v>0</v>
      </c>
      <c r="Y315">
        <v>0</v>
      </c>
      <c r="Z315">
        <v>10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9</v>
      </c>
      <c r="AK315">
        <v>0</v>
      </c>
      <c r="AL315">
        <v>4</v>
      </c>
      <c r="AM315">
        <v>1</v>
      </c>
      <c r="AN315">
        <v>65</v>
      </c>
      <c r="AO315">
        <v>9</v>
      </c>
      <c r="AP315">
        <v>4</v>
      </c>
      <c r="AQ315">
        <v>1</v>
      </c>
      <c r="AR315" t="s">
        <v>4918</v>
      </c>
      <c r="AS315" t="s">
        <v>4919</v>
      </c>
      <c r="AT315">
        <v>0.83199999999999996</v>
      </c>
      <c r="AU315" t="s">
        <v>65</v>
      </c>
      <c r="AV315">
        <v>69</v>
      </c>
      <c r="AW315">
        <v>10</v>
      </c>
      <c r="AX315" t="s">
        <v>4920</v>
      </c>
      <c r="AY315" t="s">
        <v>4921</v>
      </c>
      <c r="AZ315" t="s">
        <v>4922</v>
      </c>
      <c r="BA315">
        <v>3.9230000000000001E-2</v>
      </c>
      <c r="BB315">
        <v>1</v>
      </c>
      <c r="BC315" t="s">
        <v>69</v>
      </c>
      <c r="BD315">
        <v>-0.57999999999999996</v>
      </c>
      <c r="BE315">
        <v>-0.82899999999999996</v>
      </c>
    </row>
    <row r="316" spans="1:57">
      <c r="A316">
        <v>0</v>
      </c>
      <c r="B316">
        <v>0</v>
      </c>
      <c r="C316">
        <v>0</v>
      </c>
      <c r="D316">
        <v>3645</v>
      </c>
      <c r="E316" t="s">
        <v>4923</v>
      </c>
      <c r="F316" t="s">
        <v>5762</v>
      </c>
      <c r="G316" t="s">
        <v>62</v>
      </c>
      <c r="H316">
        <v>3615119</v>
      </c>
      <c r="I316">
        <v>3615346</v>
      </c>
      <c r="J316" t="s">
        <v>3769</v>
      </c>
      <c r="K316">
        <v>76</v>
      </c>
      <c r="L316" t="s">
        <v>59</v>
      </c>
      <c r="M316">
        <v>5</v>
      </c>
      <c r="N316" t="str">
        <f>HYPERLINK("Gene3645-zp_tree_all.dnd", "Gene3645-tree")</f>
        <v>Gene3645-tree</v>
      </c>
      <c r="O316">
        <v>3</v>
      </c>
      <c r="P316">
        <v>1</v>
      </c>
      <c r="Q316">
        <v>3</v>
      </c>
      <c r="R316">
        <v>1</v>
      </c>
      <c r="S316">
        <v>0.25</v>
      </c>
      <c r="T316" t="s">
        <v>84</v>
      </c>
      <c r="U316" t="s">
        <v>61</v>
      </c>
      <c r="V316" t="s">
        <v>62</v>
      </c>
      <c r="W316" t="s">
        <v>62</v>
      </c>
      <c r="X316">
        <v>0</v>
      </c>
      <c r="Y316">
        <v>0</v>
      </c>
      <c r="Z316">
        <v>1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1</v>
      </c>
      <c r="AK316">
        <v>0</v>
      </c>
      <c r="AL316">
        <v>3</v>
      </c>
      <c r="AM316">
        <v>1</v>
      </c>
      <c r="AN316">
        <v>4</v>
      </c>
      <c r="AO316">
        <v>1</v>
      </c>
      <c r="AP316">
        <v>4</v>
      </c>
      <c r="AQ316">
        <v>0</v>
      </c>
      <c r="AR316" t="s">
        <v>4924</v>
      </c>
      <c r="AS316" t="s">
        <v>64</v>
      </c>
      <c r="AT316">
        <v>0.69299999999999995</v>
      </c>
      <c r="AU316" t="s">
        <v>65</v>
      </c>
      <c r="AV316">
        <v>8</v>
      </c>
      <c r="AW316">
        <v>1</v>
      </c>
      <c r="AX316" t="s">
        <v>4925</v>
      </c>
      <c r="AY316" t="s">
        <v>4926</v>
      </c>
      <c r="AZ316" t="s">
        <v>4927</v>
      </c>
      <c r="BA316">
        <v>6.1440000000000002E-2</v>
      </c>
      <c r="BB316">
        <v>1</v>
      </c>
      <c r="BC316" t="s">
        <v>69</v>
      </c>
      <c r="BD316">
        <v>0.13200000000000001</v>
      </c>
      <c r="BE316">
        <v>0.13200000000000001</v>
      </c>
    </row>
    <row r="317" spans="1:57">
      <c r="A317">
        <v>0</v>
      </c>
      <c r="B317">
        <v>0</v>
      </c>
      <c r="C317">
        <v>0</v>
      </c>
      <c r="D317">
        <v>3653</v>
      </c>
      <c r="E317" t="s">
        <v>4928</v>
      </c>
      <c r="F317" t="s">
        <v>5762</v>
      </c>
      <c r="G317" t="s">
        <v>62</v>
      </c>
      <c r="H317">
        <v>3623941</v>
      </c>
      <c r="I317">
        <v>3624828</v>
      </c>
      <c r="J317" t="s">
        <v>4929</v>
      </c>
      <c r="K317">
        <v>296</v>
      </c>
      <c r="L317" t="s">
        <v>59</v>
      </c>
      <c r="M317">
        <v>5</v>
      </c>
      <c r="N317" t="str">
        <f>HYPERLINK("Gene3653-zp_tree_all.dnd", "Gene3653-tree")</f>
        <v>Gene3653-tree</v>
      </c>
      <c r="O317">
        <v>2</v>
      </c>
      <c r="P317">
        <v>3</v>
      </c>
      <c r="Q317">
        <v>2</v>
      </c>
      <c r="R317">
        <v>3</v>
      </c>
      <c r="S317">
        <v>0.6</v>
      </c>
      <c r="T317" t="s">
        <v>135</v>
      </c>
      <c r="U317" t="s">
        <v>84</v>
      </c>
      <c r="V317" t="s">
        <v>62</v>
      </c>
      <c r="W317" t="s">
        <v>62</v>
      </c>
      <c r="X317">
        <v>0</v>
      </c>
      <c r="Y317">
        <v>0</v>
      </c>
      <c r="Z317">
        <v>8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4</v>
      </c>
      <c r="AK317">
        <v>0</v>
      </c>
      <c r="AL317">
        <v>5</v>
      </c>
      <c r="AM317">
        <v>2</v>
      </c>
      <c r="AN317">
        <v>23</v>
      </c>
      <c r="AO317">
        <v>4</v>
      </c>
      <c r="AP317">
        <v>21</v>
      </c>
      <c r="AQ317">
        <v>4</v>
      </c>
      <c r="AR317" t="s">
        <v>4930</v>
      </c>
      <c r="AS317" t="s">
        <v>4931</v>
      </c>
      <c r="AT317">
        <v>3.4000000000000002E-2</v>
      </c>
      <c r="AU317" t="s">
        <v>65</v>
      </c>
      <c r="AV317">
        <v>44</v>
      </c>
      <c r="AW317">
        <v>8</v>
      </c>
      <c r="AX317" t="s">
        <v>4932</v>
      </c>
      <c r="AY317" t="s">
        <v>4933</v>
      </c>
      <c r="AZ317" t="s">
        <v>4934</v>
      </c>
      <c r="BA317">
        <v>5.1369999999999999E-2</v>
      </c>
      <c r="BB317">
        <v>1</v>
      </c>
      <c r="BC317" t="s">
        <v>69</v>
      </c>
      <c r="BD317">
        <v>0.34499999999999997</v>
      </c>
      <c r="BE317">
        <v>0.34499999999999997</v>
      </c>
    </row>
    <row r="318" spans="1:57">
      <c r="A318">
        <v>0</v>
      </c>
      <c r="B318">
        <v>0</v>
      </c>
      <c r="C318">
        <v>0</v>
      </c>
      <c r="D318">
        <v>3654</v>
      </c>
      <c r="E318" t="s">
        <v>4935</v>
      </c>
      <c r="F318" t="s">
        <v>5762</v>
      </c>
      <c r="G318" t="s">
        <v>62</v>
      </c>
      <c r="H318">
        <v>3624824</v>
      </c>
      <c r="I318">
        <v>3625507</v>
      </c>
      <c r="J318" t="s">
        <v>4936</v>
      </c>
      <c r="K318">
        <v>228</v>
      </c>
      <c r="L318" t="s">
        <v>59</v>
      </c>
      <c r="M318">
        <v>5</v>
      </c>
      <c r="N318" t="str">
        <f>HYPERLINK("Gene3654-zp_tree_all.dnd", "Gene3654-tree")</f>
        <v>Gene3654-tree</v>
      </c>
      <c r="O318">
        <v>5</v>
      </c>
      <c r="P318">
        <v>0</v>
      </c>
      <c r="Q318">
        <v>5</v>
      </c>
      <c r="R318">
        <v>0</v>
      </c>
      <c r="S318">
        <v>0</v>
      </c>
      <c r="T318" t="s">
        <v>98</v>
      </c>
      <c r="U318" t="s">
        <v>62</v>
      </c>
      <c r="V318" t="s">
        <v>62</v>
      </c>
      <c r="W318" t="s">
        <v>62</v>
      </c>
      <c r="X318">
        <v>0</v>
      </c>
      <c r="Y318">
        <v>0</v>
      </c>
      <c r="Z318">
        <v>2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5</v>
      </c>
      <c r="AM318">
        <v>2</v>
      </c>
      <c r="AN318">
        <v>25</v>
      </c>
      <c r="AO318">
        <v>0</v>
      </c>
      <c r="AP318">
        <v>17</v>
      </c>
      <c r="AQ318">
        <v>3</v>
      </c>
      <c r="AR318" t="s">
        <v>64</v>
      </c>
      <c r="AS318" t="s">
        <v>4937</v>
      </c>
      <c r="AT318">
        <v>0.98399999999999999</v>
      </c>
      <c r="AU318" t="s">
        <v>65</v>
      </c>
      <c r="AV318">
        <v>42</v>
      </c>
      <c r="AW318">
        <v>3</v>
      </c>
      <c r="AX318" t="s">
        <v>4938</v>
      </c>
      <c r="AY318" t="s">
        <v>4939</v>
      </c>
      <c r="AZ318" t="s">
        <v>4940</v>
      </c>
      <c r="BA318">
        <v>2.4930000000000001E-2</v>
      </c>
      <c r="BB318">
        <v>1</v>
      </c>
      <c r="BC318" t="s">
        <v>69</v>
      </c>
      <c r="BD318">
        <v>0.61899999999999999</v>
      </c>
      <c r="BE318">
        <v>0.27500000000000002</v>
      </c>
    </row>
    <row r="319" spans="1:57">
      <c r="A319">
        <v>0</v>
      </c>
      <c r="B319">
        <v>0</v>
      </c>
      <c r="C319">
        <v>0</v>
      </c>
      <c r="D319">
        <v>3657</v>
      </c>
      <c r="E319" t="s">
        <v>4941</v>
      </c>
      <c r="F319" t="s">
        <v>5762</v>
      </c>
      <c r="G319" t="s">
        <v>62</v>
      </c>
      <c r="H319">
        <v>3628313</v>
      </c>
      <c r="I319">
        <v>3630835</v>
      </c>
      <c r="J319" t="s">
        <v>4942</v>
      </c>
      <c r="K319">
        <v>841</v>
      </c>
      <c r="L319" t="s">
        <v>83</v>
      </c>
      <c r="M319">
        <v>4</v>
      </c>
      <c r="N319" t="str">
        <f>HYPERLINK("Gene3657-zp_tree_all.dnd", "Gene3657-tree")</f>
        <v>Gene3657-tree</v>
      </c>
      <c r="O319">
        <v>2</v>
      </c>
      <c r="P319">
        <v>2</v>
      </c>
      <c r="Q319">
        <v>2</v>
      </c>
      <c r="R319">
        <v>2</v>
      </c>
      <c r="S319">
        <v>0.5</v>
      </c>
      <c r="T319" t="s">
        <v>135</v>
      </c>
      <c r="U319" t="s">
        <v>135</v>
      </c>
      <c r="V319" t="s">
        <v>62</v>
      </c>
      <c r="W319" t="s">
        <v>62</v>
      </c>
      <c r="X319">
        <v>0</v>
      </c>
      <c r="Y319">
        <v>0</v>
      </c>
      <c r="Z319">
        <v>17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17</v>
      </c>
      <c r="AK319">
        <v>0</v>
      </c>
      <c r="AL319">
        <v>4</v>
      </c>
      <c r="AM319">
        <v>1</v>
      </c>
      <c r="AN319">
        <v>117</v>
      </c>
      <c r="AO319">
        <v>17</v>
      </c>
      <c r="AP319">
        <v>16</v>
      </c>
      <c r="AQ319">
        <v>0</v>
      </c>
      <c r="AR319" t="s">
        <v>4943</v>
      </c>
      <c r="AS319" t="s">
        <v>64</v>
      </c>
      <c r="AT319">
        <v>0.48699999999999999</v>
      </c>
      <c r="AU319" t="s">
        <v>65</v>
      </c>
      <c r="AV319">
        <v>133</v>
      </c>
      <c r="AW319">
        <v>17</v>
      </c>
      <c r="AX319" t="s">
        <v>4944</v>
      </c>
      <c r="AY319" t="s">
        <v>4945</v>
      </c>
      <c r="AZ319" t="s">
        <v>4946</v>
      </c>
      <c r="BA319">
        <v>3.2969999999999999E-2</v>
      </c>
      <c r="BB319">
        <v>1</v>
      </c>
      <c r="BC319" t="s">
        <v>69</v>
      </c>
      <c r="BD319">
        <v>-0.32400000000000001</v>
      </c>
      <c r="BE319">
        <v>-0.66700000000000004</v>
      </c>
    </row>
    <row r="320" spans="1:57">
      <c r="A320">
        <v>0</v>
      </c>
      <c r="B320">
        <v>0</v>
      </c>
      <c r="C320">
        <v>0</v>
      </c>
      <c r="D320">
        <v>3658</v>
      </c>
      <c r="E320" t="s">
        <v>4947</v>
      </c>
      <c r="F320" t="s">
        <v>5762</v>
      </c>
      <c r="G320" t="s">
        <v>62</v>
      </c>
      <c r="H320">
        <v>3631006</v>
      </c>
      <c r="I320">
        <v>3631572</v>
      </c>
      <c r="J320" t="s">
        <v>4948</v>
      </c>
      <c r="K320">
        <v>189</v>
      </c>
      <c r="L320" t="s">
        <v>59</v>
      </c>
      <c r="M320">
        <v>5</v>
      </c>
      <c r="N320" t="str">
        <f>HYPERLINK("Gene3658-zp_tree_all.dnd", "Gene3658-tree")</f>
        <v>Gene3658-tree</v>
      </c>
      <c r="O320">
        <v>4</v>
      </c>
      <c r="P320">
        <v>1</v>
      </c>
      <c r="Q320">
        <v>3</v>
      </c>
      <c r="R320">
        <v>1</v>
      </c>
      <c r="S320">
        <v>0.25</v>
      </c>
      <c r="T320" t="s">
        <v>119</v>
      </c>
      <c r="U320" t="s">
        <v>61</v>
      </c>
      <c r="V320" t="s">
        <v>62</v>
      </c>
      <c r="W320" t="s">
        <v>62</v>
      </c>
      <c r="X320">
        <v>0</v>
      </c>
      <c r="Y320">
        <v>0</v>
      </c>
      <c r="Z320">
        <v>5</v>
      </c>
      <c r="AA320">
        <v>0</v>
      </c>
      <c r="AB320">
        <v>0</v>
      </c>
      <c r="AC320">
        <v>0</v>
      </c>
      <c r="AD320">
        <v>0</v>
      </c>
      <c r="AE320">
        <v>4</v>
      </c>
      <c r="AF320">
        <v>0</v>
      </c>
      <c r="AG320">
        <v>0</v>
      </c>
      <c r="AH320">
        <v>0</v>
      </c>
      <c r="AI320">
        <v>0</v>
      </c>
      <c r="AJ320">
        <v>1</v>
      </c>
      <c r="AK320">
        <v>0</v>
      </c>
      <c r="AL320">
        <v>3</v>
      </c>
      <c r="AM320">
        <v>1</v>
      </c>
      <c r="AN320">
        <v>14</v>
      </c>
      <c r="AO320">
        <v>1</v>
      </c>
      <c r="AP320">
        <v>6</v>
      </c>
      <c r="AQ320">
        <v>4</v>
      </c>
      <c r="AR320" t="s">
        <v>4949</v>
      </c>
      <c r="AS320" t="s">
        <v>4950</v>
      </c>
      <c r="AT320">
        <v>6.5720000000000001</v>
      </c>
      <c r="AU320" t="s">
        <v>65</v>
      </c>
      <c r="AV320">
        <v>20</v>
      </c>
      <c r="AW320">
        <v>5</v>
      </c>
      <c r="AX320" t="s">
        <v>4951</v>
      </c>
      <c r="AY320" t="s">
        <v>4952</v>
      </c>
      <c r="AZ320" t="s">
        <v>4953</v>
      </c>
      <c r="BA320">
        <v>7.2319999999999995E-2</v>
      </c>
      <c r="BB320">
        <v>1</v>
      </c>
      <c r="BC320" t="s">
        <v>69</v>
      </c>
      <c r="BD320">
        <v>0.245</v>
      </c>
      <c r="BE320">
        <v>-7.6999999999999999E-2</v>
      </c>
    </row>
    <row r="321" spans="1:57">
      <c r="A321">
        <v>0</v>
      </c>
      <c r="B321">
        <v>2</v>
      </c>
      <c r="C321">
        <v>0</v>
      </c>
      <c r="D321">
        <v>3661</v>
      </c>
      <c r="E321" t="s">
        <v>4954</v>
      </c>
      <c r="F321" t="s">
        <v>5762</v>
      </c>
      <c r="G321" t="s">
        <v>62</v>
      </c>
      <c r="H321">
        <v>3632491</v>
      </c>
      <c r="I321">
        <v>3632889</v>
      </c>
      <c r="J321" t="s">
        <v>4955</v>
      </c>
      <c r="K321">
        <v>133</v>
      </c>
      <c r="L321" t="s">
        <v>112</v>
      </c>
      <c r="M321">
        <v>4</v>
      </c>
      <c r="N321" t="str">
        <f>HYPERLINK("Gene3661-zp_tree_all.dnd", "Gene3661-tree")</f>
        <v>Gene3661-tree</v>
      </c>
      <c r="O321">
        <v>2</v>
      </c>
      <c r="P321">
        <v>2</v>
      </c>
      <c r="Q321">
        <v>2</v>
      </c>
      <c r="R321">
        <v>2</v>
      </c>
      <c r="S321">
        <v>0.5</v>
      </c>
      <c r="T321" t="s">
        <v>135</v>
      </c>
      <c r="U321" t="s">
        <v>135</v>
      </c>
      <c r="V321" t="s">
        <v>62</v>
      </c>
      <c r="W321" t="s">
        <v>62</v>
      </c>
      <c r="X321">
        <v>1</v>
      </c>
      <c r="Y321">
        <v>2</v>
      </c>
      <c r="Z321">
        <v>2</v>
      </c>
      <c r="AA321">
        <v>0.5</v>
      </c>
      <c r="AB321">
        <v>0</v>
      </c>
      <c r="AC321">
        <v>0</v>
      </c>
      <c r="AD321">
        <v>0</v>
      </c>
      <c r="AE321">
        <v>1</v>
      </c>
      <c r="AF321">
        <v>0</v>
      </c>
      <c r="AG321">
        <v>2</v>
      </c>
      <c r="AH321">
        <v>0</v>
      </c>
      <c r="AI321">
        <v>2</v>
      </c>
      <c r="AJ321">
        <v>1</v>
      </c>
      <c r="AK321">
        <v>0.66666999999999998</v>
      </c>
      <c r="AL321">
        <v>4</v>
      </c>
      <c r="AM321">
        <v>1</v>
      </c>
      <c r="AN321">
        <v>23</v>
      </c>
      <c r="AO321">
        <v>3</v>
      </c>
      <c r="AP321">
        <v>3</v>
      </c>
      <c r="AQ321">
        <v>1</v>
      </c>
      <c r="AR321" t="s">
        <v>4956</v>
      </c>
      <c r="AS321" t="s">
        <v>4957</v>
      </c>
      <c r="AT321">
        <v>2.4409999999999998</v>
      </c>
      <c r="AU321" t="s">
        <v>65</v>
      </c>
      <c r="AV321">
        <v>26</v>
      </c>
      <c r="AW321">
        <v>4</v>
      </c>
      <c r="AX321" t="s">
        <v>4958</v>
      </c>
      <c r="AY321" t="s">
        <v>4959</v>
      </c>
      <c r="AZ321" t="s">
        <v>4960</v>
      </c>
      <c r="BA321">
        <v>3.6560000000000002E-2</v>
      </c>
      <c r="BB321">
        <v>1</v>
      </c>
      <c r="BC321" t="s">
        <v>69</v>
      </c>
      <c r="BD321">
        <v>0.23100000000000001</v>
      </c>
      <c r="BE321">
        <v>-0.13200000000000001</v>
      </c>
    </row>
    <row r="322" spans="1:57">
      <c r="A322">
        <v>0</v>
      </c>
      <c r="B322">
        <v>0</v>
      </c>
      <c r="C322">
        <v>0</v>
      </c>
      <c r="D322">
        <v>3665</v>
      </c>
      <c r="E322" t="s">
        <v>4961</v>
      </c>
      <c r="F322" t="s">
        <v>5762</v>
      </c>
      <c r="G322" t="s">
        <v>62</v>
      </c>
      <c r="H322">
        <v>3636049</v>
      </c>
      <c r="I322">
        <v>3636270</v>
      </c>
      <c r="J322" t="s">
        <v>4962</v>
      </c>
      <c r="K322">
        <v>74</v>
      </c>
      <c r="L322" t="s">
        <v>59</v>
      </c>
      <c r="M322">
        <v>5</v>
      </c>
      <c r="N322" t="str">
        <f>HYPERLINK("Gene3665-zp_tree_all.dnd", "Gene3665-tree")</f>
        <v>Gene3665-tree</v>
      </c>
      <c r="O322">
        <v>2</v>
      </c>
      <c r="P322">
        <v>3</v>
      </c>
      <c r="Q322">
        <v>2</v>
      </c>
      <c r="R322">
        <v>3</v>
      </c>
      <c r="S322">
        <v>0.6</v>
      </c>
      <c r="T322" t="s">
        <v>135</v>
      </c>
      <c r="U322" t="s">
        <v>84</v>
      </c>
      <c r="V322" t="s">
        <v>62</v>
      </c>
      <c r="W322" t="s">
        <v>62</v>
      </c>
      <c r="X322">
        <v>0</v>
      </c>
      <c r="Y322">
        <v>0</v>
      </c>
      <c r="Z322">
        <v>4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4</v>
      </c>
      <c r="AK322">
        <v>0</v>
      </c>
      <c r="AL322">
        <v>5</v>
      </c>
      <c r="AM322">
        <v>2</v>
      </c>
      <c r="AN322">
        <v>7</v>
      </c>
      <c r="AO322">
        <v>4</v>
      </c>
      <c r="AP322">
        <v>5</v>
      </c>
      <c r="AQ322">
        <v>0</v>
      </c>
      <c r="AR322" t="s">
        <v>4963</v>
      </c>
      <c r="AS322" t="s">
        <v>64</v>
      </c>
      <c r="AT322">
        <v>1.827</v>
      </c>
      <c r="AU322" t="s">
        <v>65</v>
      </c>
      <c r="AV322">
        <v>12</v>
      </c>
      <c r="AW322">
        <v>4</v>
      </c>
      <c r="AX322" t="s">
        <v>4964</v>
      </c>
      <c r="AY322" t="s">
        <v>4965</v>
      </c>
      <c r="AZ322" t="s">
        <v>4966</v>
      </c>
      <c r="BA322">
        <v>7.2020000000000001E-2</v>
      </c>
      <c r="BB322">
        <v>1</v>
      </c>
      <c r="BC322" t="s">
        <v>69</v>
      </c>
      <c r="BD322">
        <v>-0.26700000000000002</v>
      </c>
      <c r="BE322">
        <v>-0.26700000000000002</v>
      </c>
    </row>
    <row r="323" spans="1:57">
      <c r="A323">
        <v>0</v>
      </c>
      <c r="B323">
        <v>0</v>
      </c>
      <c r="C323">
        <v>0</v>
      </c>
      <c r="D323">
        <v>3666</v>
      </c>
      <c r="E323" t="s">
        <v>4967</v>
      </c>
      <c r="F323" t="s">
        <v>5762</v>
      </c>
      <c r="G323" t="s">
        <v>62</v>
      </c>
      <c r="H323">
        <v>3636267</v>
      </c>
      <c r="I323">
        <v>3636695</v>
      </c>
      <c r="J323" t="s">
        <v>4968</v>
      </c>
      <c r="K323">
        <v>143</v>
      </c>
      <c r="L323" t="s">
        <v>59</v>
      </c>
      <c r="M323">
        <v>5</v>
      </c>
      <c r="N323" t="str">
        <f>HYPERLINK("Gene3666-zp_tree_all.dnd", "Gene3666-tree")</f>
        <v>Gene3666-tree</v>
      </c>
      <c r="O323">
        <v>4</v>
      </c>
      <c r="P323">
        <v>1</v>
      </c>
      <c r="Q323">
        <v>4</v>
      </c>
      <c r="R323">
        <v>1</v>
      </c>
      <c r="S323">
        <v>0.2</v>
      </c>
      <c r="T323" t="s">
        <v>60</v>
      </c>
      <c r="U323" t="s">
        <v>61</v>
      </c>
      <c r="V323" t="s">
        <v>62</v>
      </c>
      <c r="W323" t="s">
        <v>62</v>
      </c>
      <c r="X323">
        <v>0</v>
      </c>
      <c r="Y323">
        <v>0</v>
      </c>
      <c r="Z323">
        <v>4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1</v>
      </c>
      <c r="AK323">
        <v>0</v>
      </c>
      <c r="AL323">
        <v>5</v>
      </c>
      <c r="AM323">
        <v>2</v>
      </c>
      <c r="AN323">
        <v>13</v>
      </c>
      <c r="AO323">
        <v>1</v>
      </c>
      <c r="AP323">
        <v>13</v>
      </c>
      <c r="AQ323">
        <v>3</v>
      </c>
      <c r="AR323" t="s">
        <v>4969</v>
      </c>
      <c r="AS323" t="s">
        <v>4970</v>
      </c>
      <c r="AT323">
        <v>0.52200000000000002</v>
      </c>
      <c r="AU323" t="s">
        <v>65</v>
      </c>
      <c r="AV323">
        <v>26</v>
      </c>
      <c r="AW323">
        <v>4</v>
      </c>
      <c r="AX323" t="s">
        <v>4971</v>
      </c>
      <c r="AY323" t="s">
        <v>4972</v>
      </c>
      <c r="AZ323" t="s">
        <v>4973</v>
      </c>
      <c r="BA323">
        <v>4.2659999999999997E-2</v>
      </c>
      <c r="BB323">
        <v>1</v>
      </c>
      <c r="BC323" t="s">
        <v>69</v>
      </c>
      <c r="BD323">
        <v>0.88600000000000001</v>
      </c>
      <c r="BE323">
        <v>0.59799999999999998</v>
      </c>
    </row>
    <row r="324" spans="1:57">
      <c r="A324">
        <v>0</v>
      </c>
      <c r="B324">
        <v>0</v>
      </c>
      <c r="C324">
        <v>0</v>
      </c>
      <c r="D324">
        <v>3671</v>
      </c>
      <c r="E324" t="s">
        <v>4974</v>
      </c>
      <c r="F324" t="s">
        <v>5762</v>
      </c>
      <c r="G324" t="s">
        <v>62</v>
      </c>
      <c r="H324">
        <v>3640288</v>
      </c>
      <c r="I324">
        <v>3640551</v>
      </c>
      <c r="J324" t="s">
        <v>4975</v>
      </c>
      <c r="K324">
        <v>88</v>
      </c>
      <c r="L324" t="s">
        <v>59</v>
      </c>
      <c r="M324">
        <v>5</v>
      </c>
      <c r="N324" t="str">
        <f>HYPERLINK("Gene3671-zp_tree_all.dnd", "Gene3671-tree")</f>
        <v>Gene3671-tree</v>
      </c>
      <c r="O324">
        <v>0</v>
      </c>
      <c r="P324">
        <v>4</v>
      </c>
      <c r="Q324">
        <v>0</v>
      </c>
      <c r="R324">
        <v>4</v>
      </c>
      <c r="S324">
        <v>1</v>
      </c>
      <c r="T324" t="s">
        <v>62</v>
      </c>
      <c r="U324" t="s">
        <v>60</v>
      </c>
      <c r="V324" t="s">
        <v>62</v>
      </c>
      <c r="W324" t="s">
        <v>62</v>
      </c>
      <c r="X324">
        <v>0</v>
      </c>
      <c r="Y324">
        <v>0</v>
      </c>
      <c r="Z324">
        <v>7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7</v>
      </c>
      <c r="AK324">
        <v>0</v>
      </c>
      <c r="AL324">
        <v>3</v>
      </c>
      <c r="AM324">
        <v>1</v>
      </c>
      <c r="AN324">
        <v>2</v>
      </c>
      <c r="AO324">
        <v>3</v>
      </c>
      <c r="AP324">
        <v>5</v>
      </c>
      <c r="AQ324">
        <v>4</v>
      </c>
      <c r="AR324" t="s">
        <v>4976</v>
      </c>
      <c r="AS324" t="s">
        <v>4977</v>
      </c>
      <c r="AT324">
        <v>0.41799999999999998</v>
      </c>
      <c r="AU324" t="s">
        <v>65</v>
      </c>
      <c r="AV324">
        <v>7</v>
      </c>
      <c r="AW324">
        <v>7</v>
      </c>
      <c r="AX324" t="s">
        <v>4978</v>
      </c>
      <c r="AY324" t="s">
        <v>4979</v>
      </c>
      <c r="AZ324" t="s">
        <v>4980</v>
      </c>
      <c r="BA324">
        <v>0.25206000000000001</v>
      </c>
      <c r="BB324">
        <v>0.94699999999999995</v>
      </c>
      <c r="BC324" t="s">
        <v>793</v>
      </c>
      <c r="BD324">
        <v>1.117</v>
      </c>
      <c r="BE324">
        <v>0.65200000000000002</v>
      </c>
    </row>
    <row r="325" spans="1:57">
      <c r="A325">
        <v>0</v>
      </c>
      <c r="B325">
        <v>0</v>
      </c>
      <c r="C325">
        <v>0</v>
      </c>
      <c r="D325">
        <v>3677</v>
      </c>
      <c r="E325" t="s">
        <v>4981</v>
      </c>
      <c r="F325" t="s">
        <v>5762</v>
      </c>
      <c r="G325" t="s">
        <v>62</v>
      </c>
      <c r="H325">
        <v>3644610</v>
      </c>
      <c r="I325">
        <v>3645296</v>
      </c>
      <c r="J325" t="s">
        <v>4042</v>
      </c>
      <c r="K325">
        <v>229</v>
      </c>
      <c r="L325" t="s">
        <v>59</v>
      </c>
      <c r="M325">
        <v>5</v>
      </c>
      <c r="N325" t="str">
        <f>HYPERLINK("Gene3677-zp_tree_all.dnd", "Gene3677-tree")</f>
        <v>Gene3677-tree</v>
      </c>
      <c r="O325">
        <v>5</v>
      </c>
      <c r="P325">
        <v>0</v>
      </c>
      <c r="Q325">
        <v>5</v>
      </c>
      <c r="R325">
        <v>0</v>
      </c>
      <c r="S325">
        <v>0</v>
      </c>
      <c r="T325" t="s">
        <v>98</v>
      </c>
      <c r="U325" t="s">
        <v>62</v>
      </c>
      <c r="V325" t="s">
        <v>62</v>
      </c>
      <c r="W325" t="s">
        <v>62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5</v>
      </c>
      <c r="AM325">
        <v>2</v>
      </c>
      <c r="AN325">
        <v>12</v>
      </c>
      <c r="AO325">
        <v>0</v>
      </c>
      <c r="AP325">
        <v>12</v>
      </c>
      <c r="AQ325">
        <v>0</v>
      </c>
      <c r="AR325" t="s">
        <v>64</v>
      </c>
      <c r="AS325" t="s">
        <v>64</v>
      </c>
      <c r="AT325">
        <v>0</v>
      </c>
      <c r="AU325" t="s">
        <v>65</v>
      </c>
      <c r="AV325">
        <v>24</v>
      </c>
      <c r="AW325">
        <v>0</v>
      </c>
      <c r="AX325" t="s">
        <v>4982</v>
      </c>
      <c r="AY325" t="s">
        <v>4983</v>
      </c>
      <c r="AZ325" t="s">
        <v>64</v>
      </c>
      <c r="BA325">
        <v>0</v>
      </c>
      <c r="BB325">
        <v>1</v>
      </c>
      <c r="BC325" t="s">
        <v>69</v>
      </c>
      <c r="BD325">
        <v>0.31</v>
      </c>
      <c r="BE325">
        <v>0.31</v>
      </c>
    </row>
    <row r="326" spans="1:57">
      <c r="A326">
        <v>0</v>
      </c>
      <c r="B326">
        <v>0</v>
      </c>
      <c r="C326">
        <v>0</v>
      </c>
      <c r="D326">
        <v>3678</v>
      </c>
      <c r="E326" t="s">
        <v>4984</v>
      </c>
      <c r="F326" t="s">
        <v>5762</v>
      </c>
      <c r="G326" t="s">
        <v>62</v>
      </c>
      <c r="H326">
        <v>3645382</v>
      </c>
      <c r="I326">
        <v>3646536</v>
      </c>
      <c r="J326" t="s">
        <v>4985</v>
      </c>
      <c r="K326">
        <v>385</v>
      </c>
      <c r="L326" t="s">
        <v>59</v>
      </c>
      <c r="M326">
        <v>5</v>
      </c>
      <c r="N326" t="str">
        <f>HYPERLINK("Gene3678-zp_tree_all.dnd", "Gene3678-tree")</f>
        <v>Gene3678-tree</v>
      </c>
      <c r="O326">
        <v>3</v>
      </c>
      <c r="P326">
        <v>2</v>
      </c>
      <c r="Q326">
        <v>3</v>
      </c>
      <c r="R326">
        <v>2</v>
      </c>
      <c r="S326">
        <v>0.4</v>
      </c>
      <c r="T326" t="s">
        <v>84</v>
      </c>
      <c r="U326" t="s">
        <v>135</v>
      </c>
      <c r="V326" t="s">
        <v>62</v>
      </c>
      <c r="W326" t="s">
        <v>62</v>
      </c>
      <c r="X326">
        <v>0</v>
      </c>
      <c r="Y326">
        <v>0</v>
      </c>
      <c r="Z326">
        <v>3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3</v>
      </c>
      <c r="AK326">
        <v>0</v>
      </c>
      <c r="AL326">
        <v>5</v>
      </c>
      <c r="AM326">
        <v>2</v>
      </c>
      <c r="AN326">
        <v>22</v>
      </c>
      <c r="AO326">
        <v>3</v>
      </c>
      <c r="AP326">
        <v>34</v>
      </c>
      <c r="AQ326">
        <v>0</v>
      </c>
      <c r="AR326" t="s">
        <v>4986</v>
      </c>
      <c r="AS326" t="s">
        <v>64</v>
      </c>
      <c r="AT326">
        <v>1.06</v>
      </c>
      <c r="AU326" t="s">
        <v>65</v>
      </c>
      <c r="AV326">
        <v>56</v>
      </c>
      <c r="AW326">
        <v>3</v>
      </c>
      <c r="AX326" t="s">
        <v>4987</v>
      </c>
      <c r="AY326" t="s">
        <v>4988</v>
      </c>
      <c r="AZ326" t="s">
        <v>4989</v>
      </c>
      <c r="BA326">
        <v>1.0160000000000001E-2</v>
      </c>
      <c r="BB326">
        <v>1</v>
      </c>
      <c r="BC326" t="s">
        <v>69</v>
      </c>
      <c r="BD326">
        <v>0.75700000000000001</v>
      </c>
      <c r="BE326">
        <v>0.61899999999999999</v>
      </c>
    </row>
    <row r="327" spans="1:57">
      <c r="A327">
        <v>0</v>
      </c>
      <c r="B327">
        <v>0</v>
      </c>
      <c r="C327">
        <v>0</v>
      </c>
      <c r="D327">
        <v>3719</v>
      </c>
      <c r="E327" t="s">
        <v>5002</v>
      </c>
      <c r="F327" t="s">
        <v>5762</v>
      </c>
      <c r="G327" t="s">
        <v>62</v>
      </c>
      <c r="H327">
        <v>3697642</v>
      </c>
      <c r="I327">
        <v>3697806</v>
      </c>
      <c r="J327" t="s">
        <v>5003</v>
      </c>
      <c r="K327">
        <v>55</v>
      </c>
      <c r="L327" t="s">
        <v>83</v>
      </c>
      <c r="M327">
        <v>4</v>
      </c>
      <c r="N327" t="str">
        <f>HYPERLINK("Gene3719-zp_tree_all.dnd", "Gene3719-tree")</f>
        <v>Gene3719-tree</v>
      </c>
      <c r="O327">
        <v>3</v>
      </c>
      <c r="P327">
        <v>1</v>
      </c>
      <c r="Q327">
        <v>3</v>
      </c>
      <c r="R327">
        <v>1</v>
      </c>
      <c r="S327">
        <v>0.25</v>
      </c>
      <c r="T327" t="s">
        <v>84</v>
      </c>
      <c r="U327" t="s">
        <v>61</v>
      </c>
      <c r="V327" t="s">
        <v>62</v>
      </c>
      <c r="W327" t="s">
        <v>62</v>
      </c>
      <c r="X327">
        <v>0</v>
      </c>
      <c r="Y327">
        <v>0</v>
      </c>
      <c r="Z327">
        <v>3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3</v>
      </c>
      <c r="AK327">
        <v>0</v>
      </c>
      <c r="AL327">
        <v>4</v>
      </c>
      <c r="AM327">
        <v>1</v>
      </c>
      <c r="AN327">
        <v>5</v>
      </c>
      <c r="AO327">
        <v>3</v>
      </c>
      <c r="AP327">
        <v>1</v>
      </c>
      <c r="AQ327">
        <v>0</v>
      </c>
      <c r="AR327" t="s">
        <v>5004</v>
      </c>
      <c r="AS327" t="s">
        <v>64</v>
      </c>
      <c r="AT327">
        <v>0.63900000000000001</v>
      </c>
      <c r="AU327" t="s">
        <v>65</v>
      </c>
      <c r="AV327">
        <v>6</v>
      </c>
      <c r="AW327">
        <v>3</v>
      </c>
      <c r="AX327" t="s">
        <v>5005</v>
      </c>
      <c r="AY327" t="s">
        <v>5006</v>
      </c>
      <c r="AZ327" t="s">
        <v>5007</v>
      </c>
      <c r="BA327">
        <v>9.128E-2</v>
      </c>
      <c r="BB327">
        <v>1</v>
      </c>
      <c r="BC327" t="s">
        <v>69</v>
      </c>
      <c r="BD327">
        <v>-0.49199999999999999</v>
      </c>
      <c r="BE327">
        <v>-0.49199999999999999</v>
      </c>
    </row>
    <row r="328" spans="1:57">
      <c r="A328">
        <v>0</v>
      </c>
      <c r="B328">
        <v>0</v>
      </c>
      <c r="C328">
        <v>0</v>
      </c>
      <c r="D328">
        <v>3721</v>
      </c>
      <c r="E328" t="s">
        <v>5008</v>
      </c>
      <c r="F328" t="s">
        <v>5762</v>
      </c>
      <c r="G328" t="s">
        <v>62</v>
      </c>
      <c r="H328">
        <v>3698985</v>
      </c>
      <c r="I328">
        <v>3699431</v>
      </c>
      <c r="J328" t="s">
        <v>5009</v>
      </c>
      <c r="K328">
        <v>149</v>
      </c>
      <c r="L328" t="s">
        <v>59</v>
      </c>
      <c r="M328">
        <v>5</v>
      </c>
      <c r="N328" t="str">
        <f>HYPERLINK("Gene3721-zp_tree_all.dnd", "Gene3721-tree")</f>
        <v>Gene3721-tree</v>
      </c>
      <c r="O328">
        <v>4</v>
      </c>
      <c r="P328">
        <v>1</v>
      </c>
      <c r="Q328">
        <v>4</v>
      </c>
      <c r="R328">
        <v>1</v>
      </c>
      <c r="S328">
        <v>0.2</v>
      </c>
      <c r="T328" t="s">
        <v>60</v>
      </c>
      <c r="U328" t="s">
        <v>61</v>
      </c>
      <c r="V328" t="s">
        <v>62</v>
      </c>
      <c r="W328" t="s">
        <v>62</v>
      </c>
      <c r="X328">
        <v>0</v>
      </c>
      <c r="Y328">
        <v>0</v>
      </c>
      <c r="Z328">
        <v>1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1</v>
      </c>
      <c r="AK328">
        <v>0</v>
      </c>
      <c r="AL328">
        <v>4</v>
      </c>
      <c r="AM328">
        <v>2</v>
      </c>
      <c r="AN328">
        <v>12</v>
      </c>
      <c r="AO328">
        <v>1</v>
      </c>
      <c r="AP328">
        <v>5</v>
      </c>
      <c r="AQ328">
        <v>0</v>
      </c>
      <c r="AR328" t="s">
        <v>5010</v>
      </c>
      <c r="AS328" t="s">
        <v>64</v>
      </c>
      <c r="AT328">
        <v>0.58799999999999997</v>
      </c>
      <c r="AU328" t="s">
        <v>65</v>
      </c>
      <c r="AV328">
        <v>17</v>
      </c>
      <c r="AW328">
        <v>1</v>
      </c>
      <c r="AX328" t="s">
        <v>5011</v>
      </c>
      <c r="AY328" t="s">
        <v>5012</v>
      </c>
      <c r="AZ328" t="s">
        <v>5013</v>
      </c>
      <c r="BA328">
        <v>1.67E-2</v>
      </c>
      <c r="BB328">
        <v>1</v>
      </c>
      <c r="BC328" t="s">
        <v>69</v>
      </c>
      <c r="BD328">
        <v>-0.375</v>
      </c>
      <c r="BE328">
        <v>-0.375</v>
      </c>
    </row>
    <row r="329" spans="1:57">
      <c r="A329">
        <v>0</v>
      </c>
      <c r="B329">
        <v>0</v>
      </c>
      <c r="C329">
        <v>0</v>
      </c>
      <c r="D329">
        <v>3722</v>
      </c>
      <c r="E329" t="s">
        <v>5014</v>
      </c>
      <c r="F329" t="s">
        <v>5762</v>
      </c>
      <c r="G329" t="s">
        <v>62</v>
      </c>
      <c r="H329">
        <v>3699449</v>
      </c>
      <c r="I329">
        <v>3700627</v>
      </c>
      <c r="J329" t="s">
        <v>5015</v>
      </c>
      <c r="K329">
        <v>393</v>
      </c>
      <c r="L329" t="s">
        <v>59</v>
      </c>
      <c r="M329">
        <v>5</v>
      </c>
      <c r="N329" t="str">
        <f>HYPERLINK("Gene3722-zp_tree_all.dnd", "Gene3722-tree")</f>
        <v>Gene3722-tree</v>
      </c>
      <c r="O329">
        <v>4</v>
      </c>
      <c r="P329">
        <v>1</v>
      </c>
      <c r="Q329">
        <v>4</v>
      </c>
      <c r="R329">
        <v>1</v>
      </c>
      <c r="S329">
        <v>0.2</v>
      </c>
      <c r="T329" t="s">
        <v>60</v>
      </c>
      <c r="U329" t="s">
        <v>61</v>
      </c>
      <c r="V329" t="s">
        <v>62</v>
      </c>
      <c r="W329" t="s">
        <v>62</v>
      </c>
      <c r="X329">
        <v>0</v>
      </c>
      <c r="Y329">
        <v>0</v>
      </c>
      <c r="Z329">
        <v>3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1</v>
      </c>
      <c r="AK329">
        <v>0</v>
      </c>
      <c r="AL329">
        <v>5</v>
      </c>
      <c r="AM329">
        <v>2</v>
      </c>
      <c r="AN329">
        <v>25</v>
      </c>
      <c r="AO329">
        <v>1</v>
      </c>
      <c r="AP329">
        <v>24</v>
      </c>
      <c r="AQ329">
        <v>2</v>
      </c>
      <c r="AR329" t="s">
        <v>5016</v>
      </c>
      <c r="AS329" t="s">
        <v>5017</v>
      </c>
      <c r="AT329">
        <v>0.31900000000000001</v>
      </c>
      <c r="AU329" t="s">
        <v>65</v>
      </c>
      <c r="AV329">
        <v>49</v>
      </c>
      <c r="AW329">
        <v>3</v>
      </c>
      <c r="AX329" t="s">
        <v>5018</v>
      </c>
      <c r="AY329" t="s">
        <v>5019</v>
      </c>
      <c r="AZ329" t="s">
        <v>5020</v>
      </c>
      <c r="BA329">
        <v>1.7930000000000001E-2</v>
      </c>
      <c r="BB329">
        <v>1</v>
      </c>
      <c r="BC329" t="s">
        <v>69</v>
      </c>
      <c r="BD329">
        <v>0.503</v>
      </c>
      <c r="BE329">
        <v>0.503</v>
      </c>
    </row>
    <row r="330" spans="1:57">
      <c r="A330">
        <v>0</v>
      </c>
      <c r="B330">
        <v>0</v>
      </c>
      <c r="C330">
        <v>0</v>
      </c>
      <c r="D330">
        <v>3732</v>
      </c>
      <c r="E330" t="s">
        <v>5021</v>
      </c>
      <c r="F330" t="s">
        <v>5762</v>
      </c>
      <c r="G330" t="s">
        <v>62</v>
      </c>
      <c r="H330">
        <v>3708802</v>
      </c>
      <c r="I330">
        <v>3709566</v>
      </c>
      <c r="J330" t="s">
        <v>5022</v>
      </c>
      <c r="K330">
        <v>255</v>
      </c>
      <c r="L330" t="s">
        <v>59</v>
      </c>
      <c r="M330">
        <v>5</v>
      </c>
      <c r="N330" t="str">
        <f>HYPERLINK("Gene3732-zp_tree_all.dnd", "Gene3732-tree")</f>
        <v>Gene3732-tree</v>
      </c>
      <c r="O330">
        <v>3</v>
      </c>
      <c r="P330">
        <v>2</v>
      </c>
      <c r="Q330">
        <v>3</v>
      </c>
      <c r="R330">
        <v>2</v>
      </c>
      <c r="S330">
        <v>0.4</v>
      </c>
      <c r="T330" t="s">
        <v>84</v>
      </c>
      <c r="U330" t="s">
        <v>135</v>
      </c>
      <c r="V330" t="s">
        <v>62</v>
      </c>
      <c r="W330" t="s">
        <v>62</v>
      </c>
      <c r="X330">
        <v>0</v>
      </c>
      <c r="Y330">
        <v>0</v>
      </c>
      <c r="Z330">
        <v>6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3</v>
      </c>
      <c r="AK330">
        <v>0</v>
      </c>
      <c r="AL330">
        <v>5</v>
      </c>
      <c r="AM330">
        <v>2</v>
      </c>
      <c r="AN330">
        <v>29</v>
      </c>
      <c r="AO330">
        <v>3</v>
      </c>
      <c r="AP330">
        <v>23</v>
      </c>
      <c r="AQ330">
        <v>3</v>
      </c>
      <c r="AR330" t="s">
        <v>5023</v>
      </c>
      <c r="AS330" t="s">
        <v>5024</v>
      </c>
      <c r="AT330">
        <v>0.15</v>
      </c>
      <c r="AU330" t="s">
        <v>65</v>
      </c>
      <c r="AV330">
        <v>52</v>
      </c>
      <c r="AW330">
        <v>6</v>
      </c>
      <c r="AX330" t="s">
        <v>5025</v>
      </c>
      <c r="AY330" t="s">
        <v>5026</v>
      </c>
      <c r="AZ330" t="s">
        <v>5027</v>
      </c>
      <c r="BA330">
        <v>3.218E-2</v>
      </c>
      <c r="BB330">
        <v>1</v>
      </c>
      <c r="BC330" t="s">
        <v>69</v>
      </c>
      <c r="BD330">
        <v>0.52600000000000002</v>
      </c>
      <c r="BE330">
        <v>7.2999999999999995E-2</v>
      </c>
    </row>
    <row r="331" spans="1:57">
      <c r="A331">
        <v>0</v>
      </c>
      <c r="B331">
        <v>0</v>
      </c>
      <c r="C331">
        <v>0</v>
      </c>
      <c r="D331">
        <v>3752</v>
      </c>
      <c r="E331" t="s">
        <v>5028</v>
      </c>
      <c r="F331" t="s">
        <v>5762</v>
      </c>
      <c r="G331" t="s">
        <v>62</v>
      </c>
      <c r="H331">
        <v>3727430</v>
      </c>
      <c r="I331">
        <v>3727687</v>
      </c>
      <c r="J331" t="s">
        <v>118</v>
      </c>
      <c r="K331">
        <v>86</v>
      </c>
      <c r="L331" t="s">
        <v>83</v>
      </c>
      <c r="M331">
        <v>4</v>
      </c>
      <c r="N331" t="str">
        <f>HYPERLINK("Gene3752-zp_tree_all.dnd", "Gene3752-tree")</f>
        <v>Gene3752-tree</v>
      </c>
    </row>
    <row r="332" spans="1:57">
      <c r="A332">
        <v>0</v>
      </c>
      <c r="B332">
        <v>0</v>
      </c>
      <c r="C332">
        <v>0</v>
      </c>
      <c r="D332">
        <v>3758</v>
      </c>
      <c r="E332" t="s">
        <v>5029</v>
      </c>
      <c r="F332" t="s">
        <v>5762</v>
      </c>
      <c r="G332" t="s">
        <v>62</v>
      </c>
      <c r="H332">
        <v>3732528</v>
      </c>
      <c r="I332">
        <v>3733271</v>
      </c>
      <c r="J332" t="s">
        <v>5030</v>
      </c>
      <c r="K332">
        <v>248</v>
      </c>
      <c r="L332" t="s">
        <v>112</v>
      </c>
      <c r="M332">
        <v>4</v>
      </c>
      <c r="N332" t="str">
        <f>HYPERLINK("Gene3758-zp_tree_all.dnd", "Gene3758-tree")</f>
        <v>Gene3758-tree</v>
      </c>
      <c r="O332">
        <v>2</v>
      </c>
      <c r="P332">
        <v>2</v>
      </c>
      <c r="Q332">
        <v>2</v>
      </c>
      <c r="R332">
        <v>2</v>
      </c>
      <c r="S332">
        <v>0.5</v>
      </c>
      <c r="T332" t="s">
        <v>135</v>
      </c>
      <c r="U332" t="s">
        <v>135</v>
      </c>
      <c r="V332" t="s">
        <v>62</v>
      </c>
      <c r="W332" t="s">
        <v>62</v>
      </c>
      <c r="X332">
        <v>0</v>
      </c>
      <c r="Y332">
        <v>0</v>
      </c>
      <c r="Z332">
        <v>8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8</v>
      </c>
      <c r="AK332">
        <v>0</v>
      </c>
      <c r="AL332">
        <v>3</v>
      </c>
      <c r="AM332">
        <v>1</v>
      </c>
      <c r="AN332">
        <v>22</v>
      </c>
      <c r="AO332">
        <v>8</v>
      </c>
      <c r="AP332">
        <v>3</v>
      </c>
      <c r="AQ332">
        <v>0</v>
      </c>
      <c r="AR332" t="s">
        <v>5031</v>
      </c>
      <c r="AS332" t="s">
        <v>64</v>
      </c>
      <c r="AT332">
        <v>0.65200000000000002</v>
      </c>
      <c r="AU332" t="s">
        <v>65</v>
      </c>
      <c r="AV332">
        <v>25</v>
      </c>
      <c r="AW332">
        <v>8</v>
      </c>
      <c r="AX332" t="s">
        <v>5032</v>
      </c>
      <c r="AY332" t="s">
        <v>5033</v>
      </c>
      <c r="AZ332" t="s">
        <v>5034</v>
      </c>
      <c r="BA332">
        <v>8.6889999999999995E-2</v>
      </c>
      <c r="BB332">
        <v>1</v>
      </c>
      <c r="BC332" t="s">
        <v>69</v>
      </c>
      <c r="BD332">
        <v>-0.57499999999999996</v>
      </c>
      <c r="BE332">
        <v>-0.57499999999999996</v>
      </c>
    </row>
    <row r="333" spans="1:57">
      <c r="A333">
        <v>0</v>
      </c>
      <c r="B333">
        <v>0</v>
      </c>
      <c r="C333">
        <v>0</v>
      </c>
      <c r="D333">
        <v>3759</v>
      </c>
      <c r="E333" t="s">
        <v>5035</v>
      </c>
      <c r="F333" t="s">
        <v>5762</v>
      </c>
      <c r="G333" t="s">
        <v>62</v>
      </c>
      <c r="H333">
        <v>3733508</v>
      </c>
      <c r="I333">
        <v>3733648</v>
      </c>
      <c r="J333" t="s">
        <v>118</v>
      </c>
      <c r="K333">
        <v>47</v>
      </c>
      <c r="L333" t="s">
        <v>59</v>
      </c>
      <c r="M333">
        <v>5</v>
      </c>
      <c r="N333" t="str">
        <f>HYPERLINK("Gene3759-zp_tree_all.dnd", "Gene3759-tree")</f>
        <v>Gene3759-tree</v>
      </c>
    </row>
    <row r="334" spans="1:57">
      <c r="A334">
        <v>0</v>
      </c>
      <c r="B334">
        <v>0</v>
      </c>
      <c r="C334">
        <v>2</v>
      </c>
      <c r="D334">
        <v>3764</v>
      </c>
      <c r="E334" t="s">
        <v>5036</v>
      </c>
      <c r="F334" t="s">
        <v>5762</v>
      </c>
      <c r="G334" t="s">
        <v>62</v>
      </c>
      <c r="H334">
        <v>3740209</v>
      </c>
      <c r="I334">
        <v>3740547</v>
      </c>
      <c r="J334" t="s">
        <v>5037</v>
      </c>
      <c r="K334">
        <v>113</v>
      </c>
      <c r="L334" t="s">
        <v>59</v>
      </c>
      <c r="M334">
        <v>5</v>
      </c>
      <c r="N334" t="str">
        <f>HYPERLINK("Gene3764-zp_tree_all.dnd", "Gene3764-tree")</f>
        <v>Gene3764-tree</v>
      </c>
      <c r="O334">
        <v>3</v>
      </c>
      <c r="P334">
        <v>2</v>
      </c>
      <c r="Q334">
        <v>3</v>
      </c>
      <c r="R334">
        <v>2</v>
      </c>
      <c r="S334">
        <v>0.4</v>
      </c>
      <c r="T334" t="s">
        <v>84</v>
      </c>
      <c r="U334" t="s">
        <v>135</v>
      </c>
      <c r="V334" t="s">
        <v>62</v>
      </c>
      <c r="W334" t="s">
        <v>62</v>
      </c>
      <c r="X334">
        <v>1</v>
      </c>
      <c r="Y334">
        <v>2</v>
      </c>
      <c r="Z334">
        <v>2</v>
      </c>
      <c r="AA334">
        <v>0.5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2</v>
      </c>
      <c r="AK334">
        <v>0</v>
      </c>
      <c r="AL334">
        <v>4</v>
      </c>
      <c r="AM334">
        <v>2</v>
      </c>
      <c r="AN334">
        <v>8</v>
      </c>
      <c r="AO334">
        <v>2</v>
      </c>
      <c r="AP334">
        <v>10</v>
      </c>
      <c r="AQ334">
        <v>2</v>
      </c>
      <c r="AR334" t="s">
        <v>5038</v>
      </c>
      <c r="AS334" t="s">
        <v>5039</v>
      </c>
      <c r="AT334">
        <v>0.21</v>
      </c>
      <c r="AU334" t="s">
        <v>65</v>
      </c>
      <c r="AV334">
        <v>18</v>
      </c>
      <c r="AW334">
        <v>4</v>
      </c>
      <c r="AX334" t="s">
        <v>5040</v>
      </c>
      <c r="AY334" t="s">
        <v>5041</v>
      </c>
      <c r="AZ334" t="s">
        <v>5042</v>
      </c>
      <c r="BA334">
        <v>6.4949999999999994E-2</v>
      </c>
      <c r="BB334">
        <v>1</v>
      </c>
      <c r="BC334" t="s">
        <v>69</v>
      </c>
      <c r="BD334">
        <v>0.60199999999999998</v>
      </c>
      <c r="BE334">
        <v>0.23499999999999999</v>
      </c>
    </row>
    <row r="335" spans="1:57">
      <c r="A335">
        <v>0</v>
      </c>
      <c r="B335">
        <v>0</v>
      </c>
      <c r="C335">
        <v>0</v>
      </c>
      <c r="D335">
        <v>3770</v>
      </c>
      <c r="E335" t="s">
        <v>5049</v>
      </c>
      <c r="F335" t="s">
        <v>5762</v>
      </c>
      <c r="G335" t="s">
        <v>62</v>
      </c>
      <c r="H335">
        <v>3743735</v>
      </c>
      <c r="I335">
        <v>3744157</v>
      </c>
      <c r="J335" t="s">
        <v>5050</v>
      </c>
      <c r="K335">
        <v>141</v>
      </c>
      <c r="L335" t="s">
        <v>83</v>
      </c>
      <c r="M335">
        <v>4</v>
      </c>
      <c r="N335" t="str">
        <f>HYPERLINK("Gene3770-zp_tree_all.dnd", "Gene3770-tree")</f>
        <v>Gene3770-tree</v>
      </c>
    </row>
    <row r="336" spans="1:57">
      <c r="A336">
        <v>0</v>
      </c>
      <c r="B336">
        <v>0</v>
      </c>
      <c r="C336">
        <v>0</v>
      </c>
      <c r="D336">
        <v>3772</v>
      </c>
      <c r="E336" t="s">
        <v>5051</v>
      </c>
      <c r="F336" t="s">
        <v>5762</v>
      </c>
      <c r="G336" t="s">
        <v>62</v>
      </c>
      <c r="H336">
        <v>3745439</v>
      </c>
      <c r="I336">
        <v>3746245</v>
      </c>
      <c r="J336" t="s">
        <v>5052</v>
      </c>
      <c r="K336">
        <v>269</v>
      </c>
      <c r="L336" t="s">
        <v>83</v>
      </c>
      <c r="M336">
        <v>4</v>
      </c>
      <c r="N336" t="str">
        <f>HYPERLINK("Gene3772-zp_tree_all.dnd", "Gene3772-tree")</f>
        <v>Gene3772-tree</v>
      </c>
      <c r="O336">
        <v>2</v>
      </c>
      <c r="P336">
        <v>2</v>
      </c>
      <c r="Q336">
        <v>2</v>
      </c>
      <c r="R336">
        <v>2</v>
      </c>
      <c r="S336">
        <v>0.5</v>
      </c>
      <c r="T336" t="s">
        <v>135</v>
      </c>
      <c r="U336" t="s">
        <v>135</v>
      </c>
      <c r="V336" t="s">
        <v>62</v>
      </c>
      <c r="W336" t="s">
        <v>62</v>
      </c>
      <c r="X336">
        <v>0</v>
      </c>
      <c r="Y336">
        <v>0</v>
      </c>
      <c r="Z336">
        <v>5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5</v>
      </c>
      <c r="AK336">
        <v>0</v>
      </c>
      <c r="AL336">
        <v>3</v>
      </c>
      <c r="AM336">
        <v>1</v>
      </c>
      <c r="AN336">
        <v>35</v>
      </c>
      <c r="AO336">
        <v>5</v>
      </c>
      <c r="AP336">
        <v>1</v>
      </c>
      <c r="AQ336">
        <v>0</v>
      </c>
      <c r="AR336" t="s">
        <v>5053</v>
      </c>
      <c r="AS336" t="s">
        <v>64</v>
      </c>
      <c r="AT336">
        <v>0.74</v>
      </c>
      <c r="AU336" t="s">
        <v>65</v>
      </c>
      <c r="AV336">
        <v>36</v>
      </c>
      <c r="AW336">
        <v>5</v>
      </c>
      <c r="AX336" t="s">
        <v>5054</v>
      </c>
      <c r="AY336" t="s">
        <v>5055</v>
      </c>
      <c r="AZ336" t="s">
        <v>5056</v>
      </c>
      <c r="BA336">
        <v>3.7109999999999997E-2</v>
      </c>
      <c r="BB336">
        <v>1</v>
      </c>
      <c r="BC336" t="s">
        <v>69</v>
      </c>
      <c r="BD336">
        <v>-0.70699999999999996</v>
      </c>
      <c r="BE336">
        <v>-0.94399999999999995</v>
      </c>
    </row>
    <row r="337" spans="1:57">
      <c r="A337">
        <v>0</v>
      </c>
      <c r="B337">
        <v>0</v>
      </c>
      <c r="C337">
        <v>0</v>
      </c>
      <c r="D337">
        <v>3774</v>
      </c>
      <c r="E337" t="s">
        <v>5057</v>
      </c>
      <c r="F337" t="s">
        <v>5762</v>
      </c>
      <c r="G337" t="s">
        <v>62</v>
      </c>
      <c r="H337">
        <v>3747257</v>
      </c>
      <c r="I337">
        <v>3748255</v>
      </c>
      <c r="J337" t="s">
        <v>5058</v>
      </c>
      <c r="K337">
        <v>333</v>
      </c>
      <c r="L337" t="s">
        <v>59</v>
      </c>
      <c r="M337">
        <v>5</v>
      </c>
      <c r="N337" t="str">
        <f>HYPERLINK("Gene3774-zp_tree_all.dnd", "Gene3774-tree")</f>
        <v>Gene3774-tree</v>
      </c>
      <c r="O337">
        <v>3</v>
      </c>
      <c r="P337">
        <v>2</v>
      </c>
      <c r="Q337">
        <v>3</v>
      </c>
      <c r="R337">
        <v>2</v>
      </c>
      <c r="S337">
        <v>0.4</v>
      </c>
      <c r="T337" t="s">
        <v>84</v>
      </c>
      <c r="U337" t="s">
        <v>135</v>
      </c>
      <c r="V337" t="s">
        <v>62</v>
      </c>
      <c r="W337" t="s">
        <v>62</v>
      </c>
      <c r="X337">
        <v>0</v>
      </c>
      <c r="Y337">
        <v>0</v>
      </c>
      <c r="Z337">
        <v>3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3</v>
      </c>
      <c r="AK337">
        <v>0</v>
      </c>
      <c r="AL337">
        <v>5</v>
      </c>
      <c r="AM337">
        <v>2</v>
      </c>
      <c r="AN337">
        <v>35</v>
      </c>
      <c r="AO337">
        <v>3</v>
      </c>
      <c r="AP337">
        <v>13</v>
      </c>
      <c r="AQ337">
        <v>0</v>
      </c>
      <c r="AR337" t="s">
        <v>5059</v>
      </c>
      <c r="AS337" t="s">
        <v>64</v>
      </c>
      <c r="AT337">
        <v>0.77200000000000002</v>
      </c>
      <c r="AU337" t="s">
        <v>65</v>
      </c>
      <c r="AV337">
        <v>48</v>
      </c>
      <c r="AW337">
        <v>3</v>
      </c>
      <c r="AX337" t="s">
        <v>5060</v>
      </c>
      <c r="AY337" t="s">
        <v>5061</v>
      </c>
      <c r="AZ337" t="s">
        <v>5062</v>
      </c>
      <c r="BA337">
        <v>1.694E-2</v>
      </c>
      <c r="BB337">
        <v>1</v>
      </c>
      <c r="BC337" t="s">
        <v>69</v>
      </c>
      <c r="BD337">
        <v>-0.13</v>
      </c>
      <c r="BE337">
        <v>-0.64200000000000002</v>
      </c>
    </row>
    <row r="338" spans="1:57">
      <c r="A338">
        <v>0</v>
      </c>
      <c r="B338">
        <v>0</v>
      </c>
      <c r="C338">
        <v>0</v>
      </c>
      <c r="D338">
        <v>3775</v>
      </c>
      <c r="E338" t="s">
        <v>5063</v>
      </c>
      <c r="F338" t="s">
        <v>5762</v>
      </c>
      <c r="G338" t="s">
        <v>62</v>
      </c>
      <c r="H338">
        <v>3748424</v>
      </c>
      <c r="I338">
        <v>3748702</v>
      </c>
      <c r="J338" t="s">
        <v>5064</v>
      </c>
      <c r="K338">
        <v>93</v>
      </c>
      <c r="L338" t="s">
        <v>59</v>
      </c>
      <c r="M338">
        <v>5</v>
      </c>
      <c r="N338" t="str">
        <f>HYPERLINK("Gene3775-zp_tree_all.dnd", "Gene3775-tree")</f>
        <v>Gene3775-tree</v>
      </c>
    </row>
    <row r="339" spans="1:57">
      <c r="A339">
        <v>0</v>
      </c>
      <c r="B339">
        <v>0</v>
      </c>
      <c r="C339">
        <v>0</v>
      </c>
      <c r="D339">
        <v>3776</v>
      </c>
      <c r="E339" t="s">
        <v>5065</v>
      </c>
      <c r="F339" t="s">
        <v>5762</v>
      </c>
      <c r="G339" t="s">
        <v>62</v>
      </c>
      <c r="H339">
        <v>3748720</v>
      </c>
      <c r="I339">
        <v>3748827</v>
      </c>
      <c r="J339" t="s">
        <v>5066</v>
      </c>
      <c r="K339">
        <v>36</v>
      </c>
      <c r="L339" t="s">
        <v>59</v>
      </c>
      <c r="M339">
        <v>5</v>
      </c>
      <c r="N339" t="str">
        <f>HYPERLINK("Gene3776-zp_tree_all.dnd", "Gene3776-tree")</f>
        <v>Gene3776-tree</v>
      </c>
    </row>
    <row r="340" spans="1:57">
      <c r="A340">
        <v>0</v>
      </c>
      <c r="B340">
        <v>0</v>
      </c>
      <c r="C340">
        <v>0</v>
      </c>
      <c r="D340">
        <v>3800</v>
      </c>
      <c r="E340" t="s">
        <v>5082</v>
      </c>
      <c r="F340" t="s">
        <v>5762</v>
      </c>
      <c r="G340" t="s">
        <v>62</v>
      </c>
      <c r="H340">
        <v>3768794</v>
      </c>
      <c r="I340">
        <v>3769108</v>
      </c>
      <c r="J340" t="s">
        <v>5083</v>
      </c>
      <c r="K340">
        <v>105</v>
      </c>
      <c r="L340" t="s">
        <v>83</v>
      </c>
      <c r="M340">
        <v>4</v>
      </c>
      <c r="N340" t="str">
        <f>HYPERLINK("Gene3800-zp_tree_all.dnd", "Gene3800-tree")</f>
        <v>Gene3800-tree</v>
      </c>
      <c r="O340">
        <v>3</v>
      </c>
      <c r="P340">
        <v>1</v>
      </c>
      <c r="Q340">
        <v>3</v>
      </c>
      <c r="R340">
        <v>1</v>
      </c>
      <c r="S340">
        <v>0.25</v>
      </c>
      <c r="T340" t="s">
        <v>84</v>
      </c>
      <c r="U340" t="s">
        <v>61</v>
      </c>
      <c r="V340" t="s">
        <v>62</v>
      </c>
      <c r="W340" t="s">
        <v>62</v>
      </c>
      <c r="X340">
        <v>0</v>
      </c>
      <c r="Y340">
        <v>0</v>
      </c>
      <c r="Z340">
        <v>1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1</v>
      </c>
      <c r="AK340">
        <v>0</v>
      </c>
      <c r="AL340">
        <v>3</v>
      </c>
      <c r="AM340">
        <v>1</v>
      </c>
      <c r="AN340">
        <v>16</v>
      </c>
      <c r="AO340">
        <v>1</v>
      </c>
      <c r="AP340">
        <v>2</v>
      </c>
      <c r="AQ340">
        <v>0</v>
      </c>
      <c r="AR340" t="s">
        <v>5084</v>
      </c>
      <c r="AS340" t="s">
        <v>64</v>
      </c>
      <c r="AT340">
        <v>0.60699999999999998</v>
      </c>
      <c r="AU340" t="s">
        <v>65</v>
      </c>
      <c r="AV340">
        <v>18</v>
      </c>
      <c r="AW340">
        <v>1</v>
      </c>
      <c r="AX340" t="s">
        <v>5085</v>
      </c>
      <c r="AY340" t="s">
        <v>5086</v>
      </c>
      <c r="AZ340" t="s">
        <v>467</v>
      </c>
      <c r="BA340">
        <v>1.472E-2</v>
      </c>
      <c r="BB340">
        <v>1</v>
      </c>
      <c r="BC340" t="s">
        <v>69</v>
      </c>
      <c r="BD340">
        <v>-0.52400000000000002</v>
      </c>
      <c r="BE340">
        <v>-0.52400000000000002</v>
      </c>
    </row>
    <row r="341" spans="1:57">
      <c r="A341">
        <v>0</v>
      </c>
      <c r="B341">
        <v>0</v>
      </c>
      <c r="C341">
        <v>0</v>
      </c>
      <c r="D341">
        <v>3806</v>
      </c>
      <c r="E341" t="s">
        <v>5087</v>
      </c>
      <c r="F341" t="s">
        <v>5762</v>
      </c>
      <c r="G341" t="s">
        <v>62</v>
      </c>
      <c r="H341">
        <v>3773369</v>
      </c>
      <c r="I341">
        <v>3774154</v>
      </c>
      <c r="J341" t="s">
        <v>5088</v>
      </c>
      <c r="K341">
        <v>262</v>
      </c>
      <c r="L341" t="s">
        <v>83</v>
      </c>
      <c r="M341">
        <v>4</v>
      </c>
      <c r="N341" t="str">
        <f>HYPERLINK("Gene3806-zp_tree_all.dnd", "Gene3806-tree")</f>
        <v>Gene3806-tree</v>
      </c>
      <c r="O341">
        <v>1</v>
      </c>
      <c r="P341">
        <v>3</v>
      </c>
      <c r="Q341">
        <v>1</v>
      </c>
      <c r="R341">
        <v>3</v>
      </c>
      <c r="S341">
        <v>0.75</v>
      </c>
      <c r="T341" t="s">
        <v>61</v>
      </c>
      <c r="U341" t="s">
        <v>84</v>
      </c>
      <c r="V341" t="s">
        <v>62</v>
      </c>
      <c r="W341" t="s">
        <v>62</v>
      </c>
      <c r="X341">
        <v>0</v>
      </c>
      <c r="Y341">
        <v>0</v>
      </c>
      <c r="Z341">
        <v>5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5</v>
      </c>
      <c r="AK341">
        <v>0</v>
      </c>
      <c r="AL341">
        <v>3</v>
      </c>
      <c r="AM341">
        <v>1</v>
      </c>
      <c r="AN341">
        <v>36</v>
      </c>
      <c r="AO341">
        <v>4</v>
      </c>
      <c r="AP341">
        <v>1</v>
      </c>
      <c r="AQ341">
        <v>1</v>
      </c>
      <c r="AR341" t="s">
        <v>5089</v>
      </c>
      <c r="AS341" t="s">
        <v>5090</v>
      </c>
      <c r="AT341">
        <v>6.77</v>
      </c>
      <c r="AU341" t="s">
        <v>65</v>
      </c>
      <c r="AV341">
        <v>37</v>
      </c>
      <c r="AW341">
        <v>5</v>
      </c>
      <c r="AX341" t="s">
        <v>5091</v>
      </c>
      <c r="AY341" t="s">
        <v>5092</v>
      </c>
      <c r="AZ341" t="s">
        <v>5093</v>
      </c>
      <c r="BA341">
        <v>3.7879999999999997E-2</v>
      </c>
      <c r="BB341">
        <v>1</v>
      </c>
      <c r="BC341" t="s">
        <v>69</v>
      </c>
      <c r="BD341">
        <v>-0.55600000000000005</v>
      </c>
      <c r="BE341">
        <v>-0.78800000000000003</v>
      </c>
    </row>
    <row r="342" spans="1:57">
      <c r="A342">
        <v>0</v>
      </c>
      <c r="B342">
        <v>0</v>
      </c>
      <c r="C342">
        <v>0</v>
      </c>
      <c r="D342">
        <v>3811</v>
      </c>
      <c r="E342" t="s">
        <v>5094</v>
      </c>
      <c r="F342" t="s">
        <v>5762</v>
      </c>
      <c r="G342" t="s">
        <v>62</v>
      </c>
      <c r="H342">
        <v>3777952</v>
      </c>
      <c r="I342">
        <v>3779259</v>
      </c>
      <c r="J342" t="s">
        <v>5095</v>
      </c>
      <c r="K342">
        <v>436</v>
      </c>
      <c r="L342" t="s">
        <v>59</v>
      </c>
      <c r="M342">
        <v>5</v>
      </c>
      <c r="N342" t="str">
        <f>HYPERLINK("Gene3811-zp_tree_all.dnd", "Gene3811-tree")</f>
        <v>Gene3811-tree</v>
      </c>
      <c r="O342">
        <v>4</v>
      </c>
      <c r="P342">
        <v>1</v>
      </c>
      <c r="Q342">
        <v>4</v>
      </c>
      <c r="R342">
        <v>1</v>
      </c>
      <c r="S342">
        <v>0.2</v>
      </c>
      <c r="T342" t="s">
        <v>60</v>
      </c>
      <c r="U342" t="s">
        <v>61</v>
      </c>
      <c r="V342" t="s">
        <v>62</v>
      </c>
      <c r="W342" t="s">
        <v>62</v>
      </c>
      <c r="X342">
        <v>0</v>
      </c>
      <c r="Y342">
        <v>0</v>
      </c>
      <c r="Z342">
        <v>4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2</v>
      </c>
      <c r="AK342">
        <v>0</v>
      </c>
      <c r="AL342">
        <v>5</v>
      </c>
      <c r="AM342">
        <v>2</v>
      </c>
      <c r="AN342">
        <v>21</v>
      </c>
      <c r="AO342">
        <v>2</v>
      </c>
      <c r="AP342">
        <v>33</v>
      </c>
      <c r="AQ342">
        <v>2</v>
      </c>
      <c r="AR342" t="s">
        <v>5096</v>
      </c>
      <c r="AS342" t="s">
        <v>5097</v>
      </c>
      <c r="AT342">
        <v>0.189</v>
      </c>
      <c r="AU342" t="s">
        <v>65</v>
      </c>
      <c r="AV342">
        <v>54</v>
      </c>
      <c r="AW342">
        <v>4</v>
      </c>
      <c r="AX342" t="s">
        <v>5098</v>
      </c>
      <c r="AY342" t="s">
        <v>5099</v>
      </c>
      <c r="AZ342" t="s">
        <v>5100</v>
      </c>
      <c r="BA342">
        <v>2.1149999999999999E-2</v>
      </c>
      <c r="BB342">
        <v>1</v>
      </c>
      <c r="BC342" t="s">
        <v>69</v>
      </c>
      <c r="BD342">
        <v>0.83</v>
      </c>
      <c r="BE342">
        <v>0.68700000000000006</v>
      </c>
    </row>
    <row r="343" spans="1:57">
      <c r="A343">
        <v>0</v>
      </c>
      <c r="B343">
        <v>0</v>
      </c>
      <c r="C343">
        <v>4</v>
      </c>
      <c r="D343">
        <v>3812</v>
      </c>
      <c r="E343" t="s">
        <v>5101</v>
      </c>
      <c r="F343" t="s">
        <v>5762</v>
      </c>
      <c r="G343" t="s">
        <v>62</v>
      </c>
      <c r="H343">
        <v>3779296</v>
      </c>
      <c r="I343">
        <v>3780033</v>
      </c>
      <c r="J343" t="s">
        <v>118</v>
      </c>
      <c r="K343">
        <v>246</v>
      </c>
      <c r="L343" t="s">
        <v>59</v>
      </c>
      <c r="M343">
        <v>5</v>
      </c>
      <c r="N343" t="str">
        <f>HYPERLINK("Gene3812-zp_tree_all.dnd", "Gene3812-tree")</f>
        <v>Gene3812-tree</v>
      </c>
      <c r="O343">
        <v>0</v>
      </c>
      <c r="P343">
        <v>5</v>
      </c>
      <c r="Q343">
        <v>0</v>
      </c>
      <c r="R343">
        <v>5</v>
      </c>
      <c r="S343">
        <v>1</v>
      </c>
      <c r="T343" t="s">
        <v>62</v>
      </c>
      <c r="U343" t="s">
        <v>98</v>
      </c>
      <c r="V343" t="s">
        <v>62</v>
      </c>
      <c r="W343" t="s">
        <v>62</v>
      </c>
      <c r="X343">
        <v>2</v>
      </c>
      <c r="Y343">
        <v>4</v>
      </c>
      <c r="Z343">
        <v>18</v>
      </c>
      <c r="AA343">
        <v>0.18182000000000001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14</v>
      </c>
      <c r="AK343">
        <v>0</v>
      </c>
      <c r="AL343">
        <v>5</v>
      </c>
      <c r="AM343">
        <v>2</v>
      </c>
      <c r="AN343">
        <v>7</v>
      </c>
      <c r="AO343">
        <v>15</v>
      </c>
      <c r="AP343">
        <v>15</v>
      </c>
      <c r="AQ343">
        <v>8</v>
      </c>
      <c r="AR343" t="s">
        <v>5102</v>
      </c>
      <c r="AS343" t="s">
        <v>5103</v>
      </c>
      <c r="AT343">
        <v>2.4849999999999999</v>
      </c>
      <c r="AU343" t="s">
        <v>286</v>
      </c>
      <c r="AV343">
        <v>22</v>
      </c>
      <c r="AW343">
        <v>23</v>
      </c>
      <c r="AX343" t="s">
        <v>5104</v>
      </c>
      <c r="AY343" t="s">
        <v>5105</v>
      </c>
      <c r="AZ343" t="s">
        <v>5106</v>
      </c>
      <c r="BA343">
        <v>0.2195</v>
      </c>
      <c r="BB343">
        <v>1</v>
      </c>
      <c r="BC343" t="s">
        <v>69</v>
      </c>
      <c r="BD343">
        <v>0.34899999999999998</v>
      </c>
      <c r="BE343">
        <v>0.34899999999999998</v>
      </c>
    </row>
    <row r="344" spans="1:57">
      <c r="A344">
        <v>0</v>
      </c>
      <c r="B344">
        <v>0</v>
      </c>
      <c r="C344">
        <v>0</v>
      </c>
      <c r="D344">
        <v>3815</v>
      </c>
      <c r="E344" t="s">
        <v>5107</v>
      </c>
      <c r="F344" t="s">
        <v>5762</v>
      </c>
      <c r="G344" t="s">
        <v>62</v>
      </c>
      <c r="H344">
        <v>3781072</v>
      </c>
      <c r="I344">
        <v>3781467</v>
      </c>
      <c r="J344" t="s">
        <v>5108</v>
      </c>
      <c r="K344">
        <v>132</v>
      </c>
      <c r="L344" t="s">
        <v>59</v>
      </c>
      <c r="M344">
        <v>5</v>
      </c>
      <c r="N344" t="str">
        <f>HYPERLINK("Gene3815-zp_tree_all.dnd", "Gene3815-tree")</f>
        <v>Gene3815-tree</v>
      </c>
      <c r="O344">
        <v>4</v>
      </c>
      <c r="P344">
        <v>1</v>
      </c>
      <c r="Q344">
        <v>4</v>
      </c>
      <c r="R344">
        <v>1</v>
      </c>
      <c r="S344">
        <v>0.2</v>
      </c>
      <c r="T344" t="s">
        <v>60</v>
      </c>
      <c r="U344" t="s">
        <v>61</v>
      </c>
      <c r="V344" t="s">
        <v>62</v>
      </c>
      <c r="W344" t="s">
        <v>62</v>
      </c>
      <c r="X344">
        <v>0</v>
      </c>
      <c r="Y344">
        <v>0</v>
      </c>
      <c r="Z344">
        <v>3</v>
      </c>
      <c r="AA344">
        <v>0</v>
      </c>
      <c r="AB344">
        <v>0</v>
      </c>
      <c r="AC344">
        <v>0</v>
      </c>
      <c r="AD344">
        <v>0</v>
      </c>
      <c r="AE344">
        <v>2</v>
      </c>
      <c r="AF344">
        <v>0</v>
      </c>
      <c r="AG344">
        <v>0</v>
      </c>
      <c r="AH344">
        <v>0</v>
      </c>
      <c r="AI344">
        <v>0</v>
      </c>
      <c r="AJ344">
        <v>1</v>
      </c>
      <c r="AK344">
        <v>0</v>
      </c>
      <c r="AL344">
        <v>3</v>
      </c>
      <c r="AM344">
        <v>2</v>
      </c>
      <c r="AN344">
        <v>3</v>
      </c>
      <c r="AO344">
        <v>1</v>
      </c>
      <c r="AP344">
        <v>9</v>
      </c>
      <c r="AQ344">
        <v>2</v>
      </c>
      <c r="AR344" t="s">
        <v>5109</v>
      </c>
      <c r="AS344" t="s">
        <v>5110</v>
      </c>
      <c r="AT344">
        <v>0.21</v>
      </c>
      <c r="AU344" t="s">
        <v>65</v>
      </c>
      <c r="AV344">
        <v>12</v>
      </c>
      <c r="AW344">
        <v>3</v>
      </c>
      <c r="AX344" t="s">
        <v>5111</v>
      </c>
      <c r="AY344" t="s">
        <v>5112</v>
      </c>
      <c r="AZ344" t="s">
        <v>5113</v>
      </c>
      <c r="BA344">
        <v>7.3099999999999998E-2</v>
      </c>
      <c r="BB344">
        <v>1</v>
      </c>
      <c r="BC344" t="s">
        <v>69</v>
      </c>
      <c r="BD344">
        <v>1.0149999999999999</v>
      </c>
      <c r="BE344">
        <v>1.0149999999999999</v>
      </c>
    </row>
    <row r="345" spans="1:57">
      <c r="A345">
        <v>0</v>
      </c>
      <c r="B345">
        <v>0</v>
      </c>
      <c r="C345">
        <v>0</v>
      </c>
      <c r="D345">
        <v>3816</v>
      </c>
      <c r="E345" t="s">
        <v>5114</v>
      </c>
      <c r="F345" t="s">
        <v>5762</v>
      </c>
      <c r="G345" t="s">
        <v>62</v>
      </c>
      <c r="H345">
        <v>3781494</v>
      </c>
      <c r="I345">
        <v>3782912</v>
      </c>
      <c r="J345" t="s">
        <v>5115</v>
      </c>
      <c r="K345">
        <v>473</v>
      </c>
      <c r="L345" t="s">
        <v>59</v>
      </c>
      <c r="M345">
        <v>5</v>
      </c>
      <c r="N345" t="str">
        <f>HYPERLINK("Gene3816-zp_tree_all.dnd", "Gene3816-tree")</f>
        <v>Gene3816-tree</v>
      </c>
      <c r="O345">
        <v>4</v>
      </c>
      <c r="P345">
        <v>1</v>
      </c>
      <c r="Q345">
        <v>4</v>
      </c>
      <c r="R345">
        <v>1</v>
      </c>
      <c r="S345">
        <v>0.2</v>
      </c>
      <c r="T345" t="s">
        <v>60</v>
      </c>
      <c r="U345" t="s">
        <v>61</v>
      </c>
      <c r="V345" t="s">
        <v>62</v>
      </c>
      <c r="W345" t="s">
        <v>62</v>
      </c>
      <c r="X345">
        <v>0</v>
      </c>
      <c r="Y345">
        <v>0</v>
      </c>
      <c r="Z345">
        <v>5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1</v>
      </c>
      <c r="AK345">
        <v>0</v>
      </c>
      <c r="AL345">
        <v>5</v>
      </c>
      <c r="AM345">
        <v>1</v>
      </c>
      <c r="AN345">
        <v>27</v>
      </c>
      <c r="AO345">
        <v>1</v>
      </c>
      <c r="AP345">
        <v>33</v>
      </c>
      <c r="AQ345">
        <v>4</v>
      </c>
      <c r="AR345" t="s">
        <v>5116</v>
      </c>
      <c r="AS345" t="s">
        <v>5117</v>
      </c>
      <c r="AT345">
        <v>1.085</v>
      </c>
      <c r="AU345" t="s">
        <v>65</v>
      </c>
      <c r="AV345">
        <v>60</v>
      </c>
      <c r="AW345">
        <v>5</v>
      </c>
      <c r="AX345" t="s">
        <v>5118</v>
      </c>
      <c r="AY345" t="s">
        <v>5119</v>
      </c>
      <c r="AZ345" t="s">
        <v>5120</v>
      </c>
      <c r="BA345">
        <v>2.6749999999999999E-2</v>
      </c>
      <c r="BB345">
        <v>1</v>
      </c>
      <c r="BC345" t="s">
        <v>69</v>
      </c>
      <c r="BD345">
        <v>0.61099999999999999</v>
      </c>
      <c r="BE345">
        <v>0.61099999999999999</v>
      </c>
    </row>
    <row r="346" spans="1:57">
      <c r="A346">
        <v>0</v>
      </c>
      <c r="B346">
        <v>0</v>
      </c>
      <c r="C346">
        <v>0</v>
      </c>
      <c r="D346">
        <v>3817</v>
      </c>
      <c r="E346" t="s">
        <v>5121</v>
      </c>
      <c r="F346" t="s">
        <v>5762</v>
      </c>
      <c r="G346" t="s">
        <v>62</v>
      </c>
      <c r="H346">
        <v>3782941</v>
      </c>
      <c r="I346">
        <v>3783801</v>
      </c>
      <c r="J346" t="s">
        <v>5122</v>
      </c>
      <c r="K346">
        <v>287</v>
      </c>
      <c r="L346" t="s">
        <v>59</v>
      </c>
      <c r="M346">
        <v>5</v>
      </c>
      <c r="N346" t="str">
        <f>HYPERLINK("Gene3817-zp_tree_all.dnd", "Gene3817-tree")</f>
        <v>Gene3817-tree</v>
      </c>
      <c r="O346">
        <v>4</v>
      </c>
      <c r="P346">
        <v>1</v>
      </c>
      <c r="Q346">
        <v>3</v>
      </c>
      <c r="R346">
        <v>1</v>
      </c>
      <c r="S346">
        <v>0.25</v>
      </c>
      <c r="T346" t="s">
        <v>119</v>
      </c>
      <c r="U346" t="s">
        <v>61</v>
      </c>
      <c r="V346" t="s">
        <v>62</v>
      </c>
      <c r="W346" t="s">
        <v>62</v>
      </c>
      <c r="X346">
        <v>0</v>
      </c>
      <c r="Y346">
        <v>0</v>
      </c>
      <c r="Z346">
        <v>3</v>
      </c>
      <c r="AA346">
        <v>0</v>
      </c>
      <c r="AB346">
        <v>0</v>
      </c>
      <c r="AC346">
        <v>0</v>
      </c>
      <c r="AD346">
        <v>0</v>
      </c>
      <c r="AE346">
        <v>2</v>
      </c>
      <c r="AF346">
        <v>0</v>
      </c>
      <c r="AG346">
        <v>0</v>
      </c>
      <c r="AH346">
        <v>0</v>
      </c>
      <c r="AI346">
        <v>0</v>
      </c>
      <c r="AJ346">
        <v>1</v>
      </c>
      <c r="AK346">
        <v>0</v>
      </c>
      <c r="AL346">
        <v>4</v>
      </c>
      <c r="AM346">
        <v>1</v>
      </c>
      <c r="AN346">
        <v>22</v>
      </c>
      <c r="AO346">
        <v>1</v>
      </c>
      <c r="AP346">
        <v>15</v>
      </c>
      <c r="AQ346">
        <v>2</v>
      </c>
      <c r="AR346" t="s">
        <v>5123</v>
      </c>
      <c r="AS346" t="s">
        <v>5124</v>
      </c>
      <c r="AT346">
        <v>1.198</v>
      </c>
      <c r="AU346" t="s">
        <v>65</v>
      </c>
      <c r="AV346">
        <v>37</v>
      </c>
      <c r="AW346">
        <v>3</v>
      </c>
      <c r="AX346" t="s">
        <v>5125</v>
      </c>
      <c r="AY346" t="s">
        <v>5126</v>
      </c>
      <c r="AZ346" t="s">
        <v>5127</v>
      </c>
      <c r="BA346">
        <v>2.5149999999999999E-2</v>
      </c>
      <c r="BB346">
        <v>1</v>
      </c>
      <c r="BC346" t="s">
        <v>69</v>
      </c>
      <c r="BD346">
        <v>0.437</v>
      </c>
      <c r="BE346">
        <v>0.23100000000000001</v>
      </c>
    </row>
    <row r="347" spans="1:57">
      <c r="A347">
        <v>0</v>
      </c>
      <c r="B347">
        <v>2</v>
      </c>
      <c r="C347">
        <v>0</v>
      </c>
      <c r="D347">
        <v>3818</v>
      </c>
      <c r="E347" t="s">
        <v>5128</v>
      </c>
      <c r="F347" t="s">
        <v>5762</v>
      </c>
      <c r="G347" t="s">
        <v>62</v>
      </c>
      <c r="H347">
        <v>3783881</v>
      </c>
      <c r="I347">
        <v>3785386</v>
      </c>
      <c r="J347" t="s">
        <v>5129</v>
      </c>
      <c r="K347">
        <v>502</v>
      </c>
      <c r="L347" t="s">
        <v>59</v>
      </c>
      <c r="M347">
        <v>5</v>
      </c>
      <c r="N347" t="str">
        <f>HYPERLINK("Gene3818-zp_tree_all.dnd", "Gene3818-tree")</f>
        <v>Gene3818-tree</v>
      </c>
      <c r="O347">
        <v>2</v>
      </c>
      <c r="P347">
        <v>3</v>
      </c>
      <c r="Q347">
        <v>2</v>
      </c>
      <c r="R347">
        <v>3</v>
      </c>
      <c r="S347">
        <v>0.6</v>
      </c>
      <c r="T347" t="s">
        <v>135</v>
      </c>
      <c r="U347" t="s">
        <v>84</v>
      </c>
      <c r="V347" t="s">
        <v>62</v>
      </c>
      <c r="W347" t="s">
        <v>62</v>
      </c>
      <c r="X347">
        <v>1</v>
      </c>
      <c r="Y347">
        <v>2</v>
      </c>
      <c r="Z347">
        <v>2</v>
      </c>
      <c r="AA347">
        <v>0.5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2</v>
      </c>
      <c r="AH347">
        <v>0</v>
      </c>
      <c r="AI347">
        <v>2</v>
      </c>
      <c r="AJ347">
        <v>1</v>
      </c>
      <c r="AK347">
        <v>0.66666999999999998</v>
      </c>
      <c r="AL347">
        <v>5</v>
      </c>
      <c r="AM347">
        <v>2</v>
      </c>
      <c r="AN347">
        <v>28</v>
      </c>
      <c r="AO347">
        <v>3</v>
      </c>
      <c r="AP347">
        <v>31</v>
      </c>
      <c r="AQ347">
        <v>1</v>
      </c>
      <c r="AR347" t="s">
        <v>5130</v>
      </c>
      <c r="AS347" t="s">
        <v>5131</v>
      </c>
      <c r="AT347">
        <v>1.494</v>
      </c>
      <c r="AU347" t="s">
        <v>65</v>
      </c>
      <c r="AV347">
        <v>59</v>
      </c>
      <c r="AW347">
        <v>4</v>
      </c>
      <c r="AX347" t="s">
        <v>5132</v>
      </c>
      <c r="AY347" t="s">
        <v>5133</v>
      </c>
      <c r="AZ347" t="s">
        <v>5134</v>
      </c>
      <c r="BA347">
        <v>1.6990000000000002E-2</v>
      </c>
      <c r="BB347">
        <v>1</v>
      </c>
      <c r="BC347" t="s">
        <v>69</v>
      </c>
      <c r="BD347">
        <v>0.77700000000000002</v>
      </c>
      <c r="BE347">
        <v>0.53200000000000003</v>
      </c>
    </row>
    <row r="348" spans="1:57">
      <c r="A348">
        <v>0</v>
      </c>
      <c r="B348">
        <v>0</v>
      </c>
      <c r="C348">
        <v>0</v>
      </c>
      <c r="D348">
        <v>3819</v>
      </c>
      <c r="E348" t="s">
        <v>5135</v>
      </c>
      <c r="F348" t="s">
        <v>5762</v>
      </c>
      <c r="G348" t="s">
        <v>62</v>
      </c>
      <c r="H348">
        <v>3785406</v>
      </c>
      <c r="I348">
        <v>3785948</v>
      </c>
      <c r="J348" t="s">
        <v>5136</v>
      </c>
      <c r="K348">
        <v>181</v>
      </c>
      <c r="L348" t="s">
        <v>59</v>
      </c>
      <c r="M348">
        <v>5</v>
      </c>
      <c r="N348" t="str">
        <f>HYPERLINK("Gene3819-zp_tree_all.dnd", "Gene3819-tree")</f>
        <v>Gene3819-tree</v>
      </c>
      <c r="O348">
        <v>1</v>
      </c>
      <c r="P348">
        <v>4</v>
      </c>
      <c r="Q348">
        <v>1</v>
      </c>
      <c r="R348">
        <v>4</v>
      </c>
      <c r="S348">
        <v>0.8</v>
      </c>
      <c r="T348" t="s">
        <v>61</v>
      </c>
      <c r="U348" t="s">
        <v>60</v>
      </c>
      <c r="V348" t="s">
        <v>62</v>
      </c>
      <c r="W348" t="s">
        <v>62</v>
      </c>
      <c r="X348">
        <v>0</v>
      </c>
      <c r="Y348">
        <v>0</v>
      </c>
      <c r="Z348">
        <v>10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6</v>
      </c>
      <c r="AK348">
        <v>0</v>
      </c>
      <c r="AL348">
        <v>5</v>
      </c>
      <c r="AM348">
        <v>2</v>
      </c>
      <c r="AN348">
        <v>14</v>
      </c>
      <c r="AO348">
        <v>6</v>
      </c>
      <c r="AP348">
        <v>10</v>
      </c>
      <c r="AQ348">
        <v>4</v>
      </c>
      <c r="AR348" t="s">
        <v>5137</v>
      </c>
      <c r="AS348" t="s">
        <v>5138</v>
      </c>
      <c r="AT348">
        <v>8.1000000000000003E-2</v>
      </c>
      <c r="AU348" t="s">
        <v>65</v>
      </c>
      <c r="AV348">
        <v>24</v>
      </c>
      <c r="AW348">
        <v>10</v>
      </c>
      <c r="AX348" t="s">
        <v>5139</v>
      </c>
      <c r="AY348" t="s">
        <v>5140</v>
      </c>
      <c r="AZ348" t="s">
        <v>5141</v>
      </c>
      <c r="BA348">
        <v>0.12132</v>
      </c>
      <c r="BB348">
        <v>1</v>
      </c>
      <c r="BC348" t="s">
        <v>69</v>
      </c>
      <c r="BD348">
        <v>0.218</v>
      </c>
      <c r="BE348">
        <v>-1.9E-2</v>
      </c>
    </row>
    <row r="349" spans="1:57">
      <c r="A349">
        <v>0</v>
      </c>
      <c r="B349">
        <v>0</v>
      </c>
      <c r="C349">
        <v>0</v>
      </c>
      <c r="D349">
        <v>3820</v>
      </c>
      <c r="E349" t="s">
        <v>5142</v>
      </c>
      <c r="F349" t="s">
        <v>5762</v>
      </c>
      <c r="G349" t="s">
        <v>62</v>
      </c>
      <c r="H349">
        <v>3785948</v>
      </c>
      <c r="I349">
        <v>3786457</v>
      </c>
      <c r="J349" t="s">
        <v>5143</v>
      </c>
      <c r="K349">
        <v>170</v>
      </c>
      <c r="L349" t="s">
        <v>59</v>
      </c>
      <c r="M349">
        <v>5</v>
      </c>
      <c r="N349" t="str">
        <f>HYPERLINK("Gene3820-zp_tree_all.dnd", "Gene3820-tree")</f>
        <v>Gene3820-tree</v>
      </c>
      <c r="O349">
        <v>3</v>
      </c>
      <c r="P349">
        <v>2</v>
      </c>
      <c r="Q349">
        <v>3</v>
      </c>
      <c r="R349">
        <v>2</v>
      </c>
      <c r="S349">
        <v>0.4</v>
      </c>
      <c r="T349" t="s">
        <v>84</v>
      </c>
      <c r="U349" t="s">
        <v>135</v>
      </c>
      <c r="V349" t="s">
        <v>62</v>
      </c>
      <c r="W349" t="s">
        <v>62</v>
      </c>
      <c r="X349">
        <v>0</v>
      </c>
      <c r="Y349">
        <v>0</v>
      </c>
      <c r="Z349">
        <v>2</v>
      </c>
      <c r="AA349">
        <v>0</v>
      </c>
      <c r="AB349">
        <v>0</v>
      </c>
      <c r="AC349">
        <v>0</v>
      </c>
      <c r="AD349">
        <v>0</v>
      </c>
      <c r="AE349">
        <v>1</v>
      </c>
      <c r="AF349">
        <v>0</v>
      </c>
      <c r="AG349">
        <v>0</v>
      </c>
      <c r="AH349">
        <v>0</v>
      </c>
      <c r="AI349">
        <v>0</v>
      </c>
      <c r="AJ349">
        <v>1</v>
      </c>
      <c r="AK349">
        <v>0</v>
      </c>
      <c r="AL349">
        <v>2</v>
      </c>
      <c r="AM349">
        <v>2</v>
      </c>
      <c r="AN349">
        <v>2</v>
      </c>
      <c r="AO349">
        <v>1</v>
      </c>
      <c r="AP349">
        <v>1</v>
      </c>
      <c r="AQ349">
        <v>1</v>
      </c>
      <c r="AR349" t="s">
        <v>5144</v>
      </c>
      <c r="AS349" t="s">
        <v>5145</v>
      </c>
      <c r="AT349">
        <v>0.34300000000000003</v>
      </c>
      <c r="AU349" t="s">
        <v>65</v>
      </c>
      <c r="AV349">
        <v>3</v>
      </c>
      <c r="AW349">
        <v>2</v>
      </c>
      <c r="AX349" t="s">
        <v>5146</v>
      </c>
      <c r="AY349" t="s">
        <v>5147</v>
      </c>
      <c r="AZ349" t="s">
        <v>5148</v>
      </c>
      <c r="BA349">
        <v>0.20222999999999999</v>
      </c>
      <c r="BB349">
        <v>0.96899999999999997</v>
      </c>
      <c r="BC349" t="s">
        <v>69</v>
      </c>
      <c r="BD349">
        <v>0</v>
      </c>
      <c r="BE349">
        <v>0</v>
      </c>
    </row>
    <row r="350" spans="1:57">
      <c r="A350">
        <v>0</v>
      </c>
      <c r="B350">
        <v>0</v>
      </c>
      <c r="C350">
        <v>0</v>
      </c>
      <c r="D350">
        <v>3821</v>
      </c>
      <c r="E350" t="s">
        <v>5149</v>
      </c>
      <c r="F350" t="s">
        <v>5762</v>
      </c>
      <c r="G350" t="s">
        <v>62</v>
      </c>
      <c r="H350">
        <v>3786623</v>
      </c>
      <c r="I350">
        <v>3786832</v>
      </c>
      <c r="J350" t="s">
        <v>5150</v>
      </c>
      <c r="K350">
        <v>70</v>
      </c>
      <c r="L350" t="s">
        <v>59</v>
      </c>
      <c r="M350">
        <v>5</v>
      </c>
      <c r="N350" t="str">
        <f>HYPERLINK("Gene3821-zp_tree_all.dnd", "Gene3821-tree")</f>
        <v>Gene3821-tree</v>
      </c>
    </row>
    <row r="351" spans="1:57">
      <c r="A351">
        <v>0</v>
      </c>
      <c r="B351">
        <v>0</v>
      </c>
      <c r="C351">
        <v>0</v>
      </c>
      <c r="D351">
        <v>3822</v>
      </c>
      <c r="E351" t="s">
        <v>5151</v>
      </c>
      <c r="F351" t="s">
        <v>5762</v>
      </c>
      <c r="G351" t="s">
        <v>62</v>
      </c>
      <c r="H351">
        <v>3786881</v>
      </c>
      <c r="I351">
        <v>3787612</v>
      </c>
      <c r="J351" t="s">
        <v>5152</v>
      </c>
      <c r="K351">
        <v>244</v>
      </c>
      <c r="L351" t="s">
        <v>59</v>
      </c>
      <c r="M351">
        <v>5</v>
      </c>
      <c r="N351" t="str">
        <f>HYPERLINK("Gene3822-zp_tree_all.dnd", "Gene3822-tree")</f>
        <v>Gene3822-tree</v>
      </c>
      <c r="O351">
        <v>5</v>
      </c>
      <c r="P351">
        <v>0</v>
      </c>
      <c r="Q351">
        <v>4</v>
      </c>
      <c r="R351">
        <v>0</v>
      </c>
      <c r="S351">
        <v>0</v>
      </c>
      <c r="T351" t="s">
        <v>150</v>
      </c>
      <c r="U351" t="s">
        <v>62</v>
      </c>
      <c r="V351" t="s">
        <v>62</v>
      </c>
      <c r="W351" t="s">
        <v>62</v>
      </c>
      <c r="X351">
        <v>0</v>
      </c>
      <c r="Y351">
        <v>0</v>
      </c>
      <c r="Z351">
        <v>2</v>
      </c>
      <c r="AA351">
        <v>0</v>
      </c>
      <c r="AB351">
        <v>0</v>
      </c>
      <c r="AC351">
        <v>0</v>
      </c>
      <c r="AD351">
        <v>0</v>
      </c>
      <c r="AE351">
        <v>2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3</v>
      </c>
      <c r="AM351">
        <v>1</v>
      </c>
      <c r="AN351">
        <v>5</v>
      </c>
      <c r="AO351">
        <v>0</v>
      </c>
      <c r="AP351">
        <v>20</v>
      </c>
      <c r="AQ351">
        <v>2</v>
      </c>
      <c r="AR351" t="s">
        <v>64</v>
      </c>
      <c r="AS351" t="s">
        <v>5153</v>
      </c>
      <c r="AT351">
        <v>0</v>
      </c>
      <c r="AU351" t="s">
        <v>65</v>
      </c>
      <c r="AV351">
        <v>25</v>
      </c>
      <c r="AW351">
        <v>2</v>
      </c>
      <c r="AX351" t="s">
        <v>5154</v>
      </c>
      <c r="AY351" t="s">
        <v>5155</v>
      </c>
      <c r="AZ351" t="s">
        <v>2920</v>
      </c>
      <c r="BA351">
        <v>2.4750000000000001E-2</v>
      </c>
      <c r="BB351">
        <v>1</v>
      </c>
      <c r="BC351" t="s">
        <v>69</v>
      </c>
      <c r="BD351">
        <v>1.4039999999999999</v>
      </c>
      <c r="BE351">
        <v>1.4039999999999999</v>
      </c>
    </row>
    <row r="352" spans="1:57">
      <c r="A352">
        <v>0</v>
      </c>
      <c r="B352">
        <v>0</v>
      </c>
      <c r="C352">
        <v>0</v>
      </c>
      <c r="D352">
        <v>3823</v>
      </c>
      <c r="E352" t="s">
        <v>5156</v>
      </c>
      <c r="F352" t="s">
        <v>5762</v>
      </c>
      <c r="G352" t="s">
        <v>62</v>
      </c>
      <c r="H352">
        <v>3787623</v>
      </c>
      <c r="I352">
        <v>3788003</v>
      </c>
      <c r="J352" t="s">
        <v>5157</v>
      </c>
      <c r="K352">
        <v>127</v>
      </c>
      <c r="L352" t="s">
        <v>59</v>
      </c>
      <c r="M352">
        <v>5</v>
      </c>
      <c r="N352" t="str">
        <f>HYPERLINK("Gene3823-zp_tree_all.dnd", "Gene3823-tree")</f>
        <v>Gene3823-tree</v>
      </c>
      <c r="O352">
        <v>3</v>
      </c>
      <c r="P352">
        <v>2</v>
      </c>
      <c r="Q352">
        <v>3</v>
      </c>
      <c r="R352">
        <v>2</v>
      </c>
      <c r="S352">
        <v>0.4</v>
      </c>
      <c r="T352" t="s">
        <v>84</v>
      </c>
      <c r="U352" t="s">
        <v>135</v>
      </c>
      <c r="V352" t="s">
        <v>62</v>
      </c>
      <c r="W352" t="s">
        <v>62</v>
      </c>
      <c r="X352">
        <v>0</v>
      </c>
      <c r="Y352">
        <v>0</v>
      </c>
      <c r="Z352">
        <v>2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2</v>
      </c>
      <c r="AK352">
        <v>0</v>
      </c>
      <c r="AL352">
        <v>2</v>
      </c>
      <c r="AM352">
        <v>2</v>
      </c>
      <c r="AN352">
        <v>3</v>
      </c>
      <c r="AO352">
        <v>1</v>
      </c>
      <c r="AP352">
        <v>9</v>
      </c>
      <c r="AQ352">
        <v>1</v>
      </c>
      <c r="AR352" t="s">
        <v>5158</v>
      </c>
      <c r="AS352" t="s">
        <v>5159</v>
      </c>
      <c r="AT352">
        <v>0.80400000000000005</v>
      </c>
      <c r="AU352" t="s">
        <v>65</v>
      </c>
      <c r="AV352">
        <v>12</v>
      </c>
      <c r="AW352">
        <v>2</v>
      </c>
      <c r="AX352" t="s">
        <v>5160</v>
      </c>
      <c r="AY352" t="s">
        <v>5161</v>
      </c>
      <c r="AZ352" t="s">
        <v>5162</v>
      </c>
      <c r="BA352">
        <v>4.3560000000000001E-2</v>
      </c>
      <c r="BB352">
        <v>1</v>
      </c>
      <c r="BC352" t="s">
        <v>69</v>
      </c>
      <c r="BD352">
        <v>0.95399999999999996</v>
      </c>
      <c r="BE352">
        <v>0.95399999999999996</v>
      </c>
    </row>
    <row r="353" spans="1:57">
      <c r="A353">
        <v>0</v>
      </c>
      <c r="B353">
        <v>0</v>
      </c>
      <c r="C353">
        <v>0</v>
      </c>
      <c r="D353">
        <v>3825</v>
      </c>
      <c r="E353" t="s">
        <v>5163</v>
      </c>
      <c r="F353" t="s">
        <v>5762</v>
      </c>
      <c r="G353" t="s">
        <v>62</v>
      </c>
      <c r="H353">
        <v>3789193</v>
      </c>
      <c r="I353">
        <v>3790437</v>
      </c>
      <c r="J353" t="s">
        <v>5164</v>
      </c>
      <c r="K353">
        <v>415</v>
      </c>
      <c r="L353" t="s">
        <v>59</v>
      </c>
      <c r="M353">
        <v>5</v>
      </c>
      <c r="N353" t="str">
        <f>HYPERLINK("Gene3825-zp_tree_all.dnd", "Gene3825-tree")</f>
        <v>Gene3825-tree</v>
      </c>
      <c r="O353">
        <v>1</v>
      </c>
      <c r="P353">
        <v>4</v>
      </c>
      <c r="Q353">
        <v>1</v>
      </c>
      <c r="R353">
        <v>4</v>
      </c>
      <c r="S353">
        <v>0.8</v>
      </c>
      <c r="T353" t="s">
        <v>61</v>
      </c>
      <c r="U353" t="s">
        <v>60</v>
      </c>
      <c r="V353" t="s">
        <v>62</v>
      </c>
      <c r="W353" t="s">
        <v>62</v>
      </c>
      <c r="X353">
        <v>0</v>
      </c>
      <c r="Y353">
        <v>0</v>
      </c>
      <c r="Z353">
        <v>7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5</v>
      </c>
      <c r="AK353">
        <v>0</v>
      </c>
      <c r="AL353">
        <v>5</v>
      </c>
      <c r="AM353">
        <v>2</v>
      </c>
      <c r="AN353">
        <v>32</v>
      </c>
      <c r="AO353">
        <v>5</v>
      </c>
      <c r="AP353">
        <v>36</v>
      </c>
      <c r="AQ353">
        <v>2</v>
      </c>
      <c r="AR353" t="s">
        <v>5165</v>
      </c>
      <c r="AS353" t="s">
        <v>5166</v>
      </c>
      <c r="AT353">
        <v>1.4930000000000001</v>
      </c>
      <c r="AU353" t="s">
        <v>65</v>
      </c>
      <c r="AV353">
        <v>68</v>
      </c>
      <c r="AW353">
        <v>7</v>
      </c>
      <c r="AX353" t="s">
        <v>5167</v>
      </c>
      <c r="AY353" t="s">
        <v>5168</v>
      </c>
      <c r="AZ353" t="s">
        <v>5169</v>
      </c>
      <c r="BA353">
        <v>2.615E-2</v>
      </c>
      <c r="BB353">
        <v>1</v>
      </c>
      <c r="BC353" t="s">
        <v>69</v>
      </c>
      <c r="BD353">
        <v>0.49099999999999999</v>
      </c>
      <c r="BE353">
        <v>0.184</v>
      </c>
    </row>
    <row r="354" spans="1:57">
      <c r="A354">
        <v>0</v>
      </c>
      <c r="B354">
        <v>2</v>
      </c>
      <c r="C354">
        <v>2</v>
      </c>
      <c r="D354">
        <v>3828</v>
      </c>
      <c r="E354" t="s">
        <v>5170</v>
      </c>
      <c r="F354" t="s">
        <v>5762</v>
      </c>
      <c r="G354" t="s">
        <v>62</v>
      </c>
      <c r="H354">
        <v>3791808</v>
      </c>
      <c r="I354">
        <v>3792257</v>
      </c>
      <c r="J354" t="s">
        <v>5171</v>
      </c>
      <c r="K354">
        <v>150</v>
      </c>
      <c r="L354" t="s">
        <v>83</v>
      </c>
      <c r="M354">
        <v>4</v>
      </c>
      <c r="N354" t="str">
        <f>HYPERLINK("Gene3828-zp_tree_all.dnd", "Gene3828-tree")</f>
        <v>Gene3828-tree</v>
      </c>
      <c r="O354">
        <v>1</v>
      </c>
      <c r="P354">
        <v>3</v>
      </c>
      <c r="Q354">
        <v>1</v>
      </c>
      <c r="R354">
        <v>3</v>
      </c>
      <c r="S354">
        <v>0.75</v>
      </c>
      <c r="T354" t="s">
        <v>61</v>
      </c>
      <c r="U354" t="s">
        <v>84</v>
      </c>
      <c r="V354" t="s">
        <v>62</v>
      </c>
      <c r="W354" t="s">
        <v>62</v>
      </c>
      <c r="X354">
        <v>2</v>
      </c>
      <c r="Y354">
        <v>4</v>
      </c>
      <c r="Z354">
        <v>9</v>
      </c>
      <c r="AA354">
        <v>0.30769000000000002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2</v>
      </c>
      <c r="AH354">
        <v>2</v>
      </c>
      <c r="AI354">
        <v>4</v>
      </c>
      <c r="AJ354">
        <v>9</v>
      </c>
      <c r="AK354">
        <v>0.30769000000000002</v>
      </c>
      <c r="AL354">
        <v>4</v>
      </c>
      <c r="AM354">
        <v>1</v>
      </c>
      <c r="AN354">
        <v>11</v>
      </c>
      <c r="AO354">
        <v>13</v>
      </c>
      <c r="AP354">
        <v>2</v>
      </c>
      <c r="AQ354">
        <v>0</v>
      </c>
      <c r="AR354" t="s">
        <v>5172</v>
      </c>
      <c r="AS354" t="s">
        <v>64</v>
      </c>
      <c r="AT354">
        <v>0.93400000000000005</v>
      </c>
      <c r="AU354" t="s">
        <v>65</v>
      </c>
      <c r="AV354">
        <v>13</v>
      </c>
      <c r="AW354">
        <v>13</v>
      </c>
      <c r="AX354" t="s">
        <v>5173</v>
      </c>
      <c r="AY354" t="s">
        <v>5174</v>
      </c>
      <c r="AZ354" t="s">
        <v>5175</v>
      </c>
      <c r="BA354">
        <v>0.26401000000000002</v>
      </c>
      <c r="BB354">
        <v>0.99</v>
      </c>
      <c r="BC354" t="s">
        <v>69</v>
      </c>
      <c r="BD354">
        <v>-3.6999999999999998E-2</v>
      </c>
      <c r="BE354">
        <v>-0.85699999999999998</v>
      </c>
    </row>
    <row r="355" spans="1:57">
      <c r="A355">
        <v>0</v>
      </c>
      <c r="B355">
        <v>0</v>
      </c>
      <c r="C355">
        <v>0</v>
      </c>
      <c r="D355">
        <v>3836</v>
      </c>
      <c r="E355" t="s">
        <v>5176</v>
      </c>
      <c r="F355" t="s">
        <v>5762</v>
      </c>
      <c r="G355" t="s">
        <v>62</v>
      </c>
      <c r="H355">
        <v>3797088</v>
      </c>
      <c r="I355">
        <v>3798155</v>
      </c>
      <c r="J355" t="s">
        <v>5177</v>
      </c>
      <c r="K355">
        <v>356</v>
      </c>
      <c r="L355" t="s">
        <v>59</v>
      </c>
      <c r="M355">
        <v>5</v>
      </c>
      <c r="N355" t="str">
        <f>HYPERLINK("Gene3836-zp_tree_all.dnd", "Gene3836-tree")</f>
        <v>Gene3836-tree</v>
      </c>
      <c r="O355">
        <v>4</v>
      </c>
      <c r="P355">
        <v>1</v>
      </c>
      <c r="Q355">
        <v>4</v>
      </c>
      <c r="R355">
        <v>1</v>
      </c>
      <c r="S355">
        <v>0.2</v>
      </c>
      <c r="T355" t="s">
        <v>60</v>
      </c>
      <c r="U355" t="s">
        <v>61</v>
      </c>
      <c r="V355" t="s">
        <v>62</v>
      </c>
      <c r="W355" t="s">
        <v>62</v>
      </c>
      <c r="X355">
        <v>0</v>
      </c>
      <c r="Y355">
        <v>0</v>
      </c>
      <c r="Z355">
        <v>2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2</v>
      </c>
      <c r="AK355">
        <v>0</v>
      </c>
      <c r="AL355">
        <v>5</v>
      </c>
      <c r="AM355">
        <v>2</v>
      </c>
      <c r="AN355">
        <v>25</v>
      </c>
      <c r="AO355">
        <v>2</v>
      </c>
      <c r="AP355">
        <v>29</v>
      </c>
      <c r="AQ355">
        <v>0</v>
      </c>
      <c r="AR355" t="s">
        <v>5178</v>
      </c>
      <c r="AS355" t="s">
        <v>64</v>
      </c>
      <c r="AT355">
        <v>0.52100000000000002</v>
      </c>
      <c r="AU355" t="s">
        <v>65</v>
      </c>
      <c r="AV355">
        <v>54</v>
      </c>
      <c r="AW355">
        <v>2</v>
      </c>
      <c r="AX355" t="s">
        <v>5179</v>
      </c>
      <c r="AY355" t="s">
        <v>5180</v>
      </c>
      <c r="AZ355" t="s">
        <v>5181</v>
      </c>
      <c r="BA355">
        <v>8.1300000000000001E-3</v>
      </c>
      <c r="BB355">
        <v>1</v>
      </c>
      <c r="BC355" t="s">
        <v>69</v>
      </c>
      <c r="BD355">
        <v>0.55200000000000005</v>
      </c>
      <c r="BE355">
        <v>0.40400000000000003</v>
      </c>
    </row>
    <row r="356" spans="1:57">
      <c r="A356">
        <v>0</v>
      </c>
      <c r="B356">
        <v>0</v>
      </c>
      <c r="C356">
        <v>2</v>
      </c>
      <c r="D356">
        <v>3840</v>
      </c>
      <c r="E356" t="s">
        <v>5182</v>
      </c>
      <c r="F356" t="s">
        <v>5762</v>
      </c>
      <c r="G356" t="s">
        <v>62</v>
      </c>
      <c r="H356">
        <v>3800421</v>
      </c>
      <c r="I356">
        <v>3802166</v>
      </c>
      <c r="J356" t="s">
        <v>5183</v>
      </c>
      <c r="K356">
        <v>582</v>
      </c>
      <c r="L356" t="s">
        <v>59</v>
      </c>
      <c r="M356">
        <v>5</v>
      </c>
      <c r="N356" t="str">
        <f>HYPERLINK("Gene3840-zp_tree_all.dnd", "Gene3840-tree")</f>
        <v>Gene3840-tree</v>
      </c>
      <c r="O356">
        <v>1</v>
      </c>
      <c r="P356">
        <v>4</v>
      </c>
      <c r="Q356">
        <v>1</v>
      </c>
      <c r="R356">
        <v>4</v>
      </c>
      <c r="S356">
        <v>0.8</v>
      </c>
      <c r="T356" t="s">
        <v>61</v>
      </c>
      <c r="U356" t="s">
        <v>60</v>
      </c>
      <c r="V356" t="s">
        <v>62</v>
      </c>
      <c r="W356" t="s">
        <v>62</v>
      </c>
      <c r="X356">
        <v>1</v>
      </c>
      <c r="Y356">
        <v>2</v>
      </c>
      <c r="Z356">
        <v>9</v>
      </c>
      <c r="AA356">
        <v>0.18182000000000001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5</v>
      </c>
      <c r="AK356">
        <v>0</v>
      </c>
      <c r="AL356">
        <v>5</v>
      </c>
      <c r="AM356">
        <v>2</v>
      </c>
      <c r="AN356">
        <v>38</v>
      </c>
      <c r="AO356">
        <v>5</v>
      </c>
      <c r="AP356">
        <v>51</v>
      </c>
      <c r="AQ356">
        <v>6</v>
      </c>
      <c r="AR356" t="s">
        <v>5184</v>
      </c>
      <c r="AS356" t="s">
        <v>5185</v>
      </c>
      <c r="AT356">
        <v>0.14899999999999999</v>
      </c>
      <c r="AU356" t="s">
        <v>65</v>
      </c>
      <c r="AV356">
        <v>89</v>
      </c>
      <c r="AW356">
        <v>11</v>
      </c>
      <c r="AX356" t="s">
        <v>5186</v>
      </c>
      <c r="AY356" t="s">
        <v>5187</v>
      </c>
      <c r="AZ356" t="s">
        <v>5188</v>
      </c>
      <c r="BA356">
        <v>3.3430000000000001E-2</v>
      </c>
      <c r="BB356">
        <v>1</v>
      </c>
      <c r="BC356" t="s">
        <v>69</v>
      </c>
      <c r="BD356">
        <v>0.81</v>
      </c>
      <c r="BE356">
        <v>0.504</v>
      </c>
    </row>
    <row r="357" spans="1:57">
      <c r="A357">
        <v>0</v>
      </c>
      <c r="B357">
        <v>0</v>
      </c>
      <c r="C357">
        <v>0</v>
      </c>
      <c r="D357">
        <v>3842</v>
      </c>
      <c r="E357" t="s">
        <v>5189</v>
      </c>
      <c r="F357" t="s">
        <v>5762</v>
      </c>
      <c r="G357" t="s">
        <v>62</v>
      </c>
      <c r="H357">
        <v>3803084</v>
      </c>
      <c r="I357">
        <v>3803281</v>
      </c>
      <c r="J357" t="s">
        <v>4354</v>
      </c>
      <c r="K357">
        <v>66</v>
      </c>
      <c r="L357" t="s">
        <v>59</v>
      </c>
      <c r="M357">
        <v>5</v>
      </c>
      <c r="N357" t="str">
        <f>HYPERLINK("Gene3842-zp_tree_all.dnd", "Gene3842-tree")</f>
        <v>Gene3842-tree</v>
      </c>
    </row>
    <row r="358" spans="1:57">
      <c r="A358">
        <v>0</v>
      </c>
      <c r="B358">
        <v>0</v>
      </c>
      <c r="C358">
        <v>0</v>
      </c>
      <c r="D358">
        <v>3843</v>
      </c>
      <c r="E358" t="s">
        <v>5190</v>
      </c>
      <c r="F358" t="s">
        <v>5762</v>
      </c>
      <c r="G358" t="s">
        <v>62</v>
      </c>
      <c r="H358">
        <v>3803403</v>
      </c>
      <c r="I358">
        <v>3804683</v>
      </c>
      <c r="J358" t="s">
        <v>5191</v>
      </c>
      <c r="K358">
        <v>427</v>
      </c>
      <c r="L358" t="s">
        <v>59</v>
      </c>
      <c r="M358">
        <v>5</v>
      </c>
      <c r="N358" t="str">
        <f>HYPERLINK("Gene3843-zp_tree_all.dnd", "Gene3843-tree")</f>
        <v>Gene3843-tree</v>
      </c>
      <c r="O358">
        <v>5</v>
      </c>
      <c r="P358">
        <v>0</v>
      </c>
      <c r="Q358">
        <v>5</v>
      </c>
      <c r="R358">
        <v>0</v>
      </c>
      <c r="S358">
        <v>0</v>
      </c>
      <c r="T358" t="s">
        <v>98</v>
      </c>
      <c r="U358" t="s">
        <v>62</v>
      </c>
      <c r="V358" t="s">
        <v>62</v>
      </c>
      <c r="W358" t="s">
        <v>62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5</v>
      </c>
      <c r="AM358">
        <v>2</v>
      </c>
      <c r="AN358">
        <v>33</v>
      </c>
      <c r="AO358">
        <v>0</v>
      </c>
      <c r="AP358">
        <v>43</v>
      </c>
      <c r="AQ358">
        <v>0</v>
      </c>
      <c r="AR358" t="s">
        <v>64</v>
      </c>
      <c r="AS358" t="s">
        <v>64</v>
      </c>
      <c r="AT358">
        <v>0</v>
      </c>
      <c r="AU358" t="s">
        <v>65</v>
      </c>
      <c r="AV358">
        <v>76</v>
      </c>
      <c r="AW358">
        <v>0</v>
      </c>
      <c r="AX358" t="s">
        <v>5192</v>
      </c>
      <c r="AY358" t="s">
        <v>5193</v>
      </c>
      <c r="AZ358" t="s">
        <v>64</v>
      </c>
      <c r="BA358">
        <v>0</v>
      </c>
      <c r="BB358">
        <v>1</v>
      </c>
      <c r="BC358" t="s">
        <v>69</v>
      </c>
      <c r="BD358">
        <v>0.97899999999999998</v>
      </c>
      <c r="BE358">
        <v>0.52200000000000002</v>
      </c>
    </row>
    <row r="359" spans="1:57">
      <c r="A359">
        <v>0</v>
      </c>
      <c r="B359">
        <v>0</v>
      </c>
      <c r="C359">
        <v>0</v>
      </c>
      <c r="D359">
        <v>3844</v>
      </c>
      <c r="E359" t="s">
        <v>5194</v>
      </c>
      <c r="F359" t="s">
        <v>5762</v>
      </c>
      <c r="G359" t="s">
        <v>62</v>
      </c>
      <c r="H359">
        <v>3804717</v>
      </c>
      <c r="I359">
        <v>3804875</v>
      </c>
      <c r="J359" t="s">
        <v>1082</v>
      </c>
      <c r="K359">
        <v>53</v>
      </c>
      <c r="L359" t="s">
        <v>59</v>
      </c>
      <c r="M359">
        <v>5</v>
      </c>
      <c r="N359" t="str">
        <f>HYPERLINK("Gene3844-zp_tree_all.dnd", "Gene3844-tree")</f>
        <v>Gene3844-tree</v>
      </c>
    </row>
    <row r="360" spans="1:57">
      <c r="A360">
        <v>0</v>
      </c>
      <c r="B360">
        <v>0</v>
      </c>
      <c r="C360">
        <v>0</v>
      </c>
      <c r="D360">
        <v>3845</v>
      </c>
      <c r="E360" t="s">
        <v>5195</v>
      </c>
      <c r="F360" t="s">
        <v>5762</v>
      </c>
      <c r="G360" t="s">
        <v>62</v>
      </c>
      <c r="H360">
        <v>3805093</v>
      </c>
      <c r="I360">
        <v>3806055</v>
      </c>
      <c r="J360" t="s">
        <v>5196</v>
      </c>
      <c r="K360">
        <v>321</v>
      </c>
      <c r="L360" t="s">
        <v>83</v>
      </c>
      <c r="M360">
        <v>4</v>
      </c>
      <c r="N360" t="str">
        <f>HYPERLINK("Gene3845-zp_tree_all.dnd", "Gene3845-tree")</f>
        <v>Gene3845-tree</v>
      </c>
      <c r="O360">
        <v>4</v>
      </c>
      <c r="P360">
        <v>0</v>
      </c>
      <c r="Q360">
        <v>4</v>
      </c>
      <c r="R360">
        <v>0</v>
      </c>
      <c r="S360">
        <v>0</v>
      </c>
      <c r="T360" t="s">
        <v>60</v>
      </c>
      <c r="U360" t="s">
        <v>62</v>
      </c>
      <c r="V360" t="s">
        <v>62</v>
      </c>
      <c r="W360" t="s">
        <v>62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4</v>
      </c>
      <c r="AM360">
        <v>1</v>
      </c>
      <c r="AN360">
        <v>48</v>
      </c>
      <c r="AO360">
        <v>0</v>
      </c>
      <c r="AP360">
        <v>3</v>
      </c>
      <c r="AQ360">
        <v>0</v>
      </c>
      <c r="AR360" t="s">
        <v>64</v>
      </c>
      <c r="AS360" t="s">
        <v>64</v>
      </c>
      <c r="AT360">
        <v>0</v>
      </c>
      <c r="AU360" t="s">
        <v>65</v>
      </c>
      <c r="AV360">
        <v>51</v>
      </c>
      <c r="AW360">
        <v>0</v>
      </c>
      <c r="AX360" t="s">
        <v>5197</v>
      </c>
      <c r="AY360" t="s">
        <v>5198</v>
      </c>
      <c r="AZ360" t="s">
        <v>64</v>
      </c>
      <c r="BA360">
        <v>0</v>
      </c>
      <c r="BB360">
        <v>1</v>
      </c>
      <c r="BC360" t="s">
        <v>69</v>
      </c>
      <c r="BD360">
        <v>-0.61299999999999999</v>
      </c>
      <c r="BE360">
        <v>-0.61299999999999999</v>
      </c>
    </row>
    <row r="361" spans="1:57">
      <c r="A361">
        <v>0</v>
      </c>
      <c r="B361">
        <v>0</v>
      </c>
      <c r="C361">
        <v>0</v>
      </c>
      <c r="D361">
        <v>3846</v>
      </c>
      <c r="E361" t="s">
        <v>5199</v>
      </c>
      <c r="F361" t="s">
        <v>5762</v>
      </c>
      <c r="G361" t="s">
        <v>62</v>
      </c>
      <c r="H361">
        <v>3806089</v>
      </c>
      <c r="I361">
        <v>3807375</v>
      </c>
      <c r="J361" t="s">
        <v>5095</v>
      </c>
      <c r="K361">
        <v>429</v>
      </c>
      <c r="L361" t="s">
        <v>59</v>
      </c>
      <c r="M361">
        <v>5</v>
      </c>
      <c r="N361" t="str">
        <f>HYPERLINK("Gene3846-zp_tree_all.dnd", "Gene3846-tree")</f>
        <v>Gene3846-tree</v>
      </c>
      <c r="O361">
        <v>4</v>
      </c>
      <c r="P361">
        <v>1</v>
      </c>
      <c r="Q361">
        <v>4</v>
      </c>
      <c r="R361">
        <v>1</v>
      </c>
      <c r="S361">
        <v>0.2</v>
      </c>
      <c r="T361" t="s">
        <v>60</v>
      </c>
      <c r="U361" t="s">
        <v>61</v>
      </c>
      <c r="V361" t="s">
        <v>62</v>
      </c>
      <c r="W361" t="s">
        <v>62</v>
      </c>
      <c r="X361">
        <v>0</v>
      </c>
      <c r="Y361">
        <v>0</v>
      </c>
      <c r="Z361">
        <v>2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1</v>
      </c>
      <c r="AK361">
        <v>0</v>
      </c>
      <c r="AL361">
        <v>5</v>
      </c>
      <c r="AM361">
        <v>2</v>
      </c>
      <c r="AN361">
        <v>40</v>
      </c>
      <c r="AO361">
        <v>1</v>
      </c>
      <c r="AP361">
        <v>44</v>
      </c>
      <c r="AQ361">
        <v>1</v>
      </c>
      <c r="AR361" t="s">
        <v>5200</v>
      </c>
      <c r="AS361" t="s">
        <v>5201</v>
      </c>
      <c r="AT361">
        <v>7.1999999999999995E-2</v>
      </c>
      <c r="AU361" t="s">
        <v>65</v>
      </c>
      <c r="AV361">
        <v>84</v>
      </c>
      <c r="AW361">
        <v>2</v>
      </c>
      <c r="AX361" t="s">
        <v>5202</v>
      </c>
      <c r="AY361" t="s">
        <v>5203</v>
      </c>
      <c r="AZ361" t="s">
        <v>5204</v>
      </c>
      <c r="BA361">
        <v>8.7500000000000008E-3</v>
      </c>
      <c r="BB361">
        <v>1</v>
      </c>
      <c r="BC361" t="s">
        <v>69</v>
      </c>
      <c r="BD361">
        <v>0.73099999999999998</v>
      </c>
      <c r="BE361">
        <v>0.35599999999999998</v>
      </c>
    </row>
    <row r="362" spans="1:57">
      <c r="A362">
        <v>0</v>
      </c>
      <c r="B362">
        <v>0</v>
      </c>
      <c r="C362">
        <v>0</v>
      </c>
      <c r="D362">
        <v>3847</v>
      </c>
      <c r="E362" t="s">
        <v>5205</v>
      </c>
      <c r="F362" t="s">
        <v>5762</v>
      </c>
      <c r="G362" t="s">
        <v>62</v>
      </c>
      <c r="H362">
        <v>3807757</v>
      </c>
      <c r="I362">
        <v>3808392</v>
      </c>
      <c r="J362" t="s">
        <v>5206</v>
      </c>
      <c r="K362">
        <v>212</v>
      </c>
      <c r="L362" t="s">
        <v>59</v>
      </c>
      <c r="M362">
        <v>5</v>
      </c>
      <c r="N362" t="str">
        <f>HYPERLINK("Gene3847-zp_tree_all.dnd", "Gene3847-tree")</f>
        <v>Gene3847-tree</v>
      </c>
      <c r="O362">
        <v>4</v>
      </c>
      <c r="P362">
        <v>1</v>
      </c>
      <c r="Q362">
        <v>4</v>
      </c>
      <c r="R362">
        <v>1</v>
      </c>
      <c r="S362">
        <v>0.2</v>
      </c>
      <c r="T362" t="s">
        <v>60</v>
      </c>
      <c r="U362" t="s">
        <v>61</v>
      </c>
      <c r="V362" t="s">
        <v>62</v>
      </c>
      <c r="W362" t="s">
        <v>62</v>
      </c>
      <c r="X362">
        <v>0</v>
      </c>
      <c r="Y362">
        <v>0</v>
      </c>
      <c r="Z362">
        <v>4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1</v>
      </c>
      <c r="AK362">
        <v>0</v>
      </c>
      <c r="AL362">
        <v>5</v>
      </c>
      <c r="AM362">
        <v>2</v>
      </c>
      <c r="AN362">
        <v>10</v>
      </c>
      <c r="AO362">
        <v>1</v>
      </c>
      <c r="AP362">
        <v>18</v>
      </c>
      <c r="AQ362">
        <v>4</v>
      </c>
      <c r="AR362" t="s">
        <v>5207</v>
      </c>
      <c r="AS362" t="s">
        <v>5208</v>
      </c>
      <c r="AT362">
        <v>0.33200000000000002</v>
      </c>
      <c r="AU362" t="s">
        <v>65</v>
      </c>
      <c r="AV362">
        <v>28</v>
      </c>
      <c r="AW362">
        <v>5</v>
      </c>
      <c r="AX362" t="s">
        <v>5209</v>
      </c>
      <c r="AY362" t="s">
        <v>5210</v>
      </c>
      <c r="AZ362" t="s">
        <v>5211</v>
      </c>
      <c r="BA362">
        <v>5.4559999999999997E-2</v>
      </c>
      <c r="BB362">
        <v>1</v>
      </c>
      <c r="BC362" t="s">
        <v>69</v>
      </c>
      <c r="BD362">
        <v>1.167</v>
      </c>
      <c r="BE362">
        <v>1.167</v>
      </c>
    </row>
    <row r="363" spans="1:57">
      <c r="A363">
        <v>0</v>
      </c>
      <c r="B363">
        <v>0</v>
      </c>
      <c r="C363">
        <v>0</v>
      </c>
      <c r="D363">
        <v>3848</v>
      </c>
      <c r="E363" t="s">
        <v>5212</v>
      </c>
      <c r="F363" t="s">
        <v>5762</v>
      </c>
      <c r="G363" t="s">
        <v>62</v>
      </c>
      <c r="H363">
        <v>3808515</v>
      </c>
      <c r="I363">
        <v>3809369</v>
      </c>
      <c r="J363" t="s">
        <v>5213</v>
      </c>
      <c r="K363">
        <v>285</v>
      </c>
      <c r="L363" t="s">
        <v>59</v>
      </c>
      <c r="M363">
        <v>5</v>
      </c>
      <c r="N363" t="str">
        <f>HYPERLINK("Gene3848-zp_tree_all.dnd", "Gene3848-tree")</f>
        <v>Gene3848-tree</v>
      </c>
      <c r="O363">
        <v>3</v>
      </c>
      <c r="P363">
        <v>2</v>
      </c>
      <c r="Q363">
        <v>3</v>
      </c>
      <c r="R363">
        <v>2</v>
      </c>
      <c r="S363">
        <v>0.4</v>
      </c>
      <c r="T363" t="s">
        <v>84</v>
      </c>
      <c r="U363" t="s">
        <v>135</v>
      </c>
      <c r="V363" t="s">
        <v>62</v>
      </c>
      <c r="W363" t="s">
        <v>62</v>
      </c>
      <c r="X363">
        <v>0</v>
      </c>
      <c r="Y363">
        <v>0</v>
      </c>
      <c r="Z363">
        <v>5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4</v>
      </c>
      <c r="AK363">
        <v>0</v>
      </c>
      <c r="AL363">
        <v>5</v>
      </c>
      <c r="AM363">
        <v>1</v>
      </c>
      <c r="AN363">
        <v>16</v>
      </c>
      <c r="AO363">
        <v>4</v>
      </c>
      <c r="AP363">
        <v>4</v>
      </c>
      <c r="AQ363">
        <v>1</v>
      </c>
      <c r="AR363" t="s">
        <v>5214</v>
      </c>
      <c r="AS363" t="s">
        <v>5215</v>
      </c>
      <c r="AT363">
        <v>2E-3</v>
      </c>
      <c r="AU363" t="s">
        <v>65</v>
      </c>
      <c r="AV363">
        <v>20</v>
      </c>
      <c r="AW363">
        <v>5</v>
      </c>
      <c r="AX363" t="s">
        <v>5216</v>
      </c>
      <c r="AY363" t="s">
        <v>5217</v>
      </c>
      <c r="AZ363" t="s">
        <v>5218</v>
      </c>
      <c r="BA363">
        <v>7.7420000000000003E-2</v>
      </c>
      <c r="BB363">
        <v>1</v>
      </c>
      <c r="BC363" t="s">
        <v>69</v>
      </c>
      <c r="BD363">
        <v>-0.46500000000000002</v>
      </c>
      <c r="BE363">
        <v>-0.46500000000000002</v>
      </c>
    </row>
    <row r="364" spans="1:57">
      <c r="A364">
        <v>0</v>
      </c>
      <c r="B364">
        <v>0</v>
      </c>
      <c r="C364">
        <v>0</v>
      </c>
      <c r="D364">
        <v>3849</v>
      </c>
      <c r="E364" t="s">
        <v>5219</v>
      </c>
      <c r="F364" t="s">
        <v>5762</v>
      </c>
      <c r="G364" t="s">
        <v>62</v>
      </c>
      <c r="H364">
        <v>3809553</v>
      </c>
      <c r="I364">
        <v>3809924</v>
      </c>
      <c r="J364" t="s">
        <v>5220</v>
      </c>
      <c r="K364">
        <v>124</v>
      </c>
      <c r="L364" t="s">
        <v>83</v>
      </c>
      <c r="M364">
        <v>4</v>
      </c>
      <c r="N364" t="str">
        <f>HYPERLINK("Gene3849-zp_tree_all.dnd", "Gene3849-tree")</f>
        <v>Gene3849-tree</v>
      </c>
      <c r="O364">
        <v>4</v>
      </c>
      <c r="P364">
        <v>0</v>
      </c>
      <c r="Q364">
        <v>4</v>
      </c>
      <c r="R364">
        <v>0</v>
      </c>
      <c r="S364">
        <v>0</v>
      </c>
      <c r="T364" t="s">
        <v>60</v>
      </c>
      <c r="U364" t="s">
        <v>62</v>
      </c>
      <c r="V364" t="s">
        <v>62</v>
      </c>
      <c r="W364" t="s">
        <v>62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3</v>
      </c>
      <c r="AM364">
        <v>0</v>
      </c>
      <c r="AN364">
        <v>17</v>
      </c>
      <c r="AO364">
        <v>0</v>
      </c>
      <c r="AP364">
        <v>0</v>
      </c>
      <c r="AQ364">
        <v>0</v>
      </c>
      <c r="AR364" t="s">
        <v>64</v>
      </c>
      <c r="AS364" t="s">
        <v>64</v>
      </c>
      <c r="AT364">
        <v>0</v>
      </c>
      <c r="AU364" t="s">
        <v>65</v>
      </c>
      <c r="AV364">
        <v>17</v>
      </c>
      <c r="AW364">
        <v>0</v>
      </c>
      <c r="AX364" t="s">
        <v>5221</v>
      </c>
      <c r="AY364" t="s">
        <v>5222</v>
      </c>
      <c r="AZ364" t="s">
        <v>64</v>
      </c>
      <c r="BA364">
        <v>0</v>
      </c>
      <c r="BB364">
        <v>1</v>
      </c>
      <c r="BC364" t="s">
        <v>69</v>
      </c>
      <c r="BD364">
        <v>-0.85099999999999998</v>
      </c>
      <c r="BE364">
        <v>-0.85099999999999998</v>
      </c>
    </row>
    <row r="365" spans="1:57">
      <c r="A365">
        <v>0</v>
      </c>
      <c r="B365">
        <v>0</v>
      </c>
      <c r="C365">
        <v>0</v>
      </c>
      <c r="D365">
        <v>3852</v>
      </c>
      <c r="E365" t="s">
        <v>5228</v>
      </c>
      <c r="F365" t="s">
        <v>5762</v>
      </c>
      <c r="G365" t="s">
        <v>62</v>
      </c>
      <c r="H365">
        <v>3812545</v>
      </c>
      <c r="I365">
        <v>3813063</v>
      </c>
      <c r="J365" t="s">
        <v>5229</v>
      </c>
      <c r="K365">
        <v>173</v>
      </c>
      <c r="L365" t="s">
        <v>112</v>
      </c>
      <c r="M365">
        <v>4</v>
      </c>
      <c r="N365" t="str">
        <f>HYPERLINK("Gene3852-zp_tree_all.dnd", "Gene3852-tree")</f>
        <v>Gene3852-tree</v>
      </c>
      <c r="O365">
        <v>0</v>
      </c>
      <c r="P365">
        <v>4</v>
      </c>
      <c r="Q365">
        <v>0</v>
      </c>
      <c r="R365">
        <v>4</v>
      </c>
      <c r="S365">
        <v>1</v>
      </c>
      <c r="T365" t="s">
        <v>62</v>
      </c>
      <c r="U365" t="s">
        <v>60</v>
      </c>
      <c r="V365" t="s">
        <v>62</v>
      </c>
      <c r="W365" t="s">
        <v>62</v>
      </c>
      <c r="X365">
        <v>0</v>
      </c>
      <c r="Y365">
        <v>0</v>
      </c>
      <c r="Z365">
        <v>9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9</v>
      </c>
      <c r="AK365">
        <v>0</v>
      </c>
      <c r="AL365">
        <v>4</v>
      </c>
      <c r="AM365">
        <v>0</v>
      </c>
      <c r="AN365">
        <v>18</v>
      </c>
      <c r="AO365">
        <v>10</v>
      </c>
      <c r="AP365">
        <v>0</v>
      </c>
      <c r="AQ365">
        <v>0</v>
      </c>
      <c r="AR365" t="s">
        <v>5230</v>
      </c>
      <c r="AS365" t="s">
        <v>64</v>
      </c>
      <c r="AT365">
        <v>0.83</v>
      </c>
      <c r="AU365" t="s">
        <v>65</v>
      </c>
      <c r="AV365">
        <v>18</v>
      </c>
      <c r="AW365">
        <v>10</v>
      </c>
      <c r="AX365" t="s">
        <v>5231</v>
      </c>
      <c r="AY365" t="s">
        <v>5232</v>
      </c>
      <c r="AZ365" t="s">
        <v>5233</v>
      </c>
      <c r="BA365">
        <v>0.12107</v>
      </c>
      <c r="BB365">
        <v>1</v>
      </c>
      <c r="BC365" t="s">
        <v>69</v>
      </c>
      <c r="BD365">
        <v>-0.86</v>
      </c>
      <c r="BE365">
        <v>-0.86</v>
      </c>
    </row>
    <row r="366" spans="1:57">
      <c r="A366">
        <v>0</v>
      </c>
      <c r="B366">
        <v>0</v>
      </c>
      <c r="C366">
        <v>0</v>
      </c>
      <c r="D366">
        <v>3870</v>
      </c>
      <c r="E366" t="s">
        <v>5234</v>
      </c>
      <c r="F366" t="s">
        <v>5762</v>
      </c>
      <c r="G366" t="s">
        <v>62</v>
      </c>
      <c r="H366">
        <v>3835320</v>
      </c>
      <c r="I366">
        <v>3835745</v>
      </c>
      <c r="J366" t="s">
        <v>2408</v>
      </c>
      <c r="K366">
        <v>142</v>
      </c>
      <c r="L366" t="s">
        <v>59</v>
      </c>
      <c r="M366">
        <v>5</v>
      </c>
      <c r="N366" t="str">
        <f>HYPERLINK("Gene3870-zp_tree_all.dnd", "Gene3870-tree")</f>
        <v>Gene3870-tree</v>
      </c>
    </row>
    <row r="367" spans="1:57">
      <c r="A367">
        <v>0</v>
      </c>
      <c r="B367">
        <v>0</v>
      </c>
      <c r="C367">
        <v>0</v>
      </c>
      <c r="D367">
        <v>3886</v>
      </c>
      <c r="E367" t="s">
        <v>5248</v>
      </c>
      <c r="F367" t="s">
        <v>5762</v>
      </c>
      <c r="G367" t="s">
        <v>62</v>
      </c>
      <c r="H367">
        <v>3848789</v>
      </c>
      <c r="I367">
        <v>3849616</v>
      </c>
      <c r="J367" t="s">
        <v>5249</v>
      </c>
      <c r="K367">
        <v>276</v>
      </c>
      <c r="L367" t="s">
        <v>112</v>
      </c>
      <c r="M367">
        <v>4</v>
      </c>
      <c r="N367" t="str">
        <f>HYPERLINK("Gene3886-zp_tree_all.dnd", "Gene3886-tree")</f>
        <v>Gene3886-tree</v>
      </c>
      <c r="O367">
        <v>3</v>
      </c>
      <c r="P367">
        <v>1</v>
      </c>
      <c r="Q367">
        <v>3</v>
      </c>
      <c r="R367">
        <v>1</v>
      </c>
      <c r="S367">
        <v>0.25</v>
      </c>
      <c r="T367" t="s">
        <v>84</v>
      </c>
      <c r="U367" t="s">
        <v>61</v>
      </c>
      <c r="V367" t="s">
        <v>62</v>
      </c>
      <c r="W367" t="s">
        <v>62</v>
      </c>
      <c r="X367">
        <v>0</v>
      </c>
      <c r="Y367">
        <v>0</v>
      </c>
      <c r="Z367">
        <v>2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2</v>
      </c>
      <c r="AK367">
        <v>0</v>
      </c>
      <c r="AL367">
        <v>4</v>
      </c>
      <c r="AM367">
        <v>1</v>
      </c>
      <c r="AN367">
        <v>40</v>
      </c>
      <c r="AO367">
        <v>2</v>
      </c>
      <c r="AP367">
        <v>5</v>
      </c>
      <c r="AQ367">
        <v>0</v>
      </c>
      <c r="AR367" t="s">
        <v>5250</v>
      </c>
      <c r="AS367" t="s">
        <v>64</v>
      </c>
      <c r="AT367">
        <v>0.54200000000000004</v>
      </c>
      <c r="AU367" t="s">
        <v>65</v>
      </c>
      <c r="AV367">
        <v>45</v>
      </c>
      <c r="AW367">
        <v>2</v>
      </c>
      <c r="AX367" t="s">
        <v>5251</v>
      </c>
      <c r="AY367" t="s">
        <v>5252</v>
      </c>
      <c r="AZ367" t="s">
        <v>5253</v>
      </c>
      <c r="BA367">
        <v>1.1639999999999999E-2</v>
      </c>
      <c r="BB367">
        <v>1</v>
      </c>
      <c r="BC367" t="s">
        <v>69</v>
      </c>
      <c r="BD367">
        <v>4.1000000000000002E-2</v>
      </c>
      <c r="BE367">
        <v>-0.63900000000000001</v>
      </c>
    </row>
    <row r="368" spans="1:57">
      <c r="A368">
        <v>0</v>
      </c>
      <c r="B368">
        <v>0</v>
      </c>
      <c r="C368">
        <v>0</v>
      </c>
      <c r="D368">
        <v>3895</v>
      </c>
      <c r="E368" t="s">
        <v>5256</v>
      </c>
      <c r="F368" t="s">
        <v>5762</v>
      </c>
      <c r="G368" t="s">
        <v>62</v>
      </c>
      <c r="H368">
        <v>3859002</v>
      </c>
      <c r="I368">
        <v>3859499</v>
      </c>
      <c r="J368" t="s">
        <v>118</v>
      </c>
      <c r="K368">
        <v>166</v>
      </c>
      <c r="L368" t="s">
        <v>59</v>
      </c>
      <c r="M368">
        <v>5</v>
      </c>
      <c r="N368" t="str">
        <f>HYPERLINK("Gene3895-zp_tree_all.dnd", "Gene3895-tree")</f>
        <v>Gene3895-tree</v>
      </c>
      <c r="O368">
        <v>4</v>
      </c>
      <c r="P368">
        <v>1</v>
      </c>
      <c r="Q368">
        <v>4</v>
      </c>
      <c r="R368">
        <v>1</v>
      </c>
      <c r="S368">
        <v>0.2</v>
      </c>
      <c r="T368" t="s">
        <v>60</v>
      </c>
      <c r="U368" t="s">
        <v>61</v>
      </c>
      <c r="V368" t="s">
        <v>62</v>
      </c>
      <c r="W368" t="s">
        <v>62</v>
      </c>
      <c r="X368">
        <v>0</v>
      </c>
      <c r="Y368">
        <v>0</v>
      </c>
      <c r="Z368">
        <v>3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1</v>
      </c>
      <c r="AK368">
        <v>0</v>
      </c>
      <c r="AL368">
        <v>4</v>
      </c>
      <c r="AM368">
        <v>2</v>
      </c>
      <c r="AN368">
        <v>14</v>
      </c>
      <c r="AO368">
        <v>1</v>
      </c>
      <c r="AP368">
        <v>7</v>
      </c>
      <c r="AQ368">
        <v>2</v>
      </c>
      <c r="AR368" t="s">
        <v>5257</v>
      </c>
      <c r="AS368" t="s">
        <v>5258</v>
      </c>
      <c r="AT368">
        <v>0.65100000000000002</v>
      </c>
      <c r="AU368" t="s">
        <v>65</v>
      </c>
      <c r="AV368">
        <v>21</v>
      </c>
      <c r="AW368">
        <v>3</v>
      </c>
      <c r="AX368" t="s">
        <v>5259</v>
      </c>
      <c r="AY368" t="s">
        <v>5260</v>
      </c>
      <c r="AZ368" t="s">
        <v>5261</v>
      </c>
      <c r="BA368">
        <v>4.1309999999999999E-2</v>
      </c>
      <c r="BB368">
        <v>1</v>
      </c>
      <c r="BC368" t="s">
        <v>69</v>
      </c>
      <c r="BD368">
        <v>-7.6999999999999999E-2</v>
      </c>
      <c r="BE368">
        <v>-7.6999999999999999E-2</v>
      </c>
    </row>
    <row r="369" spans="1:57">
      <c r="A369">
        <v>0</v>
      </c>
      <c r="B369">
        <v>0</v>
      </c>
      <c r="C369">
        <v>0</v>
      </c>
      <c r="D369">
        <v>3896</v>
      </c>
      <c r="E369" t="s">
        <v>5262</v>
      </c>
      <c r="F369" t="s">
        <v>5762</v>
      </c>
      <c r="G369" t="s">
        <v>62</v>
      </c>
      <c r="H369">
        <v>3859538</v>
      </c>
      <c r="I369">
        <v>3860836</v>
      </c>
      <c r="J369" t="s">
        <v>5263</v>
      </c>
      <c r="K369">
        <v>433</v>
      </c>
      <c r="L369" t="s">
        <v>59</v>
      </c>
      <c r="M369">
        <v>5</v>
      </c>
      <c r="N369" t="str">
        <f>HYPERLINK("Gene3896-zp_tree_all.dnd", "Gene3896-tree")</f>
        <v>Gene3896-tree</v>
      </c>
      <c r="O369">
        <v>1</v>
      </c>
      <c r="P369">
        <v>4</v>
      </c>
      <c r="Q369">
        <v>1</v>
      </c>
      <c r="R369">
        <v>4</v>
      </c>
      <c r="S369">
        <v>0.8</v>
      </c>
      <c r="T369" t="s">
        <v>61</v>
      </c>
      <c r="U369" t="s">
        <v>60</v>
      </c>
      <c r="V369" t="s">
        <v>62</v>
      </c>
      <c r="W369" t="s">
        <v>62</v>
      </c>
      <c r="X369">
        <v>0</v>
      </c>
      <c r="Y369">
        <v>0</v>
      </c>
      <c r="Z369">
        <v>9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7</v>
      </c>
      <c r="AK369">
        <v>0</v>
      </c>
      <c r="AL369">
        <v>5</v>
      </c>
      <c r="AM369">
        <v>2</v>
      </c>
      <c r="AN369">
        <v>29</v>
      </c>
      <c r="AO369">
        <v>7</v>
      </c>
      <c r="AP369">
        <v>39</v>
      </c>
      <c r="AQ369">
        <v>2</v>
      </c>
      <c r="AR369" t="s">
        <v>5264</v>
      </c>
      <c r="AS369" t="s">
        <v>5265</v>
      </c>
      <c r="AT369">
        <v>2.1070000000000002</v>
      </c>
      <c r="AU369" t="s">
        <v>286</v>
      </c>
      <c r="AV369">
        <v>68</v>
      </c>
      <c r="AW369">
        <v>9</v>
      </c>
      <c r="AX369" t="s">
        <v>5266</v>
      </c>
      <c r="AY369" t="s">
        <v>5267</v>
      </c>
      <c r="AZ369" t="s">
        <v>5268</v>
      </c>
      <c r="BA369">
        <v>3.3300000000000003E-2</v>
      </c>
      <c r="BB369">
        <v>1</v>
      </c>
      <c r="BC369" t="s">
        <v>69</v>
      </c>
      <c r="BD369">
        <v>0.77300000000000002</v>
      </c>
      <c r="BE369">
        <v>6.4000000000000001E-2</v>
      </c>
    </row>
    <row r="370" spans="1:57">
      <c r="A370">
        <v>0</v>
      </c>
      <c r="B370">
        <v>0</v>
      </c>
      <c r="C370">
        <v>0</v>
      </c>
      <c r="D370">
        <v>3897</v>
      </c>
      <c r="E370" t="s">
        <v>5269</v>
      </c>
      <c r="F370" t="s">
        <v>5762</v>
      </c>
      <c r="G370" t="s">
        <v>62</v>
      </c>
      <c r="H370">
        <v>3861001</v>
      </c>
      <c r="I370">
        <v>3861222</v>
      </c>
      <c r="J370" t="s">
        <v>118</v>
      </c>
      <c r="K370">
        <v>74</v>
      </c>
      <c r="L370" t="s">
        <v>59</v>
      </c>
      <c r="M370">
        <v>5</v>
      </c>
      <c r="N370" t="str">
        <f>HYPERLINK("Gene3897-zp_tree_all.dnd", "Gene3897-tree")</f>
        <v>Gene3897-tree</v>
      </c>
      <c r="O370">
        <v>4</v>
      </c>
      <c r="P370">
        <v>0</v>
      </c>
      <c r="Q370">
        <v>4</v>
      </c>
      <c r="R370">
        <v>0</v>
      </c>
      <c r="S370">
        <v>0</v>
      </c>
      <c r="T370" t="s">
        <v>60</v>
      </c>
      <c r="U370" t="s">
        <v>62</v>
      </c>
      <c r="V370" t="s">
        <v>62</v>
      </c>
      <c r="W370" t="s">
        <v>62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2</v>
      </c>
      <c r="AM370">
        <v>1</v>
      </c>
      <c r="AN370">
        <v>3</v>
      </c>
      <c r="AO370">
        <v>0</v>
      </c>
      <c r="AP370">
        <v>2</v>
      </c>
      <c r="AQ370">
        <v>0</v>
      </c>
      <c r="AR370" t="s">
        <v>64</v>
      </c>
      <c r="AS370" t="s">
        <v>64</v>
      </c>
      <c r="AT370">
        <v>0</v>
      </c>
      <c r="AU370" t="s">
        <v>65</v>
      </c>
      <c r="AV370">
        <v>5</v>
      </c>
      <c r="AW370">
        <v>0</v>
      </c>
      <c r="AX370" t="s">
        <v>5270</v>
      </c>
      <c r="AY370" t="s">
        <v>5271</v>
      </c>
      <c r="AZ370" t="s">
        <v>64</v>
      </c>
      <c r="BA370">
        <v>0</v>
      </c>
      <c r="BB370">
        <v>1</v>
      </c>
      <c r="BC370" t="s">
        <v>69</v>
      </c>
      <c r="BD370">
        <v>0</v>
      </c>
      <c r="BE370">
        <v>0</v>
      </c>
    </row>
    <row r="371" spans="1:57">
      <c r="A371">
        <v>0</v>
      </c>
      <c r="B371">
        <v>0</v>
      </c>
      <c r="C371">
        <v>2</v>
      </c>
      <c r="D371">
        <v>3902</v>
      </c>
      <c r="E371" t="s">
        <v>5272</v>
      </c>
      <c r="F371" t="s">
        <v>5762</v>
      </c>
      <c r="G371" t="s">
        <v>62</v>
      </c>
      <c r="H371">
        <v>3865358</v>
      </c>
      <c r="I371">
        <v>3866326</v>
      </c>
      <c r="J371" t="s">
        <v>5273</v>
      </c>
      <c r="K371">
        <v>323</v>
      </c>
      <c r="L371" t="s">
        <v>59</v>
      </c>
      <c r="M371">
        <v>5</v>
      </c>
      <c r="N371" t="str">
        <f>HYPERLINK("Gene3902-zp_tree_all.dnd", "Gene3902-tree")</f>
        <v>Gene3902-tree</v>
      </c>
      <c r="O371">
        <v>1</v>
      </c>
      <c r="P371">
        <v>4</v>
      </c>
      <c r="Q371">
        <v>1</v>
      </c>
      <c r="R371">
        <v>4</v>
      </c>
      <c r="S371">
        <v>0.8</v>
      </c>
      <c r="T371" t="s">
        <v>61</v>
      </c>
      <c r="U371" t="s">
        <v>60</v>
      </c>
      <c r="V371" t="s">
        <v>62</v>
      </c>
      <c r="W371" t="s">
        <v>62</v>
      </c>
      <c r="X371">
        <v>1</v>
      </c>
      <c r="Y371">
        <v>2</v>
      </c>
      <c r="Z371">
        <v>5</v>
      </c>
      <c r="AA371">
        <v>0.28571000000000002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4</v>
      </c>
      <c r="AK371">
        <v>0</v>
      </c>
      <c r="AL371">
        <v>5</v>
      </c>
      <c r="AM371">
        <v>2</v>
      </c>
      <c r="AN371">
        <v>25</v>
      </c>
      <c r="AO371">
        <v>4</v>
      </c>
      <c r="AP371">
        <v>17</v>
      </c>
      <c r="AQ371">
        <v>3</v>
      </c>
      <c r="AR371" t="s">
        <v>5274</v>
      </c>
      <c r="AS371" t="s">
        <v>5275</v>
      </c>
      <c r="AT371">
        <v>7.8E-2</v>
      </c>
      <c r="AU371" t="s">
        <v>65</v>
      </c>
      <c r="AV371">
        <v>42</v>
      </c>
      <c r="AW371">
        <v>7</v>
      </c>
      <c r="AX371" t="s">
        <v>5276</v>
      </c>
      <c r="AY371" t="s">
        <v>5277</v>
      </c>
      <c r="AZ371" t="s">
        <v>5278</v>
      </c>
      <c r="BA371">
        <v>4.8230000000000002E-2</v>
      </c>
      <c r="BB371">
        <v>1</v>
      </c>
      <c r="BC371" t="s">
        <v>69</v>
      </c>
      <c r="BD371">
        <v>5.1999999999999998E-2</v>
      </c>
      <c r="BE371">
        <v>5.1999999999999998E-2</v>
      </c>
    </row>
    <row r="372" spans="1:57">
      <c r="A372">
        <v>0</v>
      </c>
      <c r="B372">
        <v>0</v>
      </c>
      <c r="C372">
        <v>0</v>
      </c>
      <c r="D372">
        <v>3910</v>
      </c>
      <c r="E372" t="s">
        <v>5279</v>
      </c>
      <c r="F372" t="s">
        <v>5762</v>
      </c>
      <c r="G372" t="s">
        <v>62</v>
      </c>
      <c r="H372">
        <v>3873569</v>
      </c>
      <c r="I372">
        <v>3874180</v>
      </c>
      <c r="J372" t="s">
        <v>5280</v>
      </c>
      <c r="K372">
        <v>204</v>
      </c>
      <c r="L372" t="s">
        <v>83</v>
      </c>
      <c r="M372">
        <v>4</v>
      </c>
      <c r="N372" t="str">
        <f>HYPERLINK("Gene3910-zp_tree_all.dnd", "Gene3910-tree")</f>
        <v>Gene3910-tree</v>
      </c>
      <c r="O372">
        <v>3</v>
      </c>
      <c r="P372">
        <v>1</v>
      </c>
      <c r="Q372">
        <v>3</v>
      </c>
      <c r="R372">
        <v>1</v>
      </c>
      <c r="S372">
        <v>0.25</v>
      </c>
      <c r="T372" t="s">
        <v>84</v>
      </c>
      <c r="U372" t="s">
        <v>61</v>
      </c>
      <c r="V372" t="s">
        <v>62</v>
      </c>
      <c r="W372" t="s">
        <v>62</v>
      </c>
      <c r="X372">
        <v>0</v>
      </c>
      <c r="Y372">
        <v>0</v>
      </c>
      <c r="Z372">
        <v>4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4</v>
      </c>
      <c r="AK372">
        <v>0</v>
      </c>
      <c r="AL372">
        <v>3</v>
      </c>
      <c r="AM372">
        <v>1</v>
      </c>
      <c r="AN372">
        <v>26</v>
      </c>
      <c r="AO372">
        <v>4</v>
      </c>
      <c r="AP372">
        <v>1</v>
      </c>
      <c r="AQ372">
        <v>0</v>
      </c>
      <c r="AR372" t="s">
        <v>5281</v>
      </c>
      <c r="AS372" t="s">
        <v>64</v>
      </c>
      <c r="AT372">
        <v>0.48</v>
      </c>
      <c r="AU372" t="s">
        <v>65</v>
      </c>
      <c r="AV372">
        <v>27</v>
      </c>
      <c r="AW372">
        <v>4</v>
      </c>
      <c r="AX372" t="s">
        <v>5282</v>
      </c>
      <c r="AY372" t="s">
        <v>5283</v>
      </c>
      <c r="AZ372" t="s">
        <v>5284</v>
      </c>
      <c r="BA372">
        <v>3.7690000000000001E-2</v>
      </c>
      <c r="BB372">
        <v>1</v>
      </c>
      <c r="BC372" t="s">
        <v>69</v>
      </c>
      <c r="BD372">
        <v>-0.54600000000000004</v>
      </c>
      <c r="BE372">
        <v>-0.86099999999999999</v>
      </c>
    </row>
    <row r="373" spans="1:57">
      <c r="A373">
        <v>0</v>
      </c>
      <c r="B373">
        <v>2</v>
      </c>
      <c r="C373">
        <v>2</v>
      </c>
      <c r="D373">
        <v>3927</v>
      </c>
      <c r="E373" t="s">
        <v>5285</v>
      </c>
      <c r="F373" t="s">
        <v>5762</v>
      </c>
      <c r="G373" t="s">
        <v>62</v>
      </c>
      <c r="H373">
        <v>3892354</v>
      </c>
      <c r="I373">
        <v>3893121</v>
      </c>
      <c r="J373" t="s">
        <v>5286</v>
      </c>
      <c r="K373">
        <v>256</v>
      </c>
      <c r="L373" t="s">
        <v>59</v>
      </c>
      <c r="M373">
        <v>5</v>
      </c>
      <c r="N373" t="str">
        <f>HYPERLINK("Gene3927-zp_tree_all.dnd", "Gene3927-tree")</f>
        <v>Gene3927-tree</v>
      </c>
      <c r="O373">
        <v>2</v>
      </c>
      <c r="P373">
        <v>3</v>
      </c>
      <c r="Q373">
        <v>2</v>
      </c>
      <c r="R373">
        <v>3</v>
      </c>
      <c r="S373">
        <v>0.6</v>
      </c>
      <c r="T373" t="s">
        <v>135</v>
      </c>
      <c r="U373" t="s">
        <v>84</v>
      </c>
      <c r="V373" t="s">
        <v>62</v>
      </c>
      <c r="W373" t="s">
        <v>62</v>
      </c>
      <c r="X373">
        <v>2</v>
      </c>
      <c r="Y373">
        <v>4</v>
      </c>
      <c r="Z373">
        <v>11</v>
      </c>
      <c r="AA373">
        <v>0.26667000000000002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11</v>
      </c>
      <c r="AK373">
        <v>0</v>
      </c>
      <c r="AL373">
        <v>5</v>
      </c>
      <c r="AM373">
        <v>2</v>
      </c>
      <c r="AN373">
        <v>25</v>
      </c>
      <c r="AO373">
        <v>11</v>
      </c>
      <c r="AP373">
        <v>17</v>
      </c>
      <c r="AQ373">
        <v>4</v>
      </c>
      <c r="AR373" t="s">
        <v>5287</v>
      </c>
      <c r="AS373" t="s">
        <v>5288</v>
      </c>
      <c r="AT373">
        <v>0.45800000000000002</v>
      </c>
      <c r="AU373" t="s">
        <v>65</v>
      </c>
      <c r="AV373">
        <v>42</v>
      </c>
      <c r="AW373">
        <v>15</v>
      </c>
      <c r="AX373" t="s">
        <v>5289</v>
      </c>
      <c r="AY373" t="s">
        <v>5290</v>
      </c>
      <c r="AZ373" t="s">
        <v>5291</v>
      </c>
      <c r="BA373">
        <v>8.5139999999999993E-2</v>
      </c>
      <c r="BB373">
        <v>1</v>
      </c>
      <c r="BC373" t="s">
        <v>69</v>
      </c>
      <c r="BD373">
        <v>7.6999999999999999E-2</v>
      </c>
      <c r="BE373">
        <v>-0.36799999999999999</v>
      </c>
    </row>
    <row r="374" spans="1:57">
      <c r="A374">
        <v>0</v>
      </c>
      <c r="B374">
        <v>0</v>
      </c>
      <c r="C374">
        <v>0</v>
      </c>
      <c r="D374">
        <v>3943</v>
      </c>
      <c r="E374" t="s">
        <v>5299</v>
      </c>
      <c r="F374" t="s">
        <v>5762</v>
      </c>
      <c r="G374" t="s">
        <v>62</v>
      </c>
      <c r="H374">
        <v>3906145</v>
      </c>
      <c r="I374">
        <v>3906972</v>
      </c>
      <c r="J374" t="s">
        <v>5300</v>
      </c>
      <c r="K374">
        <v>276</v>
      </c>
      <c r="L374" t="s">
        <v>1779</v>
      </c>
      <c r="M374">
        <v>4</v>
      </c>
      <c r="N374" t="str">
        <f>HYPERLINK("Gene3943-zp_tree_all.dnd", "Gene3943-tree")</f>
        <v>Gene3943-tree</v>
      </c>
      <c r="O374">
        <v>1</v>
      </c>
      <c r="P374">
        <v>3</v>
      </c>
      <c r="Q374">
        <v>1</v>
      </c>
      <c r="R374">
        <v>3</v>
      </c>
      <c r="S374">
        <v>0.75</v>
      </c>
      <c r="T374" t="s">
        <v>61</v>
      </c>
      <c r="U374" t="s">
        <v>84</v>
      </c>
      <c r="V374" t="s">
        <v>62</v>
      </c>
      <c r="W374" t="s">
        <v>62</v>
      </c>
      <c r="X374">
        <v>0</v>
      </c>
      <c r="Y374">
        <v>0</v>
      </c>
      <c r="Z374">
        <v>6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4</v>
      </c>
      <c r="AK374">
        <v>0</v>
      </c>
      <c r="AL374">
        <v>3</v>
      </c>
      <c r="AM374">
        <v>1</v>
      </c>
      <c r="AN374">
        <v>14</v>
      </c>
      <c r="AO374">
        <v>4</v>
      </c>
      <c r="AP374">
        <v>11</v>
      </c>
      <c r="AQ374">
        <v>2</v>
      </c>
      <c r="AR374" t="s">
        <v>5301</v>
      </c>
      <c r="AS374" t="s">
        <v>5302</v>
      </c>
      <c r="AT374">
        <v>0.46</v>
      </c>
      <c r="AU374" t="s">
        <v>65</v>
      </c>
      <c r="AV374">
        <v>25</v>
      </c>
      <c r="AW374">
        <v>6</v>
      </c>
      <c r="AX374" t="s">
        <v>5303</v>
      </c>
      <c r="AY374" t="s">
        <v>5304</v>
      </c>
      <c r="AZ374" t="s">
        <v>5305</v>
      </c>
      <c r="BA374">
        <v>6.0699999999999997E-2</v>
      </c>
      <c r="BB374">
        <v>1</v>
      </c>
      <c r="BC374" t="s">
        <v>69</v>
      </c>
      <c r="BD374">
        <v>0.61299999999999999</v>
      </c>
      <c r="BE374">
        <v>0.29699999999999999</v>
      </c>
    </row>
    <row r="375" spans="1:57">
      <c r="A375">
        <v>0</v>
      </c>
      <c r="B375">
        <v>0</v>
      </c>
      <c r="C375">
        <v>0</v>
      </c>
      <c r="D375">
        <v>3944</v>
      </c>
      <c r="E375" t="s">
        <v>5306</v>
      </c>
      <c r="F375" t="s">
        <v>5762</v>
      </c>
      <c r="G375" t="s">
        <v>62</v>
      </c>
      <c r="H375">
        <v>3907015</v>
      </c>
      <c r="I375">
        <v>3907314</v>
      </c>
      <c r="J375" t="s">
        <v>118</v>
      </c>
      <c r="K375">
        <v>100</v>
      </c>
      <c r="L375" t="s">
        <v>59</v>
      </c>
      <c r="M375">
        <v>5</v>
      </c>
      <c r="N375" t="str">
        <f>HYPERLINK("Gene3944-zp_tree_all.dnd", "Gene3944-tree")</f>
        <v>Gene3944-tree</v>
      </c>
      <c r="O375">
        <v>4</v>
      </c>
      <c r="P375">
        <v>0</v>
      </c>
      <c r="Q375">
        <v>4</v>
      </c>
      <c r="R375">
        <v>0</v>
      </c>
      <c r="S375">
        <v>0</v>
      </c>
      <c r="T375" t="s">
        <v>60</v>
      </c>
      <c r="U375" t="s">
        <v>62</v>
      </c>
      <c r="V375" t="s">
        <v>62</v>
      </c>
      <c r="W375" t="s">
        <v>62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3</v>
      </c>
      <c r="AM375">
        <v>1</v>
      </c>
      <c r="AN375">
        <v>6</v>
      </c>
      <c r="AO375">
        <v>0</v>
      </c>
      <c r="AP375">
        <v>5</v>
      </c>
      <c r="AQ375">
        <v>0</v>
      </c>
      <c r="AR375" t="s">
        <v>64</v>
      </c>
      <c r="AS375" t="s">
        <v>64</v>
      </c>
      <c r="AT375">
        <v>0</v>
      </c>
      <c r="AU375" t="s">
        <v>65</v>
      </c>
      <c r="AV375">
        <v>11</v>
      </c>
      <c r="AW375">
        <v>0</v>
      </c>
      <c r="AX375" t="s">
        <v>5307</v>
      </c>
      <c r="AY375" t="s">
        <v>5308</v>
      </c>
      <c r="AZ375" t="s">
        <v>64</v>
      </c>
      <c r="BA375">
        <v>0</v>
      </c>
      <c r="BB375">
        <v>1</v>
      </c>
      <c r="BC375" t="s">
        <v>69</v>
      </c>
      <c r="BD375">
        <v>0.745</v>
      </c>
      <c r="BE375">
        <v>0</v>
      </c>
    </row>
    <row r="376" spans="1:57">
      <c r="A376">
        <v>0</v>
      </c>
      <c r="B376">
        <v>0</v>
      </c>
      <c r="C376">
        <v>0</v>
      </c>
      <c r="D376">
        <v>3950</v>
      </c>
      <c r="E376" t="s">
        <v>5313</v>
      </c>
      <c r="F376" t="s">
        <v>5762</v>
      </c>
      <c r="G376" t="s">
        <v>62</v>
      </c>
      <c r="H376">
        <v>3914318</v>
      </c>
      <c r="I376">
        <v>3914689</v>
      </c>
      <c r="J376" t="s">
        <v>5314</v>
      </c>
      <c r="K376">
        <v>124</v>
      </c>
      <c r="L376" t="s">
        <v>59</v>
      </c>
      <c r="M376">
        <v>5</v>
      </c>
      <c r="N376" t="str">
        <f>HYPERLINK("Gene3950-zp_tree_all.dnd", "Gene3950-tree")</f>
        <v>Gene3950-tree</v>
      </c>
      <c r="O376">
        <v>4</v>
      </c>
      <c r="P376">
        <v>0</v>
      </c>
      <c r="Q376">
        <v>4</v>
      </c>
      <c r="R376">
        <v>0</v>
      </c>
      <c r="S376">
        <v>0</v>
      </c>
      <c r="T376" t="s">
        <v>60</v>
      </c>
      <c r="U376" t="s">
        <v>62</v>
      </c>
      <c r="V376" t="s">
        <v>62</v>
      </c>
      <c r="W376" t="s">
        <v>62</v>
      </c>
      <c r="X376">
        <v>0</v>
      </c>
      <c r="Y376">
        <v>0</v>
      </c>
      <c r="Z376">
        <v>2</v>
      </c>
      <c r="AA376">
        <v>0</v>
      </c>
      <c r="AB376">
        <v>0</v>
      </c>
      <c r="AC376">
        <v>0</v>
      </c>
      <c r="AD376">
        <v>0</v>
      </c>
      <c r="AE376">
        <v>2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3</v>
      </c>
      <c r="AM376">
        <v>1</v>
      </c>
      <c r="AN376">
        <v>6</v>
      </c>
      <c r="AO376">
        <v>0</v>
      </c>
      <c r="AP376">
        <v>9</v>
      </c>
      <c r="AQ376">
        <v>4</v>
      </c>
      <c r="AR376" t="s">
        <v>64</v>
      </c>
      <c r="AS376" t="s">
        <v>5315</v>
      </c>
      <c r="AT376">
        <v>0</v>
      </c>
      <c r="AU376" t="s">
        <v>65</v>
      </c>
      <c r="AV376">
        <v>15</v>
      </c>
      <c r="AW376">
        <v>4</v>
      </c>
      <c r="AX376" t="s">
        <v>5316</v>
      </c>
      <c r="AY376" t="s">
        <v>5317</v>
      </c>
      <c r="AZ376" t="s">
        <v>5318</v>
      </c>
      <c r="BA376">
        <v>7.9399999999999998E-2</v>
      </c>
      <c r="BB376">
        <v>1</v>
      </c>
      <c r="BC376" t="s">
        <v>69</v>
      </c>
      <c r="BD376">
        <v>0.874</v>
      </c>
      <c r="BE376">
        <v>0.874</v>
      </c>
    </row>
    <row r="377" spans="1:57">
      <c r="A377">
        <v>0</v>
      </c>
      <c r="B377">
        <v>0</v>
      </c>
      <c r="C377">
        <v>0</v>
      </c>
      <c r="D377">
        <v>3951</v>
      </c>
      <c r="E377" t="s">
        <v>5319</v>
      </c>
      <c r="F377" t="s">
        <v>5762</v>
      </c>
      <c r="G377" t="s">
        <v>62</v>
      </c>
      <c r="H377">
        <v>3914694</v>
      </c>
      <c r="I377">
        <v>3915305</v>
      </c>
      <c r="J377" t="s">
        <v>5320</v>
      </c>
      <c r="K377">
        <v>204</v>
      </c>
      <c r="L377" t="s">
        <v>59</v>
      </c>
      <c r="M377">
        <v>5</v>
      </c>
      <c r="N377" t="str">
        <f>HYPERLINK("Gene3951-zp_tree_all.dnd", "Gene3951-tree")</f>
        <v>Gene3951-tree</v>
      </c>
      <c r="O377">
        <v>4</v>
      </c>
      <c r="P377">
        <v>1</v>
      </c>
      <c r="Q377">
        <v>4</v>
      </c>
      <c r="R377">
        <v>1</v>
      </c>
      <c r="S377">
        <v>0.2</v>
      </c>
      <c r="T377" t="s">
        <v>60</v>
      </c>
      <c r="U377" t="s">
        <v>61</v>
      </c>
      <c r="V377" t="s">
        <v>62</v>
      </c>
      <c r="W377" t="s">
        <v>62</v>
      </c>
      <c r="X377">
        <v>0</v>
      </c>
      <c r="Y377">
        <v>0</v>
      </c>
      <c r="Z377">
        <v>4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1</v>
      </c>
      <c r="AK377">
        <v>0</v>
      </c>
      <c r="AL377">
        <v>4</v>
      </c>
      <c r="AM377">
        <v>2</v>
      </c>
      <c r="AN377">
        <v>7</v>
      </c>
      <c r="AO377">
        <v>1</v>
      </c>
      <c r="AP377">
        <v>9</v>
      </c>
      <c r="AQ377">
        <v>3</v>
      </c>
      <c r="AR377" t="s">
        <v>5321</v>
      </c>
      <c r="AS377" t="s">
        <v>5322</v>
      </c>
      <c r="AT377">
        <v>0.42399999999999999</v>
      </c>
      <c r="AU377" t="s">
        <v>65</v>
      </c>
      <c r="AV377">
        <v>16</v>
      </c>
      <c r="AW377">
        <v>4</v>
      </c>
      <c r="AX377" t="s">
        <v>5323</v>
      </c>
      <c r="AY377" t="s">
        <v>5324</v>
      </c>
      <c r="AZ377" t="s">
        <v>5325</v>
      </c>
      <c r="BA377">
        <v>7.8670000000000004E-2</v>
      </c>
      <c r="BB377">
        <v>1</v>
      </c>
      <c r="BC377" t="s">
        <v>69</v>
      </c>
      <c r="BD377">
        <v>0.95499999999999996</v>
      </c>
      <c r="BE377">
        <v>0.55000000000000004</v>
      </c>
    </row>
    <row r="378" spans="1:57">
      <c r="A378">
        <v>0</v>
      </c>
      <c r="B378">
        <v>0</v>
      </c>
      <c r="C378">
        <v>0</v>
      </c>
      <c r="D378">
        <v>3952</v>
      </c>
      <c r="E378" t="s">
        <v>5326</v>
      </c>
      <c r="F378" t="s">
        <v>5762</v>
      </c>
      <c r="G378" t="s">
        <v>62</v>
      </c>
      <c r="H378">
        <v>3915322</v>
      </c>
      <c r="I378">
        <v>3917268</v>
      </c>
      <c r="J378" t="s">
        <v>5327</v>
      </c>
      <c r="K378">
        <v>649</v>
      </c>
      <c r="L378" t="s">
        <v>59</v>
      </c>
      <c r="M378">
        <v>5</v>
      </c>
      <c r="N378" t="str">
        <f>HYPERLINK("Gene3952-zp_tree_all.dnd", "Gene3952-tree")</f>
        <v>Gene3952-tree</v>
      </c>
      <c r="O378">
        <v>4</v>
      </c>
      <c r="P378">
        <v>1</v>
      </c>
      <c r="Q378">
        <v>4</v>
      </c>
      <c r="R378">
        <v>1</v>
      </c>
      <c r="S378">
        <v>0.2</v>
      </c>
      <c r="T378" t="s">
        <v>60</v>
      </c>
      <c r="U378" t="s">
        <v>61</v>
      </c>
      <c r="V378" t="s">
        <v>62</v>
      </c>
      <c r="W378" t="s">
        <v>62</v>
      </c>
      <c r="X378">
        <v>0</v>
      </c>
      <c r="Y378">
        <v>0</v>
      </c>
      <c r="Z378">
        <v>7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2</v>
      </c>
      <c r="AK378">
        <v>0</v>
      </c>
      <c r="AL378">
        <v>5</v>
      </c>
      <c r="AM378">
        <v>2</v>
      </c>
      <c r="AN378">
        <v>36</v>
      </c>
      <c r="AO378">
        <v>2</v>
      </c>
      <c r="AP378">
        <v>59</v>
      </c>
      <c r="AQ378">
        <v>5</v>
      </c>
      <c r="AR378" t="s">
        <v>5328</v>
      </c>
      <c r="AS378" t="s">
        <v>5329</v>
      </c>
      <c r="AT378">
        <v>0.155</v>
      </c>
      <c r="AU378" t="s">
        <v>65</v>
      </c>
      <c r="AV378">
        <v>95</v>
      </c>
      <c r="AW378">
        <v>7</v>
      </c>
      <c r="AX378" t="s">
        <v>5330</v>
      </c>
      <c r="AY378" t="s">
        <v>5331</v>
      </c>
      <c r="AZ378" t="s">
        <v>5332</v>
      </c>
      <c r="BA378">
        <v>2.0389999999999998E-2</v>
      </c>
      <c r="BB378">
        <v>1</v>
      </c>
      <c r="BC378" t="s">
        <v>69</v>
      </c>
      <c r="BD378">
        <v>0.93700000000000006</v>
      </c>
      <c r="BE378">
        <v>0.79</v>
      </c>
    </row>
    <row r="379" spans="1:57">
      <c r="A379">
        <v>0</v>
      </c>
      <c r="B379">
        <v>0</v>
      </c>
      <c r="C379">
        <v>0</v>
      </c>
      <c r="D379">
        <v>3953</v>
      </c>
      <c r="E379" t="s">
        <v>5333</v>
      </c>
      <c r="F379" t="s">
        <v>5762</v>
      </c>
      <c r="G379" t="s">
        <v>62</v>
      </c>
      <c r="H379">
        <v>3917299</v>
      </c>
      <c r="I379">
        <v>3918261</v>
      </c>
      <c r="J379" t="s">
        <v>5334</v>
      </c>
      <c r="K379">
        <v>321</v>
      </c>
      <c r="L379" t="s">
        <v>59</v>
      </c>
      <c r="M379">
        <v>5</v>
      </c>
      <c r="N379" t="str">
        <f>HYPERLINK("Gene3953-zp_tree_all.dnd", "Gene3953-tree")</f>
        <v>Gene3953-tree</v>
      </c>
      <c r="O379">
        <v>4</v>
      </c>
      <c r="P379">
        <v>1</v>
      </c>
      <c r="Q379">
        <v>4</v>
      </c>
      <c r="R379">
        <v>1</v>
      </c>
      <c r="S379">
        <v>0.2</v>
      </c>
      <c r="T379" t="s">
        <v>60</v>
      </c>
      <c r="U379" t="s">
        <v>61</v>
      </c>
      <c r="V379" t="s">
        <v>62</v>
      </c>
      <c r="W379" t="s">
        <v>62</v>
      </c>
      <c r="X379">
        <v>0</v>
      </c>
      <c r="Y379">
        <v>0</v>
      </c>
      <c r="Z379">
        <v>6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2</v>
      </c>
      <c r="AK379">
        <v>0</v>
      </c>
      <c r="AL379">
        <v>4</v>
      </c>
      <c r="AM379">
        <v>2</v>
      </c>
      <c r="AN379">
        <v>19</v>
      </c>
      <c r="AO379">
        <v>2</v>
      </c>
      <c r="AP379">
        <v>25</v>
      </c>
      <c r="AQ379">
        <v>4</v>
      </c>
      <c r="AR379" t="s">
        <v>5335</v>
      </c>
      <c r="AS379" t="s">
        <v>5336</v>
      </c>
      <c r="AT379">
        <v>0.17100000000000001</v>
      </c>
      <c r="AU379" t="s">
        <v>65</v>
      </c>
      <c r="AV379">
        <v>44</v>
      </c>
      <c r="AW379">
        <v>6</v>
      </c>
      <c r="AX379" t="s">
        <v>5337</v>
      </c>
      <c r="AY379" t="s">
        <v>5338</v>
      </c>
      <c r="AZ379" t="s">
        <v>5339</v>
      </c>
      <c r="BA379">
        <v>3.8510000000000003E-2</v>
      </c>
      <c r="BB379">
        <v>1</v>
      </c>
      <c r="BC379" t="s">
        <v>69</v>
      </c>
      <c r="BD379">
        <v>0.74</v>
      </c>
      <c r="BE379">
        <v>0.44500000000000001</v>
      </c>
    </row>
    <row r="380" spans="1:57">
      <c r="A380">
        <v>0</v>
      </c>
      <c r="B380">
        <v>0</v>
      </c>
      <c r="C380">
        <v>0</v>
      </c>
      <c r="D380">
        <v>3985</v>
      </c>
      <c r="E380" t="s">
        <v>5361</v>
      </c>
      <c r="F380" t="s">
        <v>5762</v>
      </c>
      <c r="G380" t="s">
        <v>62</v>
      </c>
      <c r="H380">
        <v>3949955</v>
      </c>
      <c r="I380">
        <v>3950584</v>
      </c>
      <c r="J380" t="s">
        <v>1690</v>
      </c>
      <c r="K380">
        <v>210</v>
      </c>
      <c r="L380" t="s">
        <v>112</v>
      </c>
      <c r="M380">
        <v>4</v>
      </c>
      <c r="N380" t="str">
        <f>HYPERLINK("Gene3985-zp_tree_all.dnd", "Gene3985-tree")</f>
        <v>Gene3985-tree</v>
      </c>
      <c r="O380">
        <v>3</v>
      </c>
      <c r="P380">
        <v>1</v>
      </c>
      <c r="Q380">
        <v>3</v>
      </c>
      <c r="R380">
        <v>1</v>
      </c>
      <c r="S380">
        <v>0.25</v>
      </c>
      <c r="T380" t="s">
        <v>84</v>
      </c>
      <c r="U380" t="s">
        <v>61</v>
      </c>
      <c r="V380" t="s">
        <v>62</v>
      </c>
      <c r="W380" t="s">
        <v>62</v>
      </c>
      <c r="X380">
        <v>0</v>
      </c>
      <c r="Y380">
        <v>0</v>
      </c>
      <c r="Z380">
        <v>1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1</v>
      </c>
      <c r="AK380">
        <v>0</v>
      </c>
      <c r="AL380">
        <v>4</v>
      </c>
      <c r="AM380">
        <v>1</v>
      </c>
      <c r="AN380">
        <v>31</v>
      </c>
      <c r="AO380">
        <v>2</v>
      </c>
      <c r="AP380">
        <v>1</v>
      </c>
      <c r="AQ380">
        <v>0</v>
      </c>
      <c r="AR380" t="s">
        <v>5362</v>
      </c>
      <c r="AS380" t="s">
        <v>64</v>
      </c>
      <c r="AT380">
        <v>0.41899999999999998</v>
      </c>
      <c r="AU380" t="s">
        <v>65</v>
      </c>
      <c r="AV380">
        <v>32</v>
      </c>
      <c r="AW380">
        <v>2</v>
      </c>
      <c r="AX380" t="s">
        <v>5363</v>
      </c>
      <c r="AY380" t="s">
        <v>5364</v>
      </c>
      <c r="AZ380" t="s">
        <v>5365</v>
      </c>
      <c r="BA380">
        <v>1.397E-2</v>
      </c>
      <c r="BB380">
        <v>1</v>
      </c>
      <c r="BC380" t="s">
        <v>69</v>
      </c>
      <c r="BD380">
        <v>-0.36799999999999999</v>
      </c>
      <c r="BE380">
        <v>-0.96099999999999997</v>
      </c>
    </row>
    <row r="381" spans="1:57">
      <c r="A381">
        <v>0</v>
      </c>
      <c r="B381">
        <v>0</v>
      </c>
      <c r="C381">
        <v>2</v>
      </c>
      <c r="D381">
        <v>3986</v>
      </c>
      <c r="E381" t="s">
        <v>5366</v>
      </c>
      <c r="F381" t="s">
        <v>5762</v>
      </c>
      <c r="G381" t="s">
        <v>62</v>
      </c>
      <c r="H381">
        <v>3950729</v>
      </c>
      <c r="I381">
        <v>3951661</v>
      </c>
      <c r="J381" t="s">
        <v>5367</v>
      </c>
      <c r="K381">
        <v>311</v>
      </c>
      <c r="L381" t="s">
        <v>59</v>
      </c>
      <c r="M381">
        <v>5</v>
      </c>
      <c r="N381" t="str">
        <f>HYPERLINK("Gene3986-zp_tree_all.dnd", "Gene3986-tree")</f>
        <v>Gene3986-tree</v>
      </c>
      <c r="O381">
        <v>3</v>
      </c>
      <c r="P381">
        <v>2</v>
      </c>
      <c r="Q381">
        <v>3</v>
      </c>
      <c r="R381">
        <v>2</v>
      </c>
      <c r="S381">
        <v>0.4</v>
      </c>
      <c r="T381" t="s">
        <v>84</v>
      </c>
      <c r="U381" t="s">
        <v>135</v>
      </c>
      <c r="V381" t="s">
        <v>62</v>
      </c>
      <c r="W381" t="s">
        <v>62</v>
      </c>
      <c r="X381">
        <v>1</v>
      </c>
      <c r="Y381">
        <v>2</v>
      </c>
      <c r="Z381">
        <v>4</v>
      </c>
      <c r="AA381">
        <v>0.33333000000000002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3</v>
      </c>
      <c r="AK381">
        <v>0</v>
      </c>
      <c r="AL381">
        <v>5</v>
      </c>
      <c r="AM381">
        <v>2</v>
      </c>
      <c r="AN381">
        <v>40</v>
      </c>
      <c r="AO381">
        <v>3</v>
      </c>
      <c r="AP381">
        <v>18</v>
      </c>
      <c r="AQ381">
        <v>3</v>
      </c>
      <c r="AR381" t="s">
        <v>5368</v>
      </c>
      <c r="AS381" t="s">
        <v>5369</v>
      </c>
      <c r="AT381">
        <v>0.85299999999999998</v>
      </c>
      <c r="AU381" t="s">
        <v>65</v>
      </c>
      <c r="AV381">
        <v>58</v>
      </c>
      <c r="AW381">
        <v>6</v>
      </c>
      <c r="AX381" t="s">
        <v>5370</v>
      </c>
      <c r="AY381" t="s">
        <v>5371</v>
      </c>
      <c r="AZ381" t="s">
        <v>5372</v>
      </c>
      <c r="BA381">
        <v>3.6569999999999998E-2</v>
      </c>
      <c r="BB381">
        <v>1</v>
      </c>
      <c r="BC381" t="s">
        <v>69</v>
      </c>
      <c r="BD381">
        <v>0.49299999999999999</v>
      </c>
      <c r="BE381">
        <v>-0.309</v>
      </c>
    </row>
    <row r="382" spans="1:57">
      <c r="A382">
        <v>0</v>
      </c>
      <c r="B382">
        <v>0</v>
      </c>
      <c r="C382">
        <v>0</v>
      </c>
      <c r="D382">
        <v>3995</v>
      </c>
      <c r="E382" t="s">
        <v>5394</v>
      </c>
      <c r="F382" t="s">
        <v>5762</v>
      </c>
      <c r="G382" t="s">
        <v>62</v>
      </c>
      <c r="H382">
        <v>3959844</v>
      </c>
      <c r="I382">
        <v>3960173</v>
      </c>
      <c r="J382" t="s">
        <v>5395</v>
      </c>
      <c r="K382">
        <v>110</v>
      </c>
      <c r="L382" t="s">
        <v>83</v>
      </c>
      <c r="M382">
        <v>4</v>
      </c>
      <c r="N382" t="str">
        <f>HYPERLINK("Gene3995-zp_tree_all.dnd", "Gene3995-tree")</f>
        <v>Gene3995-tree</v>
      </c>
      <c r="O382">
        <v>0</v>
      </c>
      <c r="P382">
        <v>4</v>
      </c>
      <c r="Q382">
        <v>0</v>
      </c>
      <c r="R382">
        <v>4</v>
      </c>
      <c r="S382">
        <v>1</v>
      </c>
      <c r="T382" t="s">
        <v>62</v>
      </c>
      <c r="U382" t="s">
        <v>60</v>
      </c>
      <c r="V382" t="s">
        <v>62</v>
      </c>
      <c r="W382" t="s">
        <v>62</v>
      </c>
      <c r="X382">
        <v>0</v>
      </c>
      <c r="Y382">
        <v>0</v>
      </c>
      <c r="Z382">
        <v>4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4</v>
      </c>
      <c r="AK382">
        <v>0</v>
      </c>
      <c r="AL382">
        <v>3</v>
      </c>
      <c r="AM382">
        <v>0</v>
      </c>
      <c r="AN382">
        <v>17</v>
      </c>
      <c r="AO382">
        <v>4</v>
      </c>
      <c r="AP382">
        <v>0</v>
      </c>
      <c r="AQ382">
        <v>0</v>
      </c>
      <c r="AR382" t="s">
        <v>5396</v>
      </c>
      <c r="AS382" t="s">
        <v>64</v>
      </c>
      <c r="AT382">
        <v>1.333</v>
      </c>
      <c r="AU382" t="s">
        <v>65</v>
      </c>
      <c r="AV382">
        <v>17</v>
      </c>
      <c r="AW382">
        <v>4</v>
      </c>
      <c r="AX382" t="s">
        <v>5397</v>
      </c>
      <c r="AY382" t="s">
        <v>5398</v>
      </c>
      <c r="AZ382" t="s">
        <v>5399</v>
      </c>
      <c r="BA382">
        <v>5.2220000000000003E-2</v>
      </c>
      <c r="BB382">
        <v>1</v>
      </c>
      <c r="BC382" t="s">
        <v>69</v>
      </c>
      <c r="BD382">
        <v>-0.85499999999999998</v>
      </c>
      <c r="BE382">
        <v>-0.85499999999999998</v>
      </c>
    </row>
    <row r="383" spans="1:57">
      <c r="A383">
        <v>0</v>
      </c>
      <c r="B383">
        <v>0</v>
      </c>
      <c r="C383">
        <v>0</v>
      </c>
      <c r="D383">
        <v>3997</v>
      </c>
      <c r="E383" t="s">
        <v>5400</v>
      </c>
      <c r="F383" t="s">
        <v>5762</v>
      </c>
      <c r="G383" t="s">
        <v>62</v>
      </c>
      <c r="H383">
        <v>3961569</v>
      </c>
      <c r="I383">
        <v>3961874</v>
      </c>
      <c r="J383" t="s">
        <v>5401</v>
      </c>
      <c r="K383">
        <v>102</v>
      </c>
      <c r="L383" t="s">
        <v>59</v>
      </c>
      <c r="M383">
        <v>5</v>
      </c>
      <c r="N383" t="str">
        <f>HYPERLINK("Gene3997-zp_tree_all.dnd", "Gene3997-tree")</f>
        <v>Gene3997-tree</v>
      </c>
      <c r="O383">
        <v>4</v>
      </c>
      <c r="P383">
        <v>1</v>
      </c>
      <c r="Q383">
        <v>4</v>
      </c>
      <c r="R383">
        <v>1</v>
      </c>
      <c r="S383">
        <v>0.2</v>
      </c>
      <c r="T383" t="s">
        <v>60</v>
      </c>
      <c r="U383" t="s">
        <v>61</v>
      </c>
      <c r="V383" t="s">
        <v>62</v>
      </c>
      <c r="W383" t="s">
        <v>62</v>
      </c>
      <c r="X383">
        <v>0</v>
      </c>
      <c r="Y383">
        <v>0</v>
      </c>
      <c r="Z383">
        <v>1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1</v>
      </c>
      <c r="AK383">
        <v>0</v>
      </c>
      <c r="AL383">
        <v>3</v>
      </c>
      <c r="AM383">
        <v>2</v>
      </c>
      <c r="AN383">
        <v>13</v>
      </c>
      <c r="AO383">
        <v>1</v>
      </c>
      <c r="AP383">
        <v>7</v>
      </c>
      <c r="AQ383">
        <v>0</v>
      </c>
      <c r="AR383" t="s">
        <v>5402</v>
      </c>
      <c r="AS383" t="s">
        <v>64</v>
      </c>
      <c r="AT383">
        <v>0.73899999999999999</v>
      </c>
      <c r="AU383" t="s">
        <v>65</v>
      </c>
      <c r="AV383">
        <v>20</v>
      </c>
      <c r="AW383">
        <v>1</v>
      </c>
      <c r="AX383" t="s">
        <v>5403</v>
      </c>
      <c r="AY383" t="s">
        <v>5404</v>
      </c>
      <c r="AZ383" t="s">
        <v>5405</v>
      </c>
      <c r="BA383">
        <v>1.1860000000000001E-2</v>
      </c>
      <c r="BB383">
        <v>1</v>
      </c>
      <c r="BC383" t="s">
        <v>69</v>
      </c>
      <c r="BD383">
        <v>-0.154</v>
      </c>
      <c r="BE383">
        <v>-0.154</v>
      </c>
    </row>
    <row r="384" spans="1:57">
      <c r="A384">
        <v>0</v>
      </c>
      <c r="B384">
        <v>0</v>
      </c>
      <c r="C384">
        <v>0</v>
      </c>
      <c r="D384">
        <v>3999</v>
      </c>
      <c r="E384" t="s">
        <v>5406</v>
      </c>
      <c r="F384" t="s">
        <v>5762</v>
      </c>
      <c r="G384" t="s">
        <v>62</v>
      </c>
      <c r="H384">
        <v>3964094</v>
      </c>
      <c r="I384">
        <v>3964249</v>
      </c>
      <c r="J384" t="s">
        <v>118</v>
      </c>
      <c r="K384">
        <v>52</v>
      </c>
      <c r="L384" t="s">
        <v>59</v>
      </c>
      <c r="M384">
        <v>5</v>
      </c>
      <c r="N384" t="str">
        <f>HYPERLINK("Gene3999-zp_tree_all.dnd", "Gene3999-tree")</f>
        <v>Gene3999-tree</v>
      </c>
    </row>
    <row r="385" spans="1:57">
      <c r="A385">
        <v>0</v>
      </c>
      <c r="B385">
        <v>0</v>
      </c>
      <c r="C385">
        <v>0</v>
      </c>
      <c r="D385">
        <v>4005</v>
      </c>
      <c r="E385" t="s">
        <v>5407</v>
      </c>
      <c r="F385" t="s">
        <v>5762</v>
      </c>
      <c r="G385" t="s">
        <v>62</v>
      </c>
      <c r="H385">
        <v>3969614</v>
      </c>
      <c r="I385">
        <v>3969799</v>
      </c>
      <c r="J385" t="s">
        <v>5408</v>
      </c>
      <c r="K385">
        <v>62</v>
      </c>
      <c r="L385" t="s">
        <v>112</v>
      </c>
      <c r="M385">
        <v>4</v>
      </c>
      <c r="N385" t="str">
        <f>HYPERLINK("Gene4005-zp_tree_all.dnd", "Gene4005-tree")</f>
        <v>Gene4005-tree</v>
      </c>
      <c r="O385">
        <v>2</v>
      </c>
      <c r="P385">
        <v>2</v>
      </c>
      <c r="Q385">
        <v>2</v>
      </c>
      <c r="R385">
        <v>2</v>
      </c>
      <c r="S385">
        <v>0.5</v>
      </c>
      <c r="T385" t="s">
        <v>135</v>
      </c>
      <c r="U385" t="s">
        <v>135</v>
      </c>
      <c r="V385" t="s">
        <v>62</v>
      </c>
      <c r="W385" t="s">
        <v>62</v>
      </c>
      <c r="X385">
        <v>0</v>
      </c>
      <c r="Y385">
        <v>0</v>
      </c>
      <c r="Z385">
        <v>2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2</v>
      </c>
      <c r="AK385">
        <v>0</v>
      </c>
      <c r="AL385">
        <v>4</v>
      </c>
      <c r="AM385">
        <v>1</v>
      </c>
      <c r="AN385">
        <v>6</v>
      </c>
      <c r="AO385">
        <v>2</v>
      </c>
      <c r="AP385">
        <v>3</v>
      </c>
      <c r="AQ385">
        <v>0</v>
      </c>
      <c r="AR385" t="s">
        <v>5409</v>
      </c>
      <c r="AS385" t="s">
        <v>64</v>
      </c>
      <c r="AT385">
        <v>0.97599999999999998</v>
      </c>
      <c r="AU385" t="s">
        <v>65</v>
      </c>
      <c r="AV385">
        <v>9</v>
      </c>
      <c r="AW385">
        <v>2</v>
      </c>
      <c r="AX385" t="s">
        <v>5410</v>
      </c>
      <c r="AY385" t="s">
        <v>5411</v>
      </c>
      <c r="AZ385" t="s">
        <v>5412</v>
      </c>
      <c r="BA385">
        <v>5.7000000000000002E-2</v>
      </c>
      <c r="BB385">
        <v>1</v>
      </c>
      <c r="BC385" t="s">
        <v>69</v>
      </c>
      <c r="BD385">
        <v>0.86</v>
      </c>
      <c r="BE385">
        <v>-0.154</v>
      </c>
    </row>
    <row r="386" spans="1:57">
      <c r="A386">
        <v>0</v>
      </c>
      <c r="B386">
        <v>0</v>
      </c>
      <c r="C386">
        <v>2</v>
      </c>
      <c r="D386">
        <v>4013</v>
      </c>
      <c r="E386" t="s">
        <v>5413</v>
      </c>
      <c r="F386" t="s">
        <v>5762</v>
      </c>
      <c r="G386" t="s">
        <v>62</v>
      </c>
      <c r="H386">
        <v>3976794</v>
      </c>
      <c r="I386">
        <v>3977807</v>
      </c>
      <c r="J386" t="s">
        <v>5414</v>
      </c>
      <c r="K386">
        <v>338</v>
      </c>
      <c r="L386" t="s">
        <v>59</v>
      </c>
      <c r="M386">
        <v>5</v>
      </c>
      <c r="N386" t="str">
        <f>HYPERLINK("Gene4013-zp_tree_all.dnd", "Gene4013-tree")</f>
        <v>Gene4013-tree</v>
      </c>
      <c r="O386">
        <v>3</v>
      </c>
      <c r="P386">
        <v>2</v>
      </c>
      <c r="Q386">
        <v>3</v>
      </c>
      <c r="R386">
        <v>2</v>
      </c>
      <c r="S386">
        <v>0.4</v>
      </c>
      <c r="T386" t="s">
        <v>84</v>
      </c>
      <c r="U386" t="s">
        <v>135</v>
      </c>
      <c r="V386" t="s">
        <v>62</v>
      </c>
      <c r="W386" t="s">
        <v>62</v>
      </c>
      <c r="X386">
        <v>1</v>
      </c>
      <c r="Y386">
        <v>2</v>
      </c>
      <c r="Z386">
        <v>4</v>
      </c>
      <c r="AA386">
        <v>0.33333000000000002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2</v>
      </c>
      <c r="AK386">
        <v>0</v>
      </c>
      <c r="AL386">
        <v>5</v>
      </c>
      <c r="AM386">
        <v>2</v>
      </c>
      <c r="AN386">
        <v>32</v>
      </c>
      <c r="AO386">
        <v>2</v>
      </c>
      <c r="AP386">
        <v>31</v>
      </c>
      <c r="AQ386">
        <v>4</v>
      </c>
      <c r="AR386" t="s">
        <v>5415</v>
      </c>
      <c r="AS386" t="s">
        <v>5416</v>
      </c>
      <c r="AT386">
        <v>0.68899999999999995</v>
      </c>
      <c r="AU386" t="s">
        <v>65</v>
      </c>
      <c r="AV386">
        <v>63</v>
      </c>
      <c r="AW386">
        <v>6</v>
      </c>
      <c r="AX386" t="s">
        <v>5417</v>
      </c>
      <c r="AY386" t="s">
        <v>5418</v>
      </c>
      <c r="AZ386" t="s">
        <v>5419</v>
      </c>
      <c r="BA386">
        <v>2.921E-2</v>
      </c>
      <c r="BB386">
        <v>1</v>
      </c>
      <c r="BC386" t="s">
        <v>69</v>
      </c>
      <c r="BD386">
        <v>0.72899999999999998</v>
      </c>
      <c r="BE386">
        <v>-0.17599999999999999</v>
      </c>
    </row>
    <row r="387" spans="1:57">
      <c r="A387">
        <v>0</v>
      </c>
      <c r="B387">
        <v>0</v>
      </c>
      <c r="C387">
        <v>0</v>
      </c>
      <c r="D387">
        <v>4014</v>
      </c>
      <c r="E387" t="s">
        <v>5420</v>
      </c>
      <c r="F387" t="s">
        <v>5762</v>
      </c>
      <c r="G387" t="s">
        <v>62</v>
      </c>
      <c r="H387">
        <v>3977794</v>
      </c>
      <c r="I387">
        <v>3979197</v>
      </c>
      <c r="J387" t="s">
        <v>5421</v>
      </c>
      <c r="K387">
        <v>468</v>
      </c>
      <c r="L387" t="s">
        <v>83</v>
      </c>
      <c r="M387">
        <v>4</v>
      </c>
      <c r="N387" t="str">
        <f>HYPERLINK("Gene4014-zp_tree_all.dnd", "Gene4014-tree")</f>
        <v>Gene4014-tree</v>
      </c>
      <c r="O387">
        <v>2</v>
      </c>
      <c r="P387">
        <v>2</v>
      </c>
      <c r="Q387">
        <v>2</v>
      </c>
      <c r="R387">
        <v>2</v>
      </c>
      <c r="S387">
        <v>0.5</v>
      </c>
      <c r="T387" t="s">
        <v>135</v>
      </c>
      <c r="U387" t="s">
        <v>135</v>
      </c>
      <c r="V387" t="s">
        <v>62</v>
      </c>
      <c r="W387" t="s">
        <v>62</v>
      </c>
      <c r="X387">
        <v>0</v>
      </c>
      <c r="Y387">
        <v>0</v>
      </c>
      <c r="Z387">
        <v>6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6</v>
      </c>
      <c r="AK387">
        <v>0</v>
      </c>
      <c r="AL387">
        <v>4</v>
      </c>
      <c r="AM387">
        <v>1</v>
      </c>
      <c r="AN387">
        <v>83</v>
      </c>
      <c r="AO387">
        <v>7</v>
      </c>
      <c r="AP387">
        <v>7</v>
      </c>
      <c r="AQ387">
        <v>0</v>
      </c>
      <c r="AR387" t="s">
        <v>5422</v>
      </c>
      <c r="AS387" t="s">
        <v>64</v>
      </c>
      <c r="AT387">
        <v>0.71699999999999997</v>
      </c>
      <c r="AU387" t="s">
        <v>65</v>
      </c>
      <c r="AV387">
        <v>90</v>
      </c>
      <c r="AW387">
        <v>7</v>
      </c>
      <c r="AX387" t="s">
        <v>5423</v>
      </c>
      <c r="AY387" t="s">
        <v>5424</v>
      </c>
      <c r="AZ387" t="s">
        <v>5425</v>
      </c>
      <c r="BA387">
        <v>2.0140000000000002E-2</v>
      </c>
      <c r="BB387">
        <v>1</v>
      </c>
      <c r="BC387" t="s">
        <v>69</v>
      </c>
      <c r="BD387">
        <v>-0.30299999999999999</v>
      </c>
      <c r="BE387">
        <v>-0.623</v>
      </c>
    </row>
    <row r="388" spans="1:57">
      <c r="A388">
        <v>0</v>
      </c>
      <c r="B388">
        <v>0</v>
      </c>
      <c r="C388">
        <v>0</v>
      </c>
      <c r="D388">
        <v>4053</v>
      </c>
      <c r="E388" t="s">
        <v>5446</v>
      </c>
      <c r="F388" t="s">
        <v>5762</v>
      </c>
      <c r="G388" t="s">
        <v>62</v>
      </c>
      <c r="H388">
        <v>4019008</v>
      </c>
      <c r="I388">
        <v>4019136</v>
      </c>
      <c r="J388" t="s">
        <v>118</v>
      </c>
      <c r="K388">
        <v>43</v>
      </c>
      <c r="L388" t="s">
        <v>59</v>
      </c>
      <c r="M388">
        <v>5</v>
      </c>
      <c r="N388" t="str">
        <f>HYPERLINK("Gene4053-zp_tree_all.dnd", "Gene4053-tree")</f>
        <v>Gene4053-tree</v>
      </c>
      <c r="O388">
        <v>0</v>
      </c>
      <c r="P388">
        <v>5</v>
      </c>
      <c r="Q388">
        <v>0</v>
      </c>
      <c r="R388">
        <v>5</v>
      </c>
      <c r="S388">
        <v>1</v>
      </c>
      <c r="T388" t="s">
        <v>62</v>
      </c>
      <c r="U388" t="s">
        <v>98</v>
      </c>
      <c r="V388" t="s">
        <v>62</v>
      </c>
      <c r="W388" t="s">
        <v>62</v>
      </c>
      <c r="X388">
        <v>0</v>
      </c>
      <c r="Y388">
        <v>0</v>
      </c>
      <c r="Z388">
        <v>7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6</v>
      </c>
      <c r="AK388">
        <v>0</v>
      </c>
      <c r="AL388">
        <v>4</v>
      </c>
      <c r="AM388">
        <v>2</v>
      </c>
      <c r="AN388">
        <v>3</v>
      </c>
      <c r="AO388">
        <v>5</v>
      </c>
      <c r="AP388">
        <v>1</v>
      </c>
      <c r="AQ388">
        <v>2</v>
      </c>
      <c r="AR388" t="s">
        <v>5447</v>
      </c>
      <c r="AS388" t="s">
        <v>5448</v>
      </c>
      <c r="AT388">
        <v>0.2</v>
      </c>
      <c r="AU388" t="s">
        <v>65</v>
      </c>
      <c r="AV388">
        <v>4</v>
      </c>
      <c r="AW388">
        <v>7</v>
      </c>
      <c r="AX388" t="s">
        <v>5449</v>
      </c>
      <c r="AY388" t="s">
        <v>5450</v>
      </c>
      <c r="AZ388" t="s">
        <v>5451</v>
      </c>
      <c r="BA388">
        <v>0.42058000000000001</v>
      </c>
      <c r="BB388">
        <v>0.86499999999999999</v>
      </c>
      <c r="BC388" t="s">
        <v>793</v>
      </c>
      <c r="BD388">
        <v>-0.38200000000000001</v>
      </c>
      <c r="BE388">
        <v>-0.38200000000000001</v>
      </c>
    </row>
    <row r="389" spans="1:57">
      <c r="A389">
        <v>0</v>
      </c>
      <c r="B389">
        <v>12</v>
      </c>
      <c r="C389">
        <v>5</v>
      </c>
      <c r="D389">
        <v>4063</v>
      </c>
      <c r="E389" t="s">
        <v>5452</v>
      </c>
      <c r="F389" t="s">
        <v>5762</v>
      </c>
      <c r="G389" t="s">
        <v>62</v>
      </c>
      <c r="H389">
        <v>4023547</v>
      </c>
      <c r="I389">
        <v>4030548</v>
      </c>
      <c r="J389" t="s">
        <v>5453</v>
      </c>
      <c r="K389">
        <v>2334</v>
      </c>
      <c r="L389" t="s">
        <v>112</v>
      </c>
      <c r="M389">
        <v>4</v>
      </c>
      <c r="N389" t="str">
        <f>HYPERLINK("Gene4063-zp_tree_all.dnd", "Gene4063-tree")</f>
        <v>Gene4063-tree</v>
      </c>
      <c r="O389">
        <v>0</v>
      </c>
      <c r="P389">
        <v>4</v>
      </c>
      <c r="Q389">
        <v>0</v>
      </c>
      <c r="R389">
        <v>4</v>
      </c>
      <c r="S389">
        <v>1</v>
      </c>
      <c r="T389" t="s">
        <v>62</v>
      </c>
      <c r="U389" t="s">
        <v>60</v>
      </c>
      <c r="V389" t="s">
        <v>62</v>
      </c>
      <c r="W389" t="s">
        <v>62</v>
      </c>
      <c r="X389">
        <v>8</v>
      </c>
      <c r="Y389">
        <v>17</v>
      </c>
      <c r="Z389">
        <v>71</v>
      </c>
      <c r="AA389">
        <v>0.19317999999999999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8</v>
      </c>
      <c r="AH389">
        <v>9</v>
      </c>
      <c r="AI389">
        <v>17</v>
      </c>
      <c r="AJ389">
        <v>71</v>
      </c>
      <c r="AK389">
        <v>0.19317999999999999</v>
      </c>
      <c r="AL389">
        <v>4</v>
      </c>
      <c r="AM389">
        <v>1</v>
      </c>
      <c r="AN389">
        <v>438</v>
      </c>
      <c r="AO389">
        <v>87</v>
      </c>
      <c r="AP389">
        <v>38</v>
      </c>
      <c r="AQ389">
        <v>3</v>
      </c>
      <c r="AR389" t="s">
        <v>5454</v>
      </c>
      <c r="AS389" t="s">
        <v>5455</v>
      </c>
      <c r="AT389">
        <v>2.028</v>
      </c>
      <c r="AU389" t="s">
        <v>286</v>
      </c>
      <c r="AV389">
        <v>476</v>
      </c>
      <c r="AW389">
        <v>90</v>
      </c>
      <c r="AX389" t="s">
        <v>5456</v>
      </c>
      <c r="AY389" t="s">
        <v>5457</v>
      </c>
      <c r="AZ389" t="s">
        <v>5458</v>
      </c>
      <c r="BA389">
        <v>5.0770000000000003E-2</v>
      </c>
      <c r="BB389">
        <v>1</v>
      </c>
      <c r="BC389" t="s">
        <v>69</v>
      </c>
      <c r="BD389">
        <v>-0.129</v>
      </c>
      <c r="BE389">
        <v>-0.45700000000000002</v>
      </c>
    </row>
    <row r="390" spans="1:57">
      <c r="A390">
        <v>0</v>
      </c>
      <c r="B390">
        <v>0</v>
      </c>
      <c r="C390">
        <v>0</v>
      </c>
      <c r="D390">
        <v>4066</v>
      </c>
      <c r="E390" t="s">
        <v>5459</v>
      </c>
      <c r="F390" t="s">
        <v>5762</v>
      </c>
      <c r="G390" t="s">
        <v>62</v>
      </c>
      <c r="H390">
        <v>4032349</v>
      </c>
      <c r="I390">
        <v>4033755</v>
      </c>
      <c r="J390" t="s">
        <v>5460</v>
      </c>
      <c r="K390">
        <v>469</v>
      </c>
      <c r="L390" t="s">
        <v>83</v>
      </c>
      <c r="M390">
        <v>4</v>
      </c>
      <c r="N390" t="str">
        <f>HYPERLINK("Gene4066-zp_tree_all.dnd", "Gene4066-tree")</f>
        <v>Gene4066-tree</v>
      </c>
      <c r="O390">
        <v>1</v>
      </c>
      <c r="P390">
        <v>3</v>
      </c>
      <c r="Q390">
        <v>1</v>
      </c>
      <c r="R390">
        <v>3</v>
      </c>
      <c r="S390">
        <v>0.75</v>
      </c>
      <c r="T390" t="s">
        <v>61</v>
      </c>
      <c r="U390" t="s">
        <v>84</v>
      </c>
      <c r="V390" t="s">
        <v>62</v>
      </c>
      <c r="W390" t="s">
        <v>62</v>
      </c>
      <c r="X390">
        <v>0</v>
      </c>
      <c r="Y390">
        <v>0</v>
      </c>
      <c r="Z390">
        <v>11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9</v>
      </c>
      <c r="AK390">
        <v>0</v>
      </c>
      <c r="AL390">
        <v>4</v>
      </c>
      <c r="AM390">
        <v>1</v>
      </c>
      <c r="AN390">
        <v>48</v>
      </c>
      <c r="AO390">
        <v>9</v>
      </c>
      <c r="AP390">
        <v>17</v>
      </c>
      <c r="AQ390">
        <v>3</v>
      </c>
      <c r="AR390" t="s">
        <v>5461</v>
      </c>
      <c r="AS390" t="s">
        <v>5462</v>
      </c>
      <c r="AT390">
        <v>9.8000000000000004E-2</v>
      </c>
      <c r="AU390" t="s">
        <v>65</v>
      </c>
      <c r="AV390">
        <v>65</v>
      </c>
      <c r="AW390">
        <v>12</v>
      </c>
      <c r="AX390" t="s">
        <v>5463</v>
      </c>
      <c r="AY390" t="s">
        <v>5464</v>
      </c>
      <c r="AZ390" t="s">
        <v>5465</v>
      </c>
      <c r="BA390">
        <v>4.9700000000000001E-2</v>
      </c>
      <c r="BB390">
        <v>1</v>
      </c>
      <c r="BC390" t="s">
        <v>69</v>
      </c>
      <c r="BD390">
        <v>6.6000000000000003E-2</v>
      </c>
      <c r="BE390">
        <v>-6.2E-2</v>
      </c>
    </row>
    <row r="391" spans="1:57">
      <c r="A391">
        <v>0</v>
      </c>
      <c r="B391">
        <v>0</v>
      </c>
      <c r="C391">
        <v>0</v>
      </c>
      <c r="D391">
        <v>4071</v>
      </c>
      <c r="E391" t="s">
        <v>5466</v>
      </c>
      <c r="F391" t="s">
        <v>5762</v>
      </c>
      <c r="G391" t="s">
        <v>62</v>
      </c>
      <c r="H391">
        <v>4038516</v>
      </c>
      <c r="I391">
        <v>4038782</v>
      </c>
      <c r="J391" t="s">
        <v>118</v>
      </c>
      <c r="K391">
        <v>89</v>
      </c>
      <c r="L391" t="s">
        <v>112</v>
      </c>
      <c r="M391">
        <v>4</v>
      </c>
      <c r="N391" t="str">
        <f>HYPERLINK("Gene4071-zp_tree_all.dnd", "Gene4071-tree")</f>
        <v>Gene4071-tree</v>
      </c>
    </row>
    <row r="392" spans="1:57">
      <c r="A392">
        <v>0</v>
      </c>
      <c r="B392">
        <v>0</v>
      </c>
      <c r="C392">
        <v>0</v>
      </c>
      <c r="D392">
        <v>4072</v>
      </c>
      <c r="E392" t="s">
        <v>5467</v>
      </c>
      <c r="F392" t="s">
        <v>5762</v>
      </c>
      <c r="G392" t="s">
        <v>62</v>
      </c>
      <c r="H392">
        <v>4038797</v>
      </c>
      <c r="I392">
        <v>4039159</v>
      </c>
      <c r="J392" t="s">
        <v>118</v>
      </c>
      <c r="K392">
        <v>121</v>
      </c>
      <c r="L392" t="s">
        <v>112</v>
      </c>
      <c r="M392">
        <v>4</v>
      </c>
      <c r="N392" t="str">
        <f>HYPERLINK("Gene4072-zp_tree_all.dnd", "Gene4072-tree")</f>
        <v>Gene4072-tree</v>
      </c>
      <c r="O392">
        <v>1</v>
      </c>
      <c r="P392">
        <v>3</v>
      </c>
      <c r="Q392">
        <v>1</v>
      </c>
      <c r="R392">
        <v>3</v>
      </c>
      <c r="S392">
        <v>0.75</v>
      </c>
      <c r="T392" t="s">
        <v>61</v>
      </c>
      <c r="U392" t="s">
        <v>84</v>
      </c>
      <c r="V392" t="s">
        <v>62</v>
      </c>
      <c r="W392" t="s">
        <v>62</v>
      </c>
      <c r="X392">
        <v>0</v>
      </c>
      <c r="Y392">
        <v>0</v>
      </c>
      <c r="Z392">
        <v>3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3</v>
      </c>
      <c r="AK392">
        <v>0</v>
      </c>
      <c r="AL392">
        <v>3</v>
      </c>
      <c r="AM392">
        <v>1</v>
      </c>
      <c r="AN392">
        <v>4</v>
      </c>
      <c r="AO392">
        <v>2</v>
      </c>
      <c r="AP392">
        <v>2</v>
      </c>
      <c r="AQ392">
        <v>1</v>
      </c>
      <c r="AR392" t="s">
        <v>5468</v>
      </c>
      <c r="AS392" t="s">
        <v>5469</v>
      </c>
      <c r="AT392">
        <v>6.0000000000000001E-3</v>
      </c>
      <c r="AU392" t="s">
        <v>65</v>
      </c>
      <c r="AV392">
        <v>6</v>
      </c>
      <c r="AW392">
        <v>3</v>
      </c>
      <c r="AX392" t="s">
        <v>5470</v>
      </c>
      <c r="AY392" t="s">
        <v>5471</v>
      </c>
      <c r="AZ392" t="s">
        <v>5472</v>
      </c>
      <c r="BA392">
        <v>0.1116</v>
      </c>
      <c r="BB392">
        <v>1</v>
      </c>
      <c r="BC392" t="s">
        <v>69</v>
      </c>
      <c r="BD392">
        <v>0.184</v>
      </c>
      <c r="BE392">
        <v>0.184</v>
      </c>
    </row>
    <row r="393" spans="1:57">
      <c r="A393">
        <v>0</v>
      </c>
      <c r="B393">
        <v>0</v>
      </c>
      <c r="C393">
        <v>0</v>
      </c>
      <c r="D393">
        <v>4089</v>
      </c>
      <c r="E393" t="s">
        <v>5483</v>
      </c>
      <c r="F393" t="s">
        <v>5762</v>
      </c>
      <c r="G393" t="s">
        <v>62</v>
      </c>
      <c r="H393">
        <v>4058032</v>
      </c>
      <c r="I393">
        <v>4058778</v>
      </c>
      <c r="J393" t="s">
        <v>5484</v>
      </c>
      <c r="K393">
        <v>249</v>
      </c>
      <c r="L393" t="s">
        <v>59</v>
      </c>
      <c r="M393">
        <v>5</v>
      </c>
      <c r="N393" t="str">
        <f>HYPERLINK("Gene4089-zp_tree_all.dnd", "Gene4089-tree")</f>
        <v>Gene4089-tree</v>
      </c>
      <c r="O393">
        <v>1</v>
      </c>
      <c r="P393">
        <v>4</v>
      </c>
      <c r="Q393">
        <v>1</v>
      </c>
      <c r="R393">
        <v>4</v>
      </c>
      <c r="S393">
        <v>0.8</v>
      </c>
      <c r="T393" t="s">
        <v>61</v>
      </c>
      <c r="U393" t="s">
        <v>60</v>
      </c>
      <c r="V393" t="s">
        <v>62</v>
      </c>
      <c r="W393" t="s">
        <v>62</v>
      </c>
      <c r="X393">
        <v>0</v>
      </c>
      <c r="Y393">
        <v>0</v>
      </c>
      <c r="Z393">
        <v>7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4</v>
      </c>
      <c r="AK393">
        <v>0</v>
      </c>
      <c r="AL393">
        <v>5</v>
      </c>
      <c r="AM393">
        <v>2</v>
      </c>
      <c r="AN393">
        <v>32</v>
      </c>
      <c r="AO393">
        <v>4</v>
      </c>
      <c r="AP393">
        <v>15</v>
      </c>
      <c r="AQ393">
        <v>3</v>
      </c>
      <c r="AR393" t="s">
        <v>5485</v>
      </c>
      <c r="AS393" t="s">
        <v>5486</v>
      </c>
      <c r="AT393">
        <v>0.377</v>
      </c>
      <c r="AU393" t="s">
        <v>65</v>
      </c>
      <c r="AV393">
        <v>47</v>
      </c>
      <c r="AW393">
        <v>7</v>
      </c>
      <c r="AX393" t="s">
        <v>5487</v>
      </c>
      <c r="AY393" t="s">
        <v>5488</v>
      </c>
      <c r="AZ393" t="s">
        <v>5489</v>
      </c>
      <c r="BA393">
        <v>4.3950000000000003E-2</v>
      </c>
      <c r="BB393">
        <v>1</v>
      </c>
      <c r="BC393" t="s">
        <v>69</v>
      </c>
      <c r="BD393">
        <v>-0.13900000000000001</v>
      </c>
      <c r="BE393">
        <v>-0.28999999999999998</v>
      </c>
    </row>
    <row r="394" spans="1:57">
      <c r="A394">
        <v>0</v>
      </c>
      <c r="B394">
        <v>0</v>
      </c>
      <c r="C394">
        <v>0</v>
      </c>
      <c r="D394">
        <v>4090</v>
      </c>
      <c r="E394" t="s">
        <v>5490</v>
      </c>
      <c r="F394" t="s">
        <v>5762</v>
      </c>
      <c r="G394" t="s">
        <v>62</v>
      </c>
      <c r="H394">
        <v>4058794</v>
      </c>
      <c r="I394">
        <v>4059465</v>
      </c>
      <c r="J394" t="s">
        <v>4260</v>
      </c>
      <c r="K394">
        <v>224</v>
      </c>
      <c r="L394" t="s">
        <v>59</v>
      </c>
      <c r="M394">
        <v>5</v>
      </c>
      <c r="N394" t="str">
        <f>HYPERLINK("Gene4090-zp_tree_all.dnd", "Gene4090-tree")</f>
        <v>Gene4090-tree</v>
      </c>
      <c r="O394">
        <v>2</v>
      </c>
      <c r="P394">
        <v>3</v>
      </c>
      <c r="Q394">
        <v>2</v>
      </c>
      <c r="R394">
        <v>3</v>
      </c>
      <c r="S394">
        <v>0.6</v>
      </c>
      <c r="T394" t="s">
        <v>135</v>
      </c>
      <c r="U394" t="s">
        <v>84</v>
      </c>
      <c r="V394" t="s">
        <v>62</v>
      </c>
      <c r="W394" t="s">
        <v>62</v>
      </c>
      <c r="X394">
        <v>0</v>
      </c>
      <c r="Y394">
        <v>0</v>
      </c>
      <c r="Z394">
        <v>6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4</v>
      </c>
      <c r="AK394">
        <v>0</v>
      </c>
      <c r="AL394">
        <v>5</v>
      </c>
      <c r="AM394">
        <v>2</v>
      </c>
      <c r="AN394">
        <v>40</v>
      </c>
      <c r="AO394">
        <v>4</v>
      </c>
      <c r="AP394">
        <v>15</v>
      </c>
      <c r="AQ394">
        <v>2</v>
      </c>
      <c r="AR394" t="s">
        <v>5491</v>
      </c>
      <c r="AS394" t="s">
        <v>5492</v>
      </c>
      <c r="AT394">
        <v>0.23899999999999999</v>
      </c>
      <c r="AU394" t="s">
        <v>65</v>
      </c>
      <c r="AV394">
        <v>55</v>
      </c>
      <c r="AW394">
        <v>6</v>
      </c>
      <c r="AX394" t="s">
        <v>5493</v>
      </c>
      <c r="AY394" t="s">
        <v>5494</v>
      </c>
      <c r="AZ394" t="s">
        <v>5495</v>
      </c>
      <c r="BA394">
        <v>3.32E-2</v>
      </c>
      <c r="BB394">
        <v>1</v>
      </c>
      <c r="BC394" t="s">
        <v>69</v>
      </c>
      <c r="BD394">
        <v>-2.1999999999999999E-2</v>
      </c>
      <c r="BE394">
        <v>-0.30399999999999999</v>
      </c>
    </row>
    <row r="395" spans="1:57">
      <c r="A395">
        <v>0</v>
      </c>
      <c r="B395">
        <v>2</v>
      </c>
      <c r="C395">
        <v>0</v>
      </c>
      <c r="D395">
        <v>4096</v>
      </c>
      <c r="E395" t="s">
        <v>5496</v>
      </c>
      <c r="F395" t="s">
        <v>5762</v>
      </c>
      <c r="G395" t="s">
        <v>62</v>
      </c>
      <c r="H395">
        <v>4063687</v>
      </c>
      <c r="I395">
        <v>4064496</v>
      </c>
      <c r="J395" t="s">
        <v>5497</v>
      </c>
      <c r="K395">
        <v>270</v>
      </c>
      <c r="L395" t="s">
        <v>59</v>
      </c>
      <c r="M395">
        <v>5</v>
      </c>
      <c r="N395" t="str">
        <f>HYPERLINK("Gene4096-zp_tree_all.dnd", "Gene4096-tree")</f>
        <v>Gene4096-tree</v>
      </c>
      <c r="O395">
        <v>1</v>
      </c>
      <c r="P395">
        <v>4</v>
      </c>
      <c r="Q395">
        <v>1</v>
      </c>
      <c r="R395">
        <v>4</v>
      </c>
      <c r="S395">
        <v>0.8</v>
      </c>
      <c r="T395" t="s">
        <v>61</v>
      </c>
      <c r="U395" t="s">
        <v>60</v>
      </c>
      <c r="V395" t="s">
        <v>62</v>
      </c>
      <c r="W395" t="s">
        <v>62</v>
      </c>
      <c r="X395">
        <v>1</v>
      </c>
      <c r="Y395">
        <v>2</v>
      </c>
      <c r="Z395">
        <v>10</v>
      </c>
      <c r="AA395">
        <v>0.16667000000000001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6</v>
      </c>
      <c r="AK395">
        <v>0</v>
      </c>
      <c r="AL395">
        <v>5</v>
      </c>
      <c r="AM395">
        <v>2</v>
      </c>
      <c r="AN395">
        <v>39</v>
      </c>
      <c r="AO395">
        <v>6</v>
      </c>
      <c r="AP395">
        <v>18</v>
      </c>
      <c r="AQ395">
        <v>6</v>
      </c>
      <c r="AR395" t="s">
        <v>5498</v>
      </c>
      <c r="AS395" t="s">
        <v>5499</v>
      </c>
      <c r="AT395">
        <v>0.81699999999999995</v>
      </c>
      <c r="AU395" t="s">
        <v>65</v>
      </c>
      <c r="AV395">
        <v>57</v>
      </c>
      <c r="AW395">
        <v>12</v>
      </c>
      <c r="AX395" t="s">
        <v>5500</v>
      </c>
      <c r="AY395" t="s">
        <v>5501</v>
      </c>
      <c r="AZ395" t="s">
        <v>5502</v>
      </c>
      <c r="BA395">
        <v>6.0729999999999999E-2</v>
      </c>
      <c r="BB395">
        <v>1</v>
      </c>
      <c r="BC395" t="s">
        <v>69</v>
      </c>
      <c r="BD395">
        <v>0.16300000000000001</v>
      </c>
      <c r="BE395">
        <v>-9.1999999999999998E-2</v>
      </c>
    </row>
    <row r="396" spans="1:57">
      <c r="A396">
        <v>0</v>
      </c>
      <c r="B396">
        <v>0</v>
      </c>
      <c r="C396">
        <v>0</v>
      </c>
      <c r="D396">
        <v>4101</v>
      </c>
      <c r="E396" t="s">
        <v>5511</v>
      </c>
      <c r="F396" t="s">
        <v>5762</v>
      </c>
      <c r="G396" t="s">
        <v>62</v>
      </c>
      <c r="H396">
        <v>4066610</v>
      </c>
      <c r="I396">
        <v>4067005</v>
      </c>
      <c r="J396" t="s">
        <v>5512</v>
      </c>
      <c r="K396">
        <v>132</v>
      </c>
      <c r="L396" t="s">
        <v>59</v>
      </c>
      <c r="M396">
        <v>5</v>
      </c>
      <c r="N396" t="str">
        <f>HYPERLINK("Gene4101-zp_tree_all.dnd", "Gene4101-tree")</f>
        <v>Gene4101-tree</v>
      </c>
      <c r="O396">
        <v>4</v>
      </c>
      <c r="P396">
        <v>1</v>
      </c>
      <c r="Q396">
        <v>4</v>
      </c>
      <c r="R396">
        <v>1</v>
      </c>
      <c r="S396">
        <v>0.2</v>
      </c>
      <c r="T396" t="s">
        <v>60</v>
      </c>
      <c r="U396" t="s">
        <v>61</v>
      </c>
      <c r="V396" t="s">
        <v>62</v>
      </c>
      <c r="W396" t="s">
        <v>62</v>
      </c>
      <c r="X396">
        <v>0</v>
      </c>
      <c r="Y396">
        <v>0</v>
      </c>
      <c r="Z396">
        <v>2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2</v>
      </c>
      <c r="AK396">
        <v>0</v>
      </c>
      <c r="AL396">
        <v>5</v>
      </c>
      <c r="AM396">
        <v>1</v>
      </c>
      <c r="AN396">
        <v>14</v>
      </c>
      <c r="AO396">
        <v>2</v>
      </c>
      <c r="AP396">
        <v>3</v>
      </c>
      <c r="AQ396">
        <v>0</v>
      </c>
      <c r="AR396" t="s">
        <v>5513</v>
      </c>
      <c r="AS396" t="s">
        <v>64</v>
      </c>
      <c r="AT396">
        <v>0.42</v>
      </c>
      <c r="AU396" t="s">
        <v>65</v>
      </c>
      <c r="AV396">
        <v>17</v>
      </c>
      <c r="AW396">
        <v>2</v>
      </c>
      <c r="AX396" t="s">
        <v>5514</v>
      </c>
      <c r="AY396" t="s">
        <v>5515</v>
      </c>
      <c r="AZ396" t="s">
        <v>5516</v>
      </c>
      <c r="BA396">
        <v>2.759E-2</v>
      </c>
      <c r="BB396">
        <v>1</v>
      </c>
      <c r="BC396" t="s">
        <v>69</v>
      </c>
      <c r="BD396">
        <v>-0.54600000000000004</v>
      </c>
      <c r="BE396">
        <v>-0.54600000000000004</v>
      </c>
    </row>
    <row r="397" spans="1:57">
      <c r="A397">
        <v>0</v>
      </c>
      <c r="B397">
        <v>2</v>
      </c>
      <c r="C397">
        <v>0</v>
      </c>
      <c r="D397">
        <v>4103</v>
      </c>
      <c r="E397" t="s">
        <v>5523</v>
      </c>
      <c r="F397" t="s">
        <v>5762</v>
      </c>
      <c r="G397" t="s">
        <v>62</v>
      </c>
      <c r="H397">
        <v>4068192</v>
      </c>
      <c r="I397">
        <v>4068536</v>
      </c>
      <c r="J397" t="s">
        <v>118</v>
      </c>
      <c r="K397">
        <v>115</v>
      </c>
      <c r="L397" t="s">
        <v>59</v>
      </c>
      <c r="M397">
        <v>5</v>
      </c>
      <c r="N397" t="str">
        <f>HYPERLINK("Gene4103-zp_tree_all.dnd", "Gene4103-tree")</f>
        <v>Gene4103-tree</v>
      </c>
      <c r="O397">
        <v>2</v>
      </c>
      <c r="P397">
        <v>3</v>
      </c>
      <c r="Q397">
        <v>2</v>
      </c>
      <c r="R397">
        <v>3</v>
      </c>
      <c r="S397">
        <v>0.6</v>
      </c>
      <c r="T397" t="s">
        <v>135</v>
      </c>
      <c r="U397" t="s">
        <v>84</v>
      </c>
      <c r="V397" t="s">
        <v>62</v>
      </c>
      <c r="W397" t="s">
        <v>62</v>
      </c>
      <c r="X397">
        <v>1</v>
      </c>
      <c r="Y397">
        <v>2</v>
      </c>
      <c r="Z397">
        <v>4</v>
      </c>
      <c r="AA397">
        <v>0.33333000000000002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2</v>
      </c>
      <c r="AH397">
        <v>0</v>
      </c>
      <c r="AI397">
        <v>2</v>
      </c>
      <c r="AJ397">
        <v>3</v>
      </c>
      <c r="AK397">
        <v>0.4</v>
      </c>
      <c r="AL397">
        <v>5</v>
      </c>
      <c r="AM397">
        <v>1</v>
      </c>
      <c r="AN397">
        <v>7</v>
      </c>
      <c r="AO397">
        <v>5</v>
      </c>
      <c r="AP397">
        <v>4</v>
      </c>
      <c r="AQ397">
        <v>1</v>
      </c>
      <c r="AR397" t="s">
        <v>5524</v>
      </c>
      <c r="AS397" t="s">
        <v>5525</v>
      </c>
      <c r="AT397">
        <v>0.84199999999999997</v>
      </c>
      <c r="AU397" t="s">
        <v>65</v>
      </c>
      <c r="AV397">
        <v>11</v>
      </c>
      <c r="AW397">
        <v>6</v>
      </c>
      <c r="AX397" t="s">
        <v>5526</v>
      </c>
      <c r="AY397" t="s">
        <v>5527</v>
      </c>
      <c r="AZ397" t="s">
        <v>5528</v>
      </c>
      <c r="BA397">
        <v>0.13944999999999999</v>
      </c>
      <c r="BB397">
        <v>1</v>
      </c>
      <c r="BC397" t="s">
        <v>69</v>
      </c>
      <c r="BD397">
        <v>0.30399999999999999</v>
      </c>
      <c r="BE397">
        <v>0.30399999999999999</v>
      </c>
    </row>
    <row r="398" spans="1:57">
      <c r="A398">
        <v>0</v>
      </c>
      <c r="B398">
        <v>8</v>
      </c>
      <c r="C398">
        <v>0</v>
      </c>
      <c r="D398">
        <v>4104</v>
      </c>
      <c r="E398" t="s">
        <v>5529</v>
      </c>
      <c r="F398" t="s">
        <v>5762</v>
      </c>
      <c r="G398" t="s">
        <v>62</v>
      </c>
      <c r="H398">
        <v>4068553</v>
      </c>
      <c r="I398">
        <v>4070418</v>
      </c>
      <c r="J398" t="s">
        <v>5530</v>
      </c>
      <c r="K398">
        <v>622</v>
      </c>
      <c r="L398" t="s">
        <v>59</v>
      </c>
      <c r="M398">
        <v>5</v>
      </c>
      <c r="N398" t="str">
        <f>HYPERLINK("Gene4104-zp_tree_all.dnd", "Gene4104-tree")</f>
        <v>Gene4104-tree</v>
      </c>
      <c r="O398">
        <v>1</v>
      </c>
      <c r="P398">
        <v>4</v>
      </c>
      <c r="Q398">
        <v>1</v>
      </c>
      <c r="R398">
        <v>4</v>
      </c>
      <c r="S398">
        <v>0.8</v>
      </c>
      <c r="T398" t="s">
        <v>61</v>
      </c>
      <c r="U398" t="s">
        <v>60</v>
      </c>
      <c r="V398" t="s">
        <v>62</v>
      </c>
      <c r="W398" t="s">
        <v>62</v>
      </c>
      <c r="X398">
        <v>4</v>
      </c>
      <c r="Y398">
        <v>8</v>
      </c>
      <c r="Z398">
        <v>26</v>
      </c>
      <c r="AA398">
        <v>0.23529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2</v>
      </c>
      <c r="AH398">
        <v>4</v>
      </c>
      <c r="AI398">
        <v>6</v>
      </c>
      <c r="AJ398">
        <v>20</v>
      </c>
      <c r="AK398">
        <v>0.23077</v>
      </c>
      <c r="AL398">
        <v>5</v>
      </c>
      <c r="AM398">
        <v>2</v>
      </c>
      <c r="AN398">
        <v>78</v>
      </c>
      <c r="AO398">
        <v>29</v>
      </c>
      <c r="AP398">
        <v>18</v>
      </c>
      <c r="AQ398">
        <v>8</v>
      </c>
      <c r="AR398" t="s">
        <v>5531</v>
      </c>
      <c r="AS398" t="s">
        <v>5532</v>
      </c>
      <c r="AT398">
        <v>0.27700000000000002</v>
      </c>
      <c r="AU398" t="s">
        <v>65</v>
      </c>
      <c r="AV398">
        <v>96</v>
      </c>
      <c r="AW398">
        <v>37</v>
      </c>
      <c r="AX398" t="s">
        <v>5533</v>
      </c>
      <c r="AY398" t="s">
        <v>5534</v>
      </c>
      <c r="AZ398" t="s">
        <v>5535</v>
      </c>
      <c r="BA398">
        <v>0.11069</v>
      </c>
      <c r="BB398">
        <v>1</v>
      </c>
      <c r="BC398" t="s">
        <v>69</v>
      </c>
      <c r="BD398">
        <v>-0.40400000000000003</v>
      </c>
      <c r="BE398">
        <v>-0.71799999999999997</v>
      </c>
    </row>
    <row r="399" spans="1:57">
      <c r="A399">
        <v>0</v>
      </c>
      <c r="B399">
        <v>0</v>
      </c>
      <c r="C399">
        <v>0</v>
      </c>
      <c r="D399">
        <v>4105</v>
      </c>
      <c r="E399" t="s">
        <v>5536</v>
      </c>
      <c r="F399" t="s">
        <v>5762</v>
      </c>
      <c r="G399" t="s">
        <v>62</v>
      </c>
      <c r="H399">
        <v>4070396</v>
      </c>
      <c r="I399">
        <v>4071166</v>
      </c>
      <c r="J399" t="s">
        <v>5537</v>
      </c>
      <c r="K399">
        <v>257</v>
      </c>
      <c r="L399" t="s">
        <v>83</v>
      </c>
      <c r="M399">
        <v>4</v>
      </c>
      <c r="N399" t="str">
        <f>HYPERLINK("Gene4105-zp_tree_all.dnd", "Gene4105-tree")</f>
        <v>Gene4105-tree</v>
      </c>
      <c r="O399">
        <v>2</v>
      </c>
      <c r="P399">
        <v>2</v>
      </c>
      <c r="Q399">
        <v>2</v>
      </c>
      <c r="R399">
        <v>2</v>
      </c>
      <c r="S399">
        <v>0.5</v>
      </c>
      <c r="T399" t="s">
        <v>135</v>
      </c>
      <c r="U399" t="s">
        <v>135</v>
      </c>
      <c r="V399" t="s">
        <v>62</v>
      </c>
      <c r="W399" t="s">
        <v>62</v>
      </c>
      <c r="X399">
        <v>0</v>
      </c>
      <c r="Y399">
        <v>0</v>
      </c>
      <c r="Z399">
        <v>7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2</v>
      </c>
      <c r="AK399">
        <v>0</v>
      </c>
      <c r="AL399">
        <v>4</v>
      </c>
      <c r="AM399">
        <v>1</v>
      </c>
      <c r="AN399">
        <v>24</v>
      </c>
      <c r="AO399">
        <v>2</v>
      </c>
      <c r="AP399">
        <v>7</v>
      </c>
      <c r="AQ399">
        <v>5</v>
      </c>
      <c r="AR399" t="s">
        <v>5538</v>
      </c>
      <c r="AS399" t="s">
        <v>5539</v>
      </c>
      <c r="AT399">
        <v>13.005000000000001</v>
      </c>
      <c r="AU399" t="s">
        <v>65</v>
      </c>
      <c r="AV399">
        <v>31</v>
      </c>
      <c r="AW399">
        <v>7</v>
      </c>
      <c r="AX399" t="s">
        <v>5540</v>
      </c>
      <c r="AY399" t="s">
        <v>5541</v>
      </c>
      <c r="AZ399" t="s">
        <v>5542</v>
      </c>
      <c r="BA399">
        <v>8.2189999999999999E-2</v>
      </c>
      <c r="BB399">
        <v>1</v>
      </c>
      <c r="BC399" t="s">
        <v>69</v>
      </c>
      <c r="BD399">
        <v>0.626</v>
      </c>
      <c r="BE399">
        <v>0.626</v>
      </c>
    </row>
    <row r="400" spans="1:57">
      <c r="A400">
        <v>0</v>
      </c>
      <c r="B400">
        <v>0</v>
      </c>
      <c r="C400">
        <v>0</v>
      </c>
      <c r="D400">
        <v>4106</v>
      </c>
      <c r="E400" t="s">
        <v>5543</v>
      </c>
      <c r="F400" t="s">
        <v>5762</v>
      </c>
      <c r="G400" t="s">
        <v>62</v>
      </c>
      <c r="H400">
        <v>4071313</v>
      </c>
      <c r="I400">
        <v>4072287</v>
      </c>
      <c r="J400" t="s">
        <v>5544</v>
      </c>
      <c r="K400">
        <v>325</v>
      </c>
      <c r="L400" t="s">
        <v>83</v>
      </c>
      <c r="M400">
        <v>4</v>
      </c>
      <c r="N400" t="str">
        <f>HYPERLINK("Gene4106-zp_tree_all.dnd", "Gene4106-tree")</f>
        <v>Gene4106-tree</v>
      </c>
      <c r="O400">
        <v>0</v>
      </c>
      <c r="P400">
        <v>4</v>
      </c>
      <c r="Q400">
        <v>0</v>
      </c>
      <c r="R400">
        <v>4</v>
      </c>
      <c r="S400">
        <v>1</v>
      </c>
      <c r="T400" t="s">
        <v>62</v>
      </c>
      <c r="U400" t="s">
        <v>60</v>
      </c>
      <c r="V400" t="s">
        <v>62</v>
      </c>
      <c r="W400" t="s">
        <v>62</v>
      </c>
      <c r="X400">
        <v>0</v>
      </c>
      <c r="Y400">
        <v>0</v>
      </c>
      <c r="Z400">
        <v>11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10</v>
      </c>
      <c r="AK400">
        <v>0</v>
      </c>
      <c r="AL400">
        <v>4</v>
      </c>
      <c r="AM400">
        <v>1</v>
      </c>
      <c r="AN400">
        <v>25</v>
      </c>
      <c r="AO400">
        <v>10</v>
      </c>
      <c r="AP400">
        <v>2</v>
      </c>
      <c r="AQ400">
        <v>1</v>
      </c>
      <c r="AR400" t="s">
        <v>5545</v>
      </c>
      <c r="AS400" t="s">
        <v>5546</v>
      </c>
      <c r="AT400">
        <v>0.47299999999999998</v>
      </c>
      <c r="AU400" t="s">
        <v>65</v>
      </c>
      <c r="AV400">
        <v>27</v>
      </c>
      <c r="AW400">
        <v>11</v>
      </c>
      <c r="AX400" t="s">
        <v>5547</v>
      </c>
      <c r="AY400" t="s">
        <v>5548</v>
      </c>
      <c r="AZ400" t="s">
        <v>5549</v>
      </c>
      <c r="BA400">
        <v>0.12032</v>
      </c>
      <c r="BB400">
        <v>1</v>
      </c>
      <c r="BC400" t="s">
        <v>69</v>
      </c>
      <c r="BD400">
        <v>-0.61399999999999999</v>
      </c>
      <c r="BE400">
        <v>-0.61399999999999999</v>
      </c>
    </row>
    <row r="401" spans="1:57">
      <c r="A401">
        <v>0</v>
      </c>
      <c r="B401">
        <v>0</v>
      </c>
      <c r="C401">
        <v>0</v>
      </c>
      <c r="D401">
        <v>4107</v>
      </c>
      <c r="E401" t="s">
        <v>5550</v>
      </c>
      <c r="F401" t="s">
        <v>5762</v>
      </c>
      <c r="G401" t="s">
        <v>62</v>
      </c>
      <c r="H401">
        <v>4072287</v>
      </c>
      <c r="I401">
        <v>4072973</v>
      </c>
      <c r="J401" t="s">
        <v>5551</v>
      </c>
      <c r="K401">
        <v>229</v>
      </c>
      <c r="L401" t="s">
        <v>83</v>
      </c>
      <c r="M401">
        <v>4</v>
      </c>
      <c r="N401" t="str">
        <f>HYPERLINK("Gene4107-zp_tree_all.dnd", "Gene4107-tree")</f>
        <v>Gene4107-tree</v>
      </c>
      <c r="O401">
        <v>3</v>
      </c>
      <c r="P401">
        <v>1</v>
      </c>
      <c r="Q401">
        <v>3</v>
      </c>
      <c r="R401">
        <v>1</v>
      </c>
      <c r="S401">
        <v>0.25</v>
      </c>
      <c r="T401" t="s">
        <v>84</v>
      </c>
      <c r="U401" t="s">
        <v>61</v>
      </c>
      <c r="V401" t="s">
        <v>62</v>
      </c>
      <c r="W401" t="s">
        <v>62</v>
      </c>
      <c r="X401">
        <v>0</v>
      </c>
      <c r="Y401">
        <v>0</v>
      </c>
      <c r="Z401">
        <v>5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5</v>
      </c>
      <c r="AK401">
        <v>0</v>
      </c>
      <c r="AL401">
        <v>3</v>
      </c>
      <c r="AM401">
        <v>1</v>
      </c>
      <c r="AN401">
        <v>23</v>
      </c>
      <c r="AO401">
        <v>5</v>
      </c>
      <c r="AP401">
        <v>1</v>
      </c>
      <c r="AQ401">
        <v>0</v>
      </c>
      <c r="AR401" t="s">
        <v>5552</v>
      </c>
      <c r="AS401" t="s">
        <v>64</v>
      </c>
      <c r="AT401">
        <v>0.48799999999999999</v>
      </c>
      <c r="AU401" t="s">
        <v>65</v>
      </c>
      <c r="AV401">
        <v>24</v>
      </c>
      <c r="AW401">
        <v>5</v>
      </c>
      <c r="AX401" t="s">
        <v>5553</v>
      </c>
      <c r="AY401" t="s">
        <v>5554</v>
      </c>
      <c r="AZ401" t="s">
        <v>5555</v>
      </c>
      <c r="BA401">
        <v>5.5559999999999998E-2</v>
      </c>
      <c r="BB401">
        <v>1</v>
      </c>
      <c r="BC401" t="s">
        <v>69</v>
      </c>
      <c r="BD401">
        <v>-0.752</v>
      </c>
      <c r="BE401">
        <v>-0.752</v>
      </c>
    </row>
    <row r="402" spans="1:57">
      <c r="A402">
        <v>0</v>
      </c>
      <c r="B402">
        <v>0</v>
      </c>
      <c r="C402">
        <v>2</v>
      </c>
      <c r="D402">
        <v>4108</v>
      </c>
      <c r="E402" t="s">
        <v>5556</v>
      </c>
      <c r="F402" t="s">
        <v>5762</v>
      </c>
      <c r="G402" t="s">
        <v>62</v>
      </c>
      <c r="H402">
        <v>4073084</v>
      </c>
      <c r="I402">
        <v>4073953</v>
      </c>
      <c r="J402" t="s">
        <v>5557</v>
      </c>
      <c r="K402">
        <v>290</v>
      </c>
      <c r="L402" t="s">
        <v>59</v>
      </c>
      <c r="M402">
        <v>5</v>
      </c>
      <c r="N402" t="str">
        <f>HYPERLINK("Gene4108-zp_tree_all.dnd", "Gene4108-tree")</f>
        <v>Gene4108-tree</v>
      </c>
      <c r="O402">
        <v>4</v>
      </c>
      <c r="P402">
        <v>1</v>
      </c>
      <c r="Q402">
        <v>4</v>
      </c>
      <c r="R402">
        <v>1</v>
      </c>
      <c r="S402">
        <v>0.2</v>
      </c>
      <c r="T402" t="s">
        <v>60</v>
      </c>
      <c r="U402" t="s">
        <v>61</v>
      </c>
      <c r="V402" t="s">
        <v>62</v>
      </c>
      <c r="W402" t="s">
        <v>62</v>
      </c>
      <c r="X402">
        <v>1</v>
      </c>
      <c r="Y402">
        <v>2</v>
      </c>
      <c r="Z402">
        <v>9</v>
      </c>
      <c r="AA402">
        <v>0.18182000000000001</v>
      </c>
      <c r="AB402">
        <v>0</v>
      </c>
      <c r="AC402">
        <v>0</v>
      </c>
      <c r="AD402">
        <v>0</v>
      </c>
      <c r="AE402">
        <v>1</v>
      </c>
      <c r="AF402">
        <v>0</v>
      </c>
      <c r="AG402">
        <v>0</v>
      </c>
      <c r="AH402">
        <v>0</v>
      </c>
      <c r="AI402">
        <v>0</v>
      </c>
      <c r="AJ402">
        <v>7</v>
      </c>
      <c r="AK402">
        <v>0</v>
      </c>
      <c r="AL402">
        <v>4</v>
      </c>
      <c r="AM402">
        <v>2</v>
      </c>
      <c r="AN402">
        <v>19</v>
      </c>
      <c r="AO402">
        <v>8</v>
      </c>
      <c r="AP402">
        <v>14</v>
      </c>
      <c r="AQ402">
        <v>4</v>
      </c>
      <c r="AR402" t="s">
        <v>5558</v>
      </c>
      <c r="AS402" t="s">
        <v>5559</v>
      </c>
      <c r="AT402">
        <v>0.17799999999999999</v>
      </c>
      <c r="AU402" t="s">
        <v>65</v>
      </c>
      <c r="AV402">
        <v>33</v>
      </c>
      <c r="AW402">
        <v>12</v>
      </c>
      <c r="AX402" t="s">
        <v>5560</v>
      </c>
      <c r="AY402" t="s">
        <v>5561</v>
      </c>
      <c r="AZ402" t="s">
        <v>5562</v>
      </c>
      <c r="BA402">
        <v>9.1189999999999993E-2</v>
      </c>
      <c r="BB402">
        <v>1</v>
      </c>
      <c r="BC402" t="s">
        <v>69</v>
      </c>
      <c r="BD402">
        <v>0</v>
      </c>
      <c r="BE402">
        <v>0</v>
      </c>
    </row>
    <row r="403" spans="1:57">
      <c r="A403">
        <v>0</v>
      </c>
      <c r="B403">
        <v>2</v>
      </c>
      <c r="C403">
        <v>0</v>
      </c>
      <c r="D403">
        <v>4109</v>
      </c>
      <c r="E403" t="s">
        <v>5563</v>
      </c>
      <c r="F403" t="s">
        <v>5762</v>
      </c>
      <c r="G403" t="s">
        <v>62</v>
      </c>
      <c r="H403">
        <v>4073977</v>
      </c>
      <c r="I403">
        <v>4074810</v>
      </c>
      <c r="J403" t="s">
        <v>5564</v>
      </c>
      <c r="K403">
        <v>278</v>
      </c>
      <c r="L403" t="s">
        <v>112</v>
      </c>
      <c r="M403">
        <v>4</v>
      </c>
      <c r="N403" t="str">
        <f>HYPERLINK("Gene4109-zp_tree_all.dnd", "Gene4109-tree")</f>
        <v>Gene4109-tree</v>
      </c>
      <c r="O403">
        <v>1</v>
      </c>
      <c r="P403">
        <v>3</v>
      </c>
      <c r="Q403">
        <v>1</v>
      </c>
      <c r="R403">
        <v>3</v>
      </c>
      <c r="S403">
        <v>0.75</v>
      </c>
      <c r="T403" t="s">
        <v>61</v>
      </c>
      <c r="U403" t="s">
        <v>84</v>
      </c>
      <c r="V403" t="s">
        <v>62</v>
      </c>
      <c r="W403" t="s">
        <v>62</v>
      </c>
      <c r="X403">
        <v>1</v>
      </c>
      <c r="Y403">
        <v>2</v>
      </c>
      <c r="Z403">
        <v>5</v>
      </c>
      <c r="AA403">
        <v>0.28571000000000002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2</v>
      </c>
      <c r="AH403">
        <v>0</v>
      </c>
      <c r="AI403">
        <v>2</v>
      </c>
      <c r="AJ403">
        <v>4</v>
      </c>
      <c r="AK403">
        <v>0.33333000000000002</v>
      </c>
      <c r="AL403">
        <v>4</v>
      </c>
      <c r="AM403">
        <v>1</v>
      </c>
      <c r="AN403">
        <v>41</v>
      </c>
      <c r="AO403">
        <v>6</v>
      </c>
      <c r="AP403">
        <v>4</v>
      </c>
      <c r="AQ403">
        <v>1</v>
      </c>
      <c r="AR403" t="s">
        <v>5565</v>
      </c>
      <c r="AS403" t="s">
        <v>5566</v>
      </c>
      <c r="AT403">
        <v>1.3</v>
      </c>
      <c r="AU403" t="s">
        <v>65</v>
      </c>
      <c r="AV403">
        <v>45</v>
      </c>
      <c r="AW403">
        <v>7</v>
      </c>
      <c r="AX403" t="s">
        <v>5567</v>
      </c>
      <c r="AY403" t="s">
        <v>5568</v>
      </c>
      <c r="AZ403" t="s">
        <v>5569</v>
      </c>
      <c r="BA403">
        <v>3.8769999999999999E-2</v>
      </c>
      <c r="BB403">
        <v>1</v>
      </c>
      <c r="BC403" t="s">
        <v>69</v>
      </c>
      <c r="BD403">
        <v>-0.107</v>
      </c>
      <c r="BE403">
        <v>-0.52100000000000002</v>
      </c>
    </row>
    <row r="404" spans="1:57">
      <c r="A404">
        <v>0</v>
      </c>
      <c r="B404">
        <v>0</v>
      </c>
      <c r="C404">
        <v>0</v>
      </c>
      <c r="D404">
        <v>4110</v>
      </c>
      <c r="E404" t="s">
        <v>5570</v>
      </c>
      <c r="F404" t="s">
        <v>5762</v>
      </c>
      <c r="G404" t="s">
        <v>62</v>
      </c>
      <c r="H404">
        <v>4074899</v>
      </c>
      <c r="I404">
        <v>4075765</v>
      </c>
      <c r="J404" t="s">
        <v>5571</v>
      </c>
      <c r="K404">
        <v>289</v>
      </c>
      <c r="L404" t="s">
        <v>59</v>
      </c>
      <c r="M404">
        <v>5</v>
      </c>
      <c r="N404" t="str">
        <f>HYPERLINK("Gene4110-zp_tree_all.dnd", "Gene4110-tree")</f>
        <v>Gene4110-tree</v>
      </c>
      <c r="O404">
        <v>2</v>
      </c>
      <c r="P404">
        <v>3</v>
      </c>
      <c r="Q404">
        <v>2</v>
      </c>
      <c r="R404">
        <v>3</v>
      </c>
      <c r="S404">
        <v>0.6</v>
      </c>
      <c r="T404" t="s">
        <v>135</v>
      </c>
      <c r="U404" t="s">
        <v>84</v>
      </c>
      <c r="V404" t="s">
        <v>62</v>
      </c>
      <c r="W404" t="s">
        <v>62</v>
      </c>
      <c r="X404">
        <v>0</v>
      </c>
      <c r="Y404">
        <v>0</v>
      </c>
      <c r="Z404">
        <v>4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3</v>
      </c>
      <c r="AK404">
        <v>0</v>
      </c>
      <c r="AL404">
        <v>5</v>
      </c>
      <c r="AM404">
        <v>2</v>
      </c>
      <c r="AN404">
        <v>60</v>
      </c>
      <c r="AO404">
        <v>3</v>
      </c>
      <c r="AP404">
        <v>20</v>
      </c>
      <c r="AQ404">
        <v>1</v>
      </c>
      <c r="AR404" t="s">
        <v>5572</v>
      </c>
      <c r="AS404" t="s">
        <v>5573</v>
      </c>
      <c r="AT404">
        <v>1.4E-2</v>
      </c>
      <c r="AU404" t="s">
        <v>65</v>
      </c>
      <c r="AV404">
        <v>80</v>
      </c>
      <c r="AW404">
        <v>4</v>
      </c>
      <c r="AX404" t="s">
        <v>5574</v>
      </c>
      <c r="AY404" t="s">
        <v>5575</v>
      </c>
      <c r="AZ404" t="s">
        <v>5576</v>
      </c>
      <c r="BA404">
        <v>1.6140000000000002E-2</v>
      </c>
      <c r="BB404">
        <v>1</v>
      </c>
      <c r="BC404" t="s">
        <v>69</v>
      </c>
      <c r="BD404">
        <v>0.13800000000000001</v>
      </c>
      <c r="BE404">
        <v>-0.374</v>
      </c>
    </row>
    <row r="405" spans="1:57">
      <c r="A405">
        <v>0</v>
      </c>
      <c r="B405">
        <v>0</v>
      </c>
      <c r="C405">
        <v>0</v>
      </c>
      <c r="D405">
        <v>4115</v>
      </c>
      <c r="E405" t="s">
        <v>5577</v>
      </c>
      <c r="F405" t="s">
        <v>5762</v>
      </c>
      <c r="G405" t="s">
        <v>62</v>
      </c>
      <c r="H405">
        <v>4081032</v>
      </c>
      <c r="I405">
        <v>4082006</v>
      </c>
      <c r="J405" t="s">
        <v>5578</v>
      </c>
      <c r="K405">
        <v>325</v>
      </c>
      <c r="L405" t="s">
        <v>59</v>
      </c>
      <c r="M405">
        <v>5</v>
      </c>
      <c r="N405" t="str">
        <f>HYPERLINK("Gene4115-zp_tree_all.dnd", "Gene4115-tree")</f>
        <v>Gene4115-tree</v>
      </c>
      <c r="O405">
        <v>0</v>
      </c>
      <c r="P405">
        <v>5</v>
      </c>
      <c r="Q405">
        <v>0</v>
      </c>
      <c r="R405">
        <v>5</v>
      </c>
      <c r="S405">
        <v>1</v>
      </c>
      <c r="T405" t="s">
        <v>62</v>
      </c>
      <c r="U405" t="s">
        <v>98</v>
      </c>
      <c r="V405" t="s">
        <v>62</v>
      </c>
      <c r="W405" t="s">
        <v>62</v>
      </c>
      <c r="X405">
        <v>0</v>
      </c>
      <c r="Y405">
        <v>0</v>
      </c>
      <c r="Z405">
        <v>12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9</v>
      </c>
      <c r="AK405">
        <v>0</v>
      </c>
      <c r="AL405">
        <v>5</v>
      </c>
      <c r="AM405">
        <v>2</v>
      </c>
      <c r="AN405">
        <v>49</v>
      </c>
      <c r="AO405">
        <v>8</v>
      </c>
      <c r="AP405">
        <v>15</v>
      </c>
      <c r="AQ405">
        <v>4</v>
      </c>
      <c r="AR405" t="s">
        <v>5579</v>
      </c>
      <c r="AS405" t="s">
        <v>5580</v>
      </c>
      <c r="AT405">
        <v>1.0840000000000001</v>
      </c>
      <c r="AU405" t="s">
        <v>65</v>
      </c>
      <c r="AV405">
        <v>64</v>
      </c>
      <c r="AW405">
        <v>12</v>
      </c>
      <c r="AX405" t="s">
        <v>5581</v>
      </c>
      <c r="AY405" t="s">
        <v>5582</v>
      </c>
      <c r="AZ405" t="s">
        <v>5583</v>
      </c>
      <c r="BA405">
        <v>5.6820000000000002E-2</v>
      </c>
      <c r="BB405">
        <v>1</v>
      </c>
      <c r="BC405" t="s">
        <v>69</v>
      </c>
      <c r="BD405">
        <v>-0.32</v>
      </c>
      <c r="BE405">
        <v>-0.64900000000000002</v>
      </c>
    </row>
    <row r="406" spans="1:57">
      <c r="A406">
        <v>0</v>
      </c>
      <c r="B406">
        <v>0</v>
      </c>
      <c r="C406">
        <v>0</v>
      </c>
      <c r="D406">
        <v>4140</v>
      </c>
      <c r="E406" t="s">
        <v>5595</v>
      </c>
      <c r="F406" t="s">
        <v>5762</v>
      </c>
      <c r="G406" t="s">
        <v>62</v>
      </c>
      <c r="H406">
        <v>4107355</v>
      </c>
      <c r="I406">
        <v>4107927</v>
      </c>
      <c r="J406" t="s">
        <v>5596</v>
      </c>
      <c r="K406">
        <v>191</v>
      </c>
      <c r="L406" t="s">
        <v>59</v>
      </c>
      <c r="M406">
        <v>5</v>
      </c>
      <c r="N406" t="str">
        <f>HYPERLINK("Gene4140-zp_tree_all.dnd", "Gene4140-tree")</f>
        <v>Gene4140-tree</v>
      </c>
      <c r="O406">
        <v>2</v>
      </c>
      <c r="P406">
        <v>3</v>
      </c>
      <c r="Q406">
        <v>2</v>
      </c>
      <c r="R406">
        <v>3</v>
      </c>
      <c r="S406">
        <v>0.6</v>
      </c>
      <c r="T406" t="s">
        <v>135</v>
      </c>
      <c r="U406" t="s">
        <v>84</v>
      </c>
      <c r="V406" t="s">
        <v>62</v>
      </c>
      <c r="W406" t="s">
        <v>62</v>
      </c>
      <c r="X406">
        <v>0</v>
      </c>
      <c r="Y406">
        <v>0</v>
      </c>
      <c r="Z406">
        <v>12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7</v>
      </c>
      <c r="AK406">
        <v>0</v>
      </c>
      <c r="AL406">
        <v>5</v>
      </c>
      <c r="AM406">
        <v>2</v>
      </c>
      <c r="AN406">
        <v>16</v>
      </c>
      <c r="AO406">
        <v>7</v>
      </c>
      <c r="AP406">
        <v>9</v>
      </c>
      <c r="AQ406">
        <v>6</v>
      </c>
      <c r="AR406" t="s">
        <v>5597</v>
      </c>
      <c r="AS406" t="s">
        <v>5598</v>
      </c>
      <c r="AT406">
        <v>0.27800000000000002</v>
      </c>
      <c r="AU406" t="s">
        <v>65</v>
      </c>
      <c r="AV406">
        <v>25</v>
      </c>
      <c r="AW406">
        <v>13</v>
      </c>
      <c r="AX406" t="s">
        <v>5599</v>
      </c>
      <c r="AY406" t="s">
        <v>5600</v>
      </c>
      <c r="AZ406" t="s">
        <v>5601</v>
      </c>
      <c r="BA406">
        <v>0.15093999999999999</v>
      </c>
      <c r="BB406">
        <v>1</v>
      </c>
      <c r="BC406" t="s">
        <v>69</v>
      </c>
      <c r="BD406">
        <v>0.22600000000000001</v>
      </c>
      <c r="BE406">
        <v>-0.20799999999999999</v>
      </c>
    </row>
    <row r="407" spans="1:57">
      <c r="A407">
        <v>0</v>
      </c>
      <c r="B407">
        <v>0</v>
      </c>
      <c r="C407">
        <v>2</v>
      </c>
      <c r="D407">
        <v>4142</v>
      </c>
      <c r="E407" t="s">
        <v>5602</v>
      </c>
      <c r="F407" t="s">
        <v>5762</v>
      </c>
      <c r="G407" t="s">
        <v>62</v>
      </c>
      <c r="H407">
        <v>4109188</v>
      </c>
      <c r="I407">
        <v>4109616</v>
      </c>
      <c r="J407" t="s">
        <v>1014</v>
      </c>
      <c r="K407">
        <v>143</v>
      </c>
      <c r="L407" t="s">
        <v>59</v>
      </c>
      <c r="M407">
        <v>5</v>
      </c>
      <c r="N407" t="str">
        <f>HYPERLINK("Gene4142-zp_tree_all.dnd", "Gene4142-tree")</f>
        <v>Gene4142-tree</v>
      </c>
      <c r="O407">
        <v>3</v>
      </c>
      <c r="P407">
        <v>2</v>
      </c>
      <c r="Q407">
        <v>2</v>
      </c>
      <c r="R407">
        <v>2</v>
      </c>
      <c r="S407">
        <v>0.5</v>
      </c>
      <c r="T407" t="s">
        <v>217</v>
      </c>
      <c r="U407" t="s">
        <v>135</v>
      </c>
      <c r="V407" t="s">
        <v>62</v>
      </c>
      <c r="W407" t="s">
        <v>62</v>
      </c>
      <c r="X407">
        <v>1</v>
      </c>
      <c r="Y407">
        <v>2</v>
      </c>
      <c r="Z407">
        <v>3</v>
      </c>
      <c r="AA407">
        <v>0.4</v>
      </c>
      <c r="AB407">
        <v>0</v>
      </c>
      <c r="AC407">
        <v>0</v>
      </c>
      <c r="AD407">
        <v>0</v>
      </c>
      <c r="AE407">
        <v>3</v>
      </c>
      <c r="AF407">
        <v>0</v>
      </c>
      <c r="AG407">
        <v>0</v>
      </c>
      <c r="AH407">
        <v>0</v>
      </c>
      <c r="AI407">
        <v>0</v>
      </c>
      <c r="AJ407">
        <v>2</v>
      </c>
      <c r="AK407">
        <v>0</v>
      </c>
      <c r="AL407">
        <v>4</v>
      </c>
      <c r="AM407">
        <v>1</v>
      </c>
      <c r="AN407">
        <v>20</v>
      </c>
      <c r="AO407">
        <v>2</v>
      </c>
      <c r="AP407">
        <v>8</v>
      </c>
      <c r="AQ407">
        <v>3</v>
      </c>
      <c r="AR407" t="s">
        <v>5603</v>
      </c>
      <c r="AS407" t="s">
        <v>5604</v>
      </c>
      <c r="AT407">
        <v>4.266</v>
      </c>
      <c r="AU407" t="s">
        <v>65</v>
      </c>
      <c r="AV407">
        <v>28</v>
      </c>
      <c r="AW407">
        <v>5</v>
      </c>
      <c r="AX407" t="s">
        <v>5605</v>
      </c>
      <c r="AY407" t="s">
        <v>5606</v>
      </c>
      <c r="AZ407" t="s">
        <v>5607</v>
      </c>
      <c r="BA407">
        <v>5.1979999999999998E-2</v>
      </c>
      <c r="BB407">
        <v>1</v>
      </c>
      <c r="BC407" t="s">
        <v>69</v>
      </c>
      <c r="BD407">
        <v>0.21099999999999999</v>
      </c>
      <c r="BE407">
        <v>-0.24099999999999999</v>
      </c>
    </row>
    <row r="408" spans="1:57">
      <c r="A408">
        <v>0</v>
      </c>
      <c r="B408">
        <v>0</v>
      </c>
      <c r="C408">
        <v>0</v>
      </c>
      <c r="D408">
        <v>4166</v>
      </c>
      <c r="E408" t="s">
        <v>5629</v>
      </c>
      <c r="F408" t="s">
        <v>5762</v>
      </c>
      <c r="G408" t="s">
        <v>62</v>
      </c>
      <c r="H408">
        <v>4134439</v>
      </c>
      <c r="I408">
        <v>4134915</v>
      </c>
      <c r="J408" t="s">
        <v>5630</v>
      </c>
      <c r="K408">
        <v>159</v>
      </c>
      <c r="L408" t="s">
        <v>112</v>
      </c>
      <c r="M408">
        <v>4</v>
      </c>
      <c r="N408" t="str">
        <f>HYPERLINK("Gene4166-zp_tree_all.dnd", "Gene4166-tree")</f>
        <v>Gene4166-tree</v>
      </c>
      <c r="O408">
        <v>3</v>
      </c>
      <c r="P408">
        <v>1</v>
      </c>
      <c r="Q408">
        <v>3</v>
      </c>
      <c r="R408">
        <v>1</v>
      </c>
      <c r="S408">
        <v>0.25</v>
      </c>
      <c r="T408" t="s">
        <v>84</v>
      </c>
      <c r="U408" t="s">
        <v>61</v>
      </c>
      <c r="V408" t="s">
        <v>62</v>
      </c>
      <c r="W408" t="s">
        <v>62</v>
      </c>
      <c r="X408">
        <v>0</v>
      </c>
      <c r="Y408">
        <v>0</v>
      </c>
      <c r="Z408">
        <v>2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1</v>
      </c>
      <c r="AK408">
        <v>0</v>
      </c>
      <c r="AL408">
        <v>4</v>
      </c>
      <c r="AM408">
        <v>1</v>
      </c>
      <c r="AN408">
        <v>26</v>
      </c>
      <c r="AO408">
        <v>1</v>
      </c>
      <c r="AP408">
        <v>3</v>
      </c>
      <c r="AQ408">
        <v>1</v>
      </c>
      <c r="AR408" t="s">
        <v>5631</v>
      </c>
      <c r="AS408" t="s">
        <v>5632</v>
      </c>
      <c r="AT408">
        <v>5.2169999999999996</v>
      </c>
      <c r="AU408" t="s">
        <v>65</v>
      </c>
      <c r="AV408">
        <v>29</v>
      </c>
      <c r="AW408">
        <v>2</v>
      </c>
      <c r="AX408" t="s">
        <v>5633</v>
      </c>
      <c r="AY408" t="s">
        <v>5634</v>
      </c>
      <c r="AZ408" t="s">
        <v>5635</v>
      </c>
      <c r="BA408">
        <v>2.3380000000000001E-2</v>
      </c>
      <c r="BB408">
        <v>1</v>
      </c>
      <c r="BC408" t="s">
        <v>69</v>
      </c>
      <c r="BD408">
        <v>0.65300000000000002</v>
      </c>
      <c r="BE408">
        <v>-0.48099999999999998</v>
      </c>
    </row>
    <row r="409" spans="1:57">
      <c r="A409">
        <v>0</v>
      </c>
      <c r="B409">
        <v>0</v>
      </c>
      <c r="C409">
        <v>0</v>
      </c>
      <c r="D409">
        <v>4167</v>
      </c>
      <c r="E409" t="s">
        <v>5636</v>
      </c>
      <c r="F409" t="s">
        <v>5762</v>
      </c>
      <c r="G409" t="s">
        <v>62</v>
      </c>
      <c r="H409">
        <v>4134999</v>
      </c>
      <c r="I409">
        <v>4135166</v>
      </c>
      <c r="J409" t="s">
        <v>170</v>
      </c>
      <c r="K409">
        <v>56</v>
      </c>
      <c r="L409" t="s">
        <v>59</v>
      </c>
      <c r="M409">
        <v>5</v>
      </c>
      <c r="N409" t="str">
        <f>HYPERLINK("Gene4167-zp_tree_all.dnd", "Gene4167-tree")</f>
        <v>Gene4167-tree</v>
      </c>
      <c r="O409">
        <v>3</v>
      </c>
      <c r="P409">
        <v>1</v>
      </c>
      <c r="Q409">
        <v>3</v>
      </c>
      <c r="R409">
        <v>1</v>
      </c>
      <c r="S409">
        <v>0.25</v>
      </c>
      <c r="T409" t="s">
        <v>84</v>
      </c>
      <c r="U409" t="s">
        <v>61</v>
      </c>
      <c r="V409" t="s">
        <v>62</v>
      </c>
      <c r="W409" t="s">
        <v>62</v>
      </c>
      <c r="X409">
        <v>0</v>
      </c>
      <c r="Y409">
        <v>0</v>
      </c>
      <c r="Z409">
        <v>1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1</v>
      </c>
      <c r="AK409">
        <v>0</v>
      </c>
      <c r="AL409">
        <v>2</v>
      </c>
      <c r="AM409">
        <v>1</v>
      </c>
      <c r="AN409">
        <v>4</v>
      </c>
      <c r="AO409">
        <v>1</v>
      </c>
      <c r="AP409">
        <v>1</v>
      </c>
      <c r="AQ409">
        <v>0</v>
      </c>
      <c r="AR409" t="s">
        <v>5637</v>
      </c>
      <c r="AS409" t="s">
        <v>64</v>
      </c>
      <c r="AT409">
        <v>1.1180000000000001</v>
      </c>
      <c r="AU409" t="s">
        <v>65</v>
      </c>
      <c r="AV409">
        <v>5</v>
      </c>
      <c r="AW409">
        <v>1</v>
      </c>
      <c r="AX409" t="s">
        <v>5638</v>
      </c>
      <c r="AY409" t="s">
        <v>5639</v>
      </c>
      <c r="AZ409" t="s">
        <v>5640</v>
      </c>
      <c r="BA409">
        <v>4.7640000000000002E-2</v>
      </c>
      <c r="BB409">
        <v>1</v>
      </c>
      <c r="BC409" t="s">
        <v>69</v>
      </c>
      <c r="BD409">
        <v>-0.66800000000000004</v>
      </c>
      <c r="BE409">
        <v>-0.66800000000000004</v>
      </c>
    </row>
    <row r="410" spans="1:57">
      <c r="A410">
        <v>0</v>
      </c>
      <c r="B410">
        <v>0</v>
      </c>
      <c r="C410">
        <v>0</v>
      </c>
      <c r="D410">
        <v>4183</v>
      </c>
      <c r="E410" t="s">
        <v>5641</v>
      </c>
      <c r="F410" t="s">
        <v>5762</v>
      </c>
      <c r="G410" t="s">
        <v>62</v>
      </c>
      <c r="H410">
        <v>4148854</v>
      </c>
      <c r="I410">
        <v>4149645</v>
      </c>
      <c r="J410" t="s">
        <v>5642</v>
      </c>
      <c r="K410">
        <v>264</v>
      </c>
      <c r="L410" t="s">
        <v>83</v>
      </c>
      <c r="M410">
        <v>4</v>
      </c>
      <c r="N410" t="str">
        <f>HYPERLINK("Gene4183-zp_tree_all.dnd", "Gene4183-tree")</f>
        <v>Gene4183-tree</v>
      </c>
    </row>
    <row r="411" spans="1:57">
      <c r="A411">
        <v>0</v>
      </c>
      <c r="B411">
        <v>0</v>
      </c>
      <c r="C411">
        <v>0</v>
      </c>
      <c r="D411">
        <v>4186</v>
      </c>
      <c r="E411" t="s">
        <v>5643</v>
      </c>
      <c r="F411" t="s">
        <v>5762</v>
      </c>
      <c r="G411" t="s">
        <v>62</v>
      </c>
      <c r="H411">
        <v>4151856</v>
      </c>
      <c r="I411">
        <v>4153688</v>
      </c>
      <c r="J411" t="s">
        <v>5644</v>
      </c>
      <c r="K411">
        <v>611</v>
      </c>
      <c r="L411" t="s">
        <v>83</v>
      </c>
      <c r="M411">
        <v>4</v>
      </c>
      <c r="N411" t="str">
        <f>HYPERLINK("Gene4186-zp_tree_all.dnd", "Gene4186-tree")</f>
        <v>Gene4186-tree</v>
      </c>
      <c r="O411">
        <v>3</v>
      </c>
      <c r="P411">
        <v>1</v>
      </c>
      <c r="Q411">
        <v>3</v>
      </c>
      <c r="R411">
        <v>1</v>
      </c>
      <c r="S411">
        <v>0.25</v>
      </c>
      <c r="T411" t="s">
        <v>84</v>
      </c>
      <c r="U411" t="s">
        <v>61</v>
      </c>
      <c r="V411" t="s">
        <v>62</v>
      </c>
      <c r="W411" t="s">
        <v>62</v>
      </c>
      <c r="X411">
        <v>0</v>
      </c>
      <c r="Y411">
        <v>0</v>
      </c>
      <c r="Z411">
        <v>5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5</v>
      </c>
      <c r="AK411">
        <v>0</v>
      </c>
      <c r="AL411">
        <v>4</v>
      </c>
      <c r="AM411">
        <v>1</v>
      </c>
      <c r="AN411">
        <v>94</v>
      </c>
      <c r="AO411">
        <v>6</v>
      </c>
      <c r="AP411">
        <v>2</v>
      </c>
      <c r="AQ411">
        <v>0</v>
      </c>
      <c r="AR411" t="s">
        <v>5645</v>
      </c>
      <c r="AS411" t="s">
        <v>64</v>
      </c>
      <c r="AT411">
        <v>0.47</v>
      </c>
      <c r="AU411" t="s">
        <v>65</v>
      </c>
      <c r="AV411">
        <v>96</v>
      </c>
      <c r="AW411">
        <v>6</v>
      </c>
      <c r="AX411" t="s">
        <v>5646</v>
      </c>
      <c r="AY411" t="s">
        <v>5647</v>
      </c>
      <c r="AZ411" t="s">
        <v>5648</v>
      </c>
      <c r="BA411">
        <v>1.6400000000000001E-2</v>
      </c>
      <c r="BB411">
        <v>1</v>
      </c>
      <c r="BC411" t="s">
        <v>69</v>
      </c>
      <c r="BD411">
        <v>-0.53500000000000003</v>
      </c>
      <c r="BE411">
        <v>-0.63600000000000001</v>
      </c>
    </row>
    <row r="412" spans="1:57">
      <c r="A412">
        <v>0</v>
      </c>
      <c r="B412">
        <v>0</v>
      </c>
      <c r="C412">
        <v>0</v>
      </c>
      <c r="D412">
        <v>4187</v>
      </c>
      <c r="E412" t="s">
        <v>5649</v>
      </c>
      <c r="F412" t="s">
        <v>5762</v>
      </c>
      <c r="G412" t="s">
        <v>62</v>
      </c>
      <c r="H412">
        <v>4153699</v>
      </c>
      <c r="I412">
        <v>4154403</v>
      </c>
      <c r="J412" t="s">
        <v>5650</v>
      </c>
      <c r="K412">
        <v>235</v>
      </c>
      <c r="L412" t="s">
        <v>59</v>
      </c>
      <c r="M412">
        <v>5</v>
      </c>
      <c r="N412" t="str">
        <f>HYPERLINK("Gene4187-zp_tree_all.dnd", "Gene4187-tree")</f>
        <v>Gene4187-tree</v>
      </c>
      <c r="O412">
        <v>5</v>
      </c>
      <c r="P412">
        <v>0</v>
      </c>
      <c r="Q412">
        <v>5</v>
      </c>
      <c r="R412">
        <v>0</v>
      </c>
      <c r="S412">
        <v>0</v>
      </c>
      <c r="T412" t="s">
        <v>98</v>
      </c>
      <c r="U412" t="s">
        <v>62</v>
      </c>
      <c r="V412" t="s">
        <v>62</v>
      </c>
      <c r="W412" t="s">
        <v>62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5</v>
      </c>
      <c r="AM412">
        <v>2</v>
      </c>
      <c r="AN412">
        <v>23</v>
      </c>
      <c r="AO412">
        <v>0</v>
      </c>
      <c r="AP412">
        <v>14</v>
      </c>
      <c r="AQ412">
        <v>0</v>
      </c>
      <c r="AR412" t="s">
        <v>64</v>
      </c>
      <c r="AS412" t="s">
        <v>64</v>
      </c>
      <c r="AT412">
        <v>0</v>
      </c>
      <c r="AU412" t="s">
        <v>65</v>
      </c>
      <c r="AV412">
        <v>37</v>
      </c>
      <c r="AW412">
        <v>0</v>
      </c>
      <c r="AX412" t="s">
        <v>5651</v>
      </c>
      <c r="AY412" t="s">
        <v>5652</v>
      </c>
      <c r="AZ412" t="s">
        <v>64</v>
      </c>
      <c r="BA412">
        <v>0</v>
      </c>
      <c r="BB412">
        <v>1</v>
      </c>
      <c r="BC412" t="s">
        <v>69</v>
      </c>
      <c r="BD412">
        <v>5.1999999999999998E-2</v>
      </c>
      <c r="BE412">
        <v>-0.122</v>
      </c>
    </row>
    <row r="413" spans="1:57">
      <c r="A413">
        <v>0</v>
      </c>
      <c r="B413">
        <v>0</v>
      </c>
      <c r="C413">
        <v>0</v>
      </c>
      <c r="D413">
        <v>4188</v>
      </c>
      <c r="E413" t="s">
        <v>5653</v>
      </c>
      <c r="F413" t="s">
        <v>5762</v>
      </c>
      <c r="G413" t="s">
        <v>62</v>
      </c>
      <c r="H413">
        <v>4155436</v>
      </c>
      <c r="I413">
        <v>4156725</v>
      </c>
      <c r="J413" t="s">
        <v>5654</v>
      </c>
      <c r="K413">
        <v>430</v>
      </c>
      <c r="L413" t="s">
        <v>59</v>
      </c>
      <c r="M413">
        <v>5</v>
      </c>
      <c r="N413" t="str">
        <f>HYPERLINK("Gene4188-zp_tree_all.dnd", "Gene4188-tree")</f>
        <v>Gene4188-tree</v>
      </c>
      <c r="O413">
        <v>2</v>
      </c>
      <c r="P413">
        <v>3</v>
      </c>
      <c r="Q413">
        <v>2</v>
      </c>
      <c r="R413">
        <v>3</v>
      </c>
      <c r="S413">
        <v>0.6</v>
      </c>
      <c r="T413" t="s">
        <v>135</v>
      </c>
      <c r="U413" t="s">
        <v>84</v>
      </c>
      <c r="V413" t="s">
        <v>62</v>
      </c>
      <c r="W413" t="s">
        <v>62</v>
      </c>
      <c r="X413">
        <v>0</v>
      </c>
      <c r="Y413">
        <v>0</v>
      </c>
      <c r="Z413">
        <v>6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3</v>
      </c>
      <c r="AK413">
        <v>0</v>
      </c>
      <c r="AL413">
        <v>5</v>
      </c>
      <c r="AM413">
        <v>2</v>
      </c>
      <c r="AN413">
        <v>39</v>
      </c>
      <c r="AO413">
        <v>3</v>
      </c>
      <c r="AP413">
        <v>34</v>
      </c>
      <c r="AQ413">
        <v>3</v>
      </c>
      <c r="AR413" t="s">
        <v>5655</v>
      </c>
      <c r="AS413" t="s">
        <v>5656</v>
      </c>
      <c r="AT413">
        <v>6.2E-2</v>
      </c>
      <c r="AU413" t="s">
        <v>65</v>
      </c>
      <c r="AV413">
        <v>73</v>
      </c>
      <c r="AW413">
        <v>6</v>
      </c>
      <c r="AX413" t="s">
        <v>5657</v>
      </c>
      <c r="AY413" t="s">
        <v>5658</v>
      </c>
      <c r="AZ413" t="s">
        <v>5659</v>
      </c>
      <c r="BA413">
        <v>2.4060000000000002E-2</v>
      </c>
      <c r="BB413">
        <v>1</v>
      </c>
      <c r="BC413" t="s">
        <v>69</v>
      </c>
      <c r="BD413">
        <v>0.255</v>
      </c>
      <c r="BE413">
        <v>0.154</v>
      </c>
    </row>
    <row r="414" spans="1:57">
      <c r="A414">
        <v>0</v>
      </c>
      <c r="B414">
        <v>0</v>
      </c>
      <c r="C414">
        <v>0</v>
      </c>
      <c r="D414">
        <v>4190</v>
      </c>
      <c r="E414" t="s">
        <v>5660</v>
      </c>
      <c r="F414" t="s">
        <v>5762</v>
      </c>
      <c r="G414" t="s">
        <v>62</v>
      </c>
      <c r="H414">
        <v>4157474</v>
      </c>
      <c r="I414">
        <v>4158835</v>
      </c>
      <c r="J414" t="s">
        <v>5661</v>
      </c>
      <c r="K414">
        <v>454</v>
      </c>
      <c r="L414" t="s">
        <v>59</v>
      </c>
      <c r="M414">
        <v>5</v>
      </c>
      <c r="N414" t="str">
        <f>HYPERLINK("Gene4190-zp_tree_all.dnd", "Gene4190-tree")</f>
        <v>Gene4190-tree</v>
      </c>
      <c r="O414">
        <v>3</v>
      </c>
      <c r="P414">
        <v>2</v>
      </c>
      <c r="Q414">
        <v>3</v>
      </c>
      <c r="R414">
        <v>2</v>
      </c>
      <c r="S414">
        <v>0.4</v>
      </c>
      <c r="T414" t="s">
        <v>84</v>
      </c>
      <c r="U414" t="s">
        <v>135</v>
      </c>
      <c r="V414" t="s">
        <v>62</v>
      </c>
      <c r="W414" t="s">
        <v>62</v>
      </c>
      <c r="X414">
        <v>0</v>
      </c>
      <c r="Y414">
        <v>0</v>
      </c>
      <c r="Z414">
        <v>3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2</v>
      </c>
      <c r="AK414">
        <v>0</v>
      </c>
      <c r="AL414">
        <v>4</v>
      </c>
      <c r="AM414">
        <v>2</v>
      </c>
      <c r="AN414">
        <v>30</v>
      </c>
      <c r="AO414">
        <v>2</v>
      </c>
      <c r="AP414">
        <v>53</v>
      </c>
      <c r="AQ414">
        <v>1</v>
      </c>
      <c r="AR414" t="s">
        <v>5662</v>
      </c>
      <c r="AS414" t="s">
        <v>5663</v>
      </c>
      <c r="AT414">
        <v>1.137</v>
      </c>
      <c r="AU414" t="s">
        <v>65</v>
      </c>
      <c r="AV414">
        <v>83</v>
      </c>
      <c r="AW414">
        <v>3</v>
      </c>
      <c r="AX414" t="s">
        <v>5664</v>
      </c>
      <c r="AY414" t="s">
        <v>5665</v>
      </c>
      <c r="AZ414" t="s">
        <v>5666</v>
      </c>
      <c r="BA414">
        <v>9.0900000000000009E-3</v>
      </c>
      <c r="BB414">
        <v>1</v>
      </c>
      <c r="BC414" t="s">
        <v>69</v>
      </c>
      <c r="BD414">
        <v>1.198</v>
      </c>
      <c r="BE414">
        <v>0.624</v>
      </c>
    </row>
    <row r="415" spans="1:57">
      <c r="A415">
        <v>0</v>
      </c>
      <c r="B415">
        <v>0</v>
      </c>
      <c r="C415">
        <v>0</v>
      </c>
      <c r="D415">
        <v>4196</v>
      </c>
      <c r="E415" t="s">
        <v>5668</v>
      </c>
      <c r="F415" t="s">
        <v>5762</v>
      </c>
      <c r="G415" t="s">
        <v>62</v>
      </c>
      <c r="H415">
        <v>4163200</v>
      </c>
      <c r="I415">
        <v>4163646</v>
      </c>
      <c r="J415" t="s">
        <v>5669</v>
      </c>
      <c r="K415">
        <v>149</v>
      </c>
      <c r="L415" t="s">
        <v>83</v>
      </c>
      <c r="M415">
        <v>4</v>
      </c>
      <c r="N415" t="str">
        <f>HYPERLINK("Gene4196-zp_tree_all.dnd", "Gene4196-tree")</f>
        <v>Gene4196-tree</v>
      </c>
      <c r="O415">
        <v>3</v>
      </c>
      <c r="P415">
        <v>1</v>
      </c>
      <c r="Q415">
        <v>3</v>
      </c>
      <c r="R415">
        <v>1</v>
      </c>
      <c r="S415">
        <v>0.25</v>
      </c>
      <c r="T415" t="s">
        <v>84</v>
      </c>
      <c r="U415" t="s">
        <v>61</v>
      </c>
      <c r="V415" t="s">
        <v>62</v>
      </c>
      <c r="W415" t="s">
        <v>62</v>
      </c>
      <c r="X415">
        <v>0</v>
      </c>
      <c r="Y415">
        <v>0</v>
      </c>
      <c r="Z415">
        <v>1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1</v>
      </c>
      <c r="AK415">
        <v>0</v>
      </c>
      <c r="AL415">
        <v>4</v>
      </c>
      <c r="AM415">
        <v>1</v>
      </c>
      <c r="AN415">
        <v>18</v>
      </c>
      <c r="AO415">
        <v>1</v>
      </c>
      <c r="AP415">
        <v>4</v>
      </c>
      <c r="AQ415">
        <v>0</v>
      </c>
      <c r="AR415" t="s">
        <v>5670</v>
      </c>
      <c r="AS415" t="s">
        <v>64</v>
      </c>
      <c r="AT415">
        <v>0.436</v>
      </c>
      <c r="AU415" t="s">
        <v>65</v>
      </c>
      <c r="AV415">
        <v>22</v>
      </c>
      <c r="AW415">
        <v>1</v>
      </c>
      <c r="AX415" t="s">
        <v>5671</v>
      </c>
      <c r="AY415" t="s">
        <v>5672</v>
      </c>
      <c r="AZ415" t="s">
        <v>5673</v>
      </c>
      <c r="BA415">
        <v>1.073E-2</v>
      </c>
      <c r="BB415">
        <v>1</v>
      </c>
      <c r="BC415" t="s">
        <v>69</v>
      </c>
      <c r="BD415">
        <v>-0.311</v>
      </c>
      <c r="BE415">
        <v>-0.311</v>
      </c>
    </row>
    <row r="416" spans="1:57">
      <c r="A416">
        <v>0</v>
      </c>
      <c r="B416">
        <v>0</v>
      </c>
      <c r="C416">
        <v>0</v>
      </c>
      <c r="D416">
        <v>4197</v>
      </c>
      <c r="E416" t="s">
        <v>5674</v>
      </c>
      <c r="F416" t="s">
        <v>5762</v>
      </c>
      <c r="G416" t="s">
        <v>62</v>
      </c>
      <c r="H416">
        <v>4163646</v>
      </c>
      <c r="I416">
        <v>4165622</v>
      </c>
      <c r="J416" t="s">
        <v>5675</v>
      </c>
      <c r="K416">
        <v>659</v>
      </c>
      <c r="L416" t="s">
        <v>59</v>
      </c>
      <c r="M416">
        <v>5</v>
      </c>
      <c r="N416" t="str">
        <f>HYPERLINK("Gene4197-zp_tree_all.dnd", "Gene4197-tree")</f>
        <v>Gene4197-tree</v>
      </c>
      <c r="O416">
        <v>4</v>
      </c>
      <c r="P416">
        <v>1</v>
      </c>
      <c r="Q416">
        <v>4</v>
      </c>
      <c r="R416">
        <v>1</v>
      </c>
      <c r="S416">
        <v>0.2</v>
      </c>
      <c r="T416" t="s">
        <v>60</v>
      </c>
      <c r="U416" t="s">
        <v>61</v>
      </c>
      <c r="V416" t="s">
        <v>62</v>
      </c>
      <c r="W416" t="s">
        <v>62</v>
      </c>
      <c r="X416">
        <v>0</v>
      </c>
      <c r="Y416">
        <v>0</v>
      </c>
      <c r="Z416">
        <v>7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2</v>
      </c>
      <c r="AK416">
        <v>0</v>
      </c>
      <c r="AL416">
        <v>5</v>
      </c>
      <c r="AM416">
        <v>2</v>
      </c>
      <c r="AN416">
        <v>46</v>
      </c>
      <c r="AO416">
        <v>2</v>
      </c>
      <c r="AP416">
        <v>65</v>
      </c>
      <c r="AQ416">
        <v>5</v>
      </c>
      <c r="AR416" t="s">
        <v>5676</v>
      </c>
      <c r="AS416" t="s">
        <v>5677</v>
      </c>
      <c r="AT416">
        <v>0.23200000000000001</v>
      </c>
      <c r="AU416" t="s">
        <v>65</v>
      </c>
      <c r="AV416">
        <v>111</v>
      </c>
      <c r="AW416">
        <v>7</v>
      </c>
      <c r="AX416" t="s">
        <v>5678</v>
      </c>
      <c r="AY416" t="s">
        <v>5679</v>
      </c>
      <c r="AZ416" t="s">
        <v>5332</v>
      </c>
      <c r="BA416">
        <v>1.865E-2</v>
      </c>
      <c r="BB416">
        <v>1</v>
      </c>
      <c r="BC416" t="s">
        <v>69</v>
      </c>
      <c r="BD416">
        <v>0.79800000000000004</v>
      </c>
      <c r="BE416">
        <v>0.65600000000000003</v>
      </c>
    </row>
    <row r="417" spans="1:57">
      <c r="A417">
        <v>0</v>
      </c>
      <c r="B417">
        <v>0</v>
      </c>
      <c r="C417">
        <v>4</v>
      </c>
      <c r="D417">
        <v>4198</v>
      </c>
      <c r="E417" t="s">
        <v>5680</v>
      </c>
      <c r="F417" t="s">
        <v>5762</v>
      </c>
      <c r="G417" t="s">
        <v>62</v>
      </c>
      <c r="H417">
        <v>4165662</v>
      </c>
      <c r="I417">
        <v>4166588</v>
      </c>
      <c r="J417" t="s">
        <v>2782</v>
      </c>
      <c r="K417">
        <v>309</v>
      </c>
      <c r="L417" t="s">
        <v>59</v>
      </c>
      <c r="M417">
        <v>5</v>
      </c>
      <c r="N417" t="str">
        <f>HYPERLINK("Gene4198-zp_tree_all.dnd", "Gene4198-tree")</f>
        <v>Gene4198-tree</v>
      </c>
      <c r="O417">
        <v>1</v>
      </c>
      <c r="P417">
        <v>4</v>
      </c>
      <c r="Q417">
        <v>1</v>
      </c>
      <c r="R417">
        <v>4</v>
      </c>
      <c r="S417">
        <v>0.8</v>
      </c>
      <c r="T417" t="s">
        <v>61</v>
      </c>
      <c r="U417" t="s">
        <v>60</v>
      </c>
      <c r="V417" t="s">
        <v>62</v>
      </c>
      <c r="W417" t="s">
        <v>62</v>
      </c>
      <c r="X417">
        <v>2</v>
      </c>
      <c r="Y417">
        <v>4</v>
      </c>
      <c r="Z417">
        <v>20</v>
      </c>
      <c r="AA417">
        <v>0.16667000000000001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11</v>
      </c>
      <c r="AK417">
        <v>0</v>
      </c>
      <c r="AL417">
        <v>5</v>
      </c>
      <c r="AM417">
        <v>2</v>
      </c>
      <c r="AN417">
        <v>15</v>
      </c>
      <c r="AO417">
        <v>11</v>
      </c>
      <c r="AP417">
        <v>21</v>
      </c>
      <c r="AQ417">
        <v>13</v>
      </c>
      <c r="AR417" t="s">
        <v>5681</v>
      </c>
      <c r="AS417" t="s">
        <v>5682</v>
      </c>
      <c r="AT417">
        <v>0.158</v>
      </c>
      <c r="AU417" t="s">
        <v>65</v>
      </c>
      <c r="AV417">
        <v>36</v>
      </c>
      <c r="AW417">
        <v>24</v>
      </c>
      <c r="AX417" t="s">
        <v>5683</v>
      </c>
      <c r="AY417" t="s">
        <v>5684</v>
      </c>
      <c r="AZ417" t="s">
        <v>5685</v>
      </c>
      <c r="BA417">
        <v>0.19347</v>
      </c>
      <c r="BB417">
        <v>1</v>
      </c>
      <c r="BC417" t="s">
        <v>69</v>
      </c>
      <c r="BD417">
        <v>0.66800000000000004</v>
      </c>
      <c r="BE417">
        <v>0.53200000000000003</v>
      </c>
    </row>
    <row r="418" spans="1:57">
      <c r="A418">
        <v>0</v>
      </c>
      <c r="B418">
        <v>0</v>
      </c>
      <c r="C418">
        <v>0</v>
      </c>
      <c r="D418">
        <v>4199</v>
      </c>
      <c r="E418" t="s">
        <v>5686</v>
      </c>
      <c r="F418" t="s">
        <v>5762</v>
      </c>
      <c r="G418" t="s">
        <v>62</v>
      </c>
      <c r="H418">
        <v>4166818</v>
      </c>
      <c r="I418">
        <v>4166964</v>
      </c>
      <c r="J418" t="s">
        <v>1082</v>
      </c>
      <c r="K418">
        <v>49</v>
      </c>
      <c r="L418" t="s">
        <v>59</v>
      </c>
      <c r="M418">
        <v>5</v>
      </c>
      <c r="N418" t="str">
        <f>HYPERLINK("Gene4199-zp_tree_all.dnd", "Gene4199-tree")</f>
        <v>Gene4199-tree</v>
      </c>
    </row>
    <row r="419" spans="1:57">
      <c r="A419">
        <v>0</v>
      </c>
      <c r="B419">
        <v>0</v>
      </c>
      <c r="C419">
        <v>0</v>
      </c>
      <c r="D419">
        <v>4240</v>
      </c>
      <c r="E419" t="s">
        <v>5693</v>
      </c>
      <c r="F419" t="s">
        <v>5762</v>
      </c>
      <c r="G419" t="s">
        <v>62</v>
      </c>
      <c r="H419">
        <v>4198606</v>
      </c>
      <c r="I419">
        <v>4198842</v>
      </c>
      <c r="J419" t="s">
        <v>5694</v>
      </c>
      <c r="K419">
        <v>79</v>
      </c>
      <c r="L419" t="s">
        <v>59</v>
      </c>
      <c r="M419">
        <v>5</v>
      </c>
      <c r="N419" t="str">
        <f>HYPERLINK("Gene4240-zp_tree_all.dnd", "Gene4240-tree")</f>
        <v>Gene4240-tree</v>
      </c>
      <c r="O419">
        <v>5</v>
      </c>
      <c r="P419">
        <v>0</v>
      </c>
      <c r="Q419">
        <v>4</v>
      </c>
      <c r="R419">
        <v>0</v>
      </c>
      <c r="S419">
        <v>0</v>
      </c>
      <c r="T419" t="s">
        <v>150</v>
      </c>
      <c r="U419" t="s">
        <v>62</v>
      </c>
      <c r="V419" t="s">
        <v>62</v>
      </c>
      <c r="W419" t="s">
        <v>62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3</v>
      </c>
      <c r="AM419">
        <v>1</v>
      </c>
      <c r="AN419">
        <v>3</v>
      </c>
      <c r="AO419">
        <v>0</v>
      </c>
      <c r="AP419">
        <v>2</v>
      </c>
      <c r="AQ419">
        <v>0</v>
      </c>
      <c r="AR419" t="s">
        <v>64</v>
      </c>
      <c r="AS419" t="s">
        <v>64</v>
      </c>
      <c r="AT419">
        <v>0</v>
      </c>
      <c r="AU419" t="s">
        <v>65</v>
      </c>
      <c r="AV419">
        <v>5</v>
      </c>
      <c r="AW419">
        <v>0</v>
      </c>
      <c r="AX419" t="s">
        <v>5695</v>
      </c>
      <c r="AY419" t="s">
        <v>5696</v>
      </c>
      <c r="AZ419" t="s">
        <v>64</v>
      </c>
      <c r="BA419">
        <v>0</v>
      </c>
      <c r="BB419">
        <v>1</v>
      </c>
      <c r="BC419" t="s">
        <v>69</v>
      </c>
      <c r="BD419">
        <v>0.95699999999999996</v>
      </c>
      <c r="BE419">
        <v>0.95699999999999996</v>
      </c>
    </row>
    <row r="420" spans="1:57">
      <c r="A420">
        <v>0</v>
      </c>
      <c r="B420">
        <v>0</v>
      </c>
      <c r="C420">
        <v>0</v>
      </c>
      <c r="D420">
        <v>4241</v>
      </c>
      <c r="E420" t="s">
        <v>5697</v>
      </c>
      <c r="F420" t="s">
        <v>5762</v>
      </c>
      <c r="G420" t="s">
        <v>62</v>
      </c>
      <c r="H420">
        <v>4198889</v>
      </c>
      <c r="I420">
        <v>4199404</v>
      </c>
      <c r="J420" t="s">
        <v>5037</v>
      </c>
      <c r="K420">
        <v>172</v>
      </c>
      <c r="L420" t="s">
        <v>59</v>
      </c>
      <c r="M420">
        <v>5</v>
      </c>
      <c r="N420" t="str">
        <f>HYPERLINK("Gene4241-zp_tree_all.dnd", "Gene4241-tree")</f>
        <v>Gene4241-tree</v>
      </c>
      <c r="O420">
        <v>3</v>
      </c>
      <c r="P420">
        <v>1</v>
      </c>
      <c r="Q420">
        <v>3</v>
      </c>
      <c r="R420">
        <v>1</v>
      </c>
      <c r="S420">
        <v>0.25</v>
      </c>
      <c r="T420" t="s">
        <v>84</v>
      </c>
      <c r="U420" t="s">
        <v>61</v>
      </c>
      <c r="V420" t="s">
        <v>62</v>
      </c>
      <c r="W420" t="s">
        <v>62</v>
      </c>
      <c r="X420">
        <v>0</v>
      </c>
      <c r="Y420">
        <v>0</v>
      </c>
      <c r="Z420">
        <v>1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1</v>
      </c>
      <c r="AK420">
        <v>0</v>
      </c>
      <c r="AL420">
        <v>3</v>
      </c>
      <c r="AM420">
        <v>1</v>
      </c>
      <c r="AN420">
        <v>6</v>
      </c>
      <c r="AO420">
        <v>1</v>
      </c>
      <c r="AP420">
        <v>2</v>
      </c>
      <c r="AQ420">
        <v>0</v>
      </c>
      <c r="AR420" t="s">
        <v>5698</v>
      </c>
      <c r="AS420" t="s">
        <v>64</v>
      </c>
      <c r="AT420">
        <v>0.79800000000000004</v>
      </c>
      <c r="AU420" t="s">
        <v>65</v>
      </c>
      <c r="AV420">
        <v>8</v>
      </c>
      <c r="AW420">
        <v>1</v>
      </c>
      <c r="AX420" t="s">
        <v>5699</v>
      </c>
      <c r="AY420" t="s">
        <v>5700</v>
      </c>
      <c r="AZ420" t="s">
        <v>1413</v>
      </c>
      <c r="BA420">
        <v>3.2899999999999999E-2</v>
      </c>
      <c r="BB420">
        <v>1</v>
      </c>
      <c r="BC420" t="s">
        <v>69</v>
      </c>
      <c r="BD420">
        <v>-0.52600000000000002</v>
      </c>
      <c r="BE420">
        <v>-0.52600000000000002</v>
      </c>
    </row>
    <row r="421" spans="1:57">
      <c r="A421">
        <v>0</v>
      </c>
      <c r="B421">
        <v>0</v>
      </c>
      <c r="C421">
        <v>0</v>
      </c>
      <c r="D421">
        <v>4242</v>
      </c>
      <c r="E421" t="s">
        <v>5701</v>
      </c>
      <c r="F421" t="s">
        <v>5762</v>
      </c>
      <c r="G421" t="s">
        <v>62</v>
      </c>
      <c r="H421">
        <v>4199448</v>
      </c>
      <c r="I421">
        <v>4199732</v>
      </c>
      <c r="J421" t="s">
        <v>5702</v>
      </c>
      <c r="K421">
        <v>95</v>
      </c>
      <c r="L421" t="s">
        <v>59</v>
      </c>
      <c r="M421">
        <v>5</v>
      </c>
      <c r="N421" t="str">
        <f>HYPERLINK("Gene4242-zp_tree_all.dnd", "Gene4242-tree")</f>
        <v>Gene4242-tree</v>
      </c>
    </row>
    <row r="422" spans="1:57">
      <c r="A422">
        <v>0</v>
      </c>
      <c r="B422">
        <v>0</v>
      </c>
      <c r="C422">
        <v>0</v>
      </c>
      <c r="D422">
        <v>4245</v>
      </c>
      <c r="E422" t="s">
        <v>5703</v>
      </c>
      <c r="F422" t="s">
        <v>5762</v>
      </c>
      <c r="G422" t="s">
        <v>62</v>
      </c>
      <c r="H422">
        <v>4203127</v>
      </c>
      <c r="I422">
        <v>4203330</v>
      </c>
      <c r="J422" t="s">
        <v>3683</v>
      </c>
      <c r="K422">
        <v>68</v>
      </c>
      <c r="L422" t="s">
        <v>59</v>
      </c>
      <c r="M422">
        <v>5</v>
      </c>
      <c r="N422" t="str">
        <f>HYPERLINK("Gene4245-zp_tree_all.dnd", "Gene4245-tree")</f>
        <v>Gene4245-tree</v>
      </c>
    </row>
    <row r="423" spans="1:57">
      <c r="A423">
        <v>0</v>
      </c>
      <c r="B423">
        <v>0</v>
      </c>
      <c r="C423">
        <v>0</v>
      </c>
      <c r="D423">
        <v>4248</v>
      </c>
      <c r="E423" t="s">
        <v>5704</v>
      </c>
      <c r="F423" t="s">
        <v>5762</v>
      </c>
      <c r="G423" t="s">
        <v>62</v>
      </c>
      <c r="H423">
        <v>4205559</v>
      </c>
      <c r="I423">
        <v>4206404</v>
      </c>
      <c r="J423" t="s">
        <v>5705</v>
      </c>
      <c r="K423">
        <v>282</v>
      </c>
      <c r="L423" t="s">
        <v>83</v>
      </c>
      <c r="M423">
        <v>4</v>
      </c>
      <c r="N423" t="str">
        <f>HYPERLINK("Gene4248-zp_tree_all.dnd", "Gene4248-tree")</f>
        <v>Gene4248-tree</v>
      </c>
      <c r="O423">
        <v>0</v>
      </c>
      <c r="P423">
        <v>4</v>
      </c>
      <c r="Q423">
        <v>0</v>
      </c>
      <c r="R423">
        <v>4</v>
      </c>
      <c r="S423">
        <v>1</v>
      </c>
      <c r="T423" t="s">
        <v>62</v>
      </c>
      <c r="U423" t="s">
        <v>60</v>
      </c>
      <c r="V423" t="s">
        <v>62</v>
      </c>
      <c r="W423" t="s">
        <v>62</v>
      </c>
      <c r="X423">
        <v>0</v>
      </c>
      <c r="Y423">
        <v>0</v>
      </c>
      <c r="Z423">
        <v>6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7</v>
      </c>
      <c r="AK423">
        <v>0</v>
      </c>
      <c r="AL423">
        <v>4</v>
      </c>
      <c r="AM423">
        <v>1</v>
      </c>
      <c r="AN423">
        <v>42</v>
      </c>
      <c r="AO423">
        <v>7</v>
      </c>
      <c r="AP423">
        <v>2</v>
      </c>
      <c r="AQ423">
        <v>0</v>
      </c>
      <c r="AR423" t="s">
        <v>5706</v>
      </c>
      <c r="AS423" t="s">
        <v>64</v>
      </c>
      <c r="AT423">
        <v>0.96399999999999997</v>
      </c>
      <c r="AU423" t="s">
        <v>65</v>
      </c>
      <c r="AV423">
        <v>44</v>
      </c>
      <c r="AW423">
        <v>7</v>
      </c>
      <c r="AX423" t="s">
        <v>5707</v>
      </c>
      <c r="AY423" t="s">
        <v>5708</v>
      </c>
      <c r="AZ423" t="s">
        <v>5709</v>
      </c>
      <c r="BA423">
        <v>4.1459999999999997E-2</v>
      </c>
      <c r="BB423">
        <v>1</v>
      </c>
      <c r="BC423" t="s">
        <v>69</v>
      </c>
      <c r="BD423">
        <v>-0.67700000000000005</v>
      </c>
      <c r="BE423">
        <v>-0.86699999999999999</v>
      </c>
    </row>
    <row r="424" spans="1:57">
      <c r="A424">
        <v>0</v>
      </c>
      <c r="B424">
        <v>0</v>
      </c>
      <c r="C424">
        <v>0</v>
      </c>
      <c r="D424">
        <v>4249</v>
      </c>
      <c r="E424" t="s">
        <v>5710</v>
      </c>
      <c r="F424" t="s">
        <v>5762</v>
      </c>
      <c r="G424" t="s">
        <v>62</v>
      </c>
      <c r="H424">
        <v>4206400</v>
      </c>
      <c r="I424">
        <v>4207158</v>
      </c>
      <c r="J424" t="s">
        <v>5711</v>
      </c>
      <c r="K424">
        <v>253</v>
      </c>
      <c r="L424" t="s">
        <v>83</v>
      </c>
      <c r="M424">
        <v>4</v>
      </c>
      <c r="N424" t="str">
        <f>HYPERLINK("Gene4249-zp_tree_all.dnd", "Gene4249-tree")</f>
        <v>Gene4249-tree</v>
      </c>
    </row>
    <row r="425" spans="1:57">
      <c r="A425">
        <v>0</v>
      </c>
      <c r="B425">
        <v>0</v>
      </c>
      <c r="C425">
        <v>0</v>
      </c>
      <c r="D425">
        <v>4251</v>
      </c>
      <c r="E425" t="s">
        <v>5712</v>
      </c>
      <c r="F425" t="s">
        <v>5762</v>
      </c>
      <c r="G425" t="s">
        <v>62</v>
      </c>
      <c r="H425">
        <v>4207900</v>
      </c>
      <c r="I425">
        <v>4208748</v>
      </c>
      <c r="J425" t="s">
        <v>5713</v>
      </c>
      <c r="K425">
        <v>283</v>
      </c>
      <c r="L425" t="s">
        <v>59</v>
      </c>
      <c r="M425">
        <v>5</v>
      </c>
      <c r="N425" t="str">
        <f>HYPERLINK("Gene4251-zp_tree_all.dnd", "Gene4251-tree")</f>
        <v>Gene4251-tree</v>
      </c>
      <c r="O425">
        <v>4</v>
      </c>
      <c r="P425">
        <v>1</v>
      </c>
      <c r="Q425">
        <v>4</v>
      </c>
      <c r="R425">
        <v>1</v>
      </c>
      <c r="S425">
        <v>0.2</v>
      </c>
      <c r="T425" t="s">
        <v>60</v>
      </c>
      <c r="U425" t="s">
        <v>61</v>
      </c>
      <c r="V425" t="s">
        <v>62</v>
      </c>
      <c r="W425" t="s">
        <v>62</v>
      </c>
      <c r="X425">
        <v>0</v>
      </c>
      <c r="Y425">
        <v>0</v>
      </c>
      <c r="Z425">
        <v>3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1</v>
      </c>
      <c r="AK425">
        <v>0</v>
      </c>
      <c r="AL425">
        <v>5</v>
      </c>
      <c r="AM425">
        <v>2</v>
      </c>
      <c r="AN425">
        <v>10</v>
      </c>
      <c r="AO425">
        <v>1</v>
      </c>
      <c r="AP425">
        <v>22</v>
      </c>
      <c r="AQ425">
        <v>2</v>
      </c>
      <c r="AR425" t="s">
        <v>5714</v>
      </c>
      <c r="AS425" t="s">
        <v>5715</v>
      </c>
      <c r="AT425">
        <v>7.0000000000000007E-2</v>
      </c>
      <c r="AU425" t="s">
        <v>65</v>
      </c>
      <c r="AV425">
        <v>32</v>
      </c>
      <c r="AW425">
        <v>3</v>
      </c>
      <c r="AX425" t="s">
        <v>5716</v>
      </c>
      <c r="AY425" t="s">
        <v>5717</v>
      </c>
      <c r="AZ425" t="s">
        <v>5718</v>
      </c>
      <c r="BA425">
        <v>2.402E-2</v>
      </c>
      <c r="BB425">
        <v>1</v>
      </c>
      <c r="BC425" t="s">
        <v>69</v>
      </c>
      <c r="BD425">
        <v>0.89300000000000002</v>
      </c>
      <c r="BE425">
        <v>0.89300000000000002</v>
      </c>
    </row>
    <row r="426" spans="1:57">
      <c r="A426">
        <v>0</v>
      </c>
      <c r="B426">
        <v>0</v>
      </c>
      <c r="C426">
        <v>2</v>
      </c>
      <c r="D426">
        <v>4252</v>
      </c>
      <c r="E426" t="s">
        <v>5719</v>
      </c>
      <c r="F426" t="s">
        <v>5762</v>
      </c>
      <c r="G426" t="s">
        <v>62</v>
      </c>
      <c r="H426">
        <v>4208873</v>
      </c>
      <c r="I426">
        <v>4209589</v>
      </c>
      <c r="J426" t="s">
        <v>5720</v>
      </c>
      <c r="K426">
        <v>239</v>
      </c>
      <c r="L426" t="s">
        <v>59</v>
      </c>
      <c r="M426">
        <v>5</v>
      </c>
      <c r="N426" t="str">
        <f>HYPERLINK("Gene4252-zp_tree_all.dnd", "Gene4252-tree")</f>
        <v>Gene4252-tree</v>
      </c>
      <c r="O426">
        <v>3</v>
      </c>
      <c r="P426">
        <v>2</v>
      </c>
      <c r="Q426">
        <v>3</v>
      </c>
      <c r="R426">
        <v>2</v>
      </c>
      <c r="S426">
        <v>0.4</v>
      </c>
      <c r="T426" t="s">
        <v>84</v>
      </c>
      <c r="U426" t="s">
        <v>135</v>
      </c>
      <c r="V426" t="s">
        <v>62</v>
      </c>
      <c r="W426" t="s">
        <v>62</v>
      </c>
      <c r="X426">
        <v>1</v>
      </c>
      <c r="Y426">
        <v>2</v>
      </c>
      <c r="Z426">
        <v>4</v>
      </c>
      <c r="AA426">
        <v>0.33333000000000002</v>
      </c>
      <c r="AB426">
        <v>0</v>
      </c>
      <c r="AC426">
        <v>0</v>
      </c>
      <c r="AD426">
        <v>0</v>
      </c>
      <c r="AE426">
        <v>1</v>
      </c>
      <c r="AF426">
        <v>0</v>
      </c>
      <c r="AG426">
        <v>0</v>
      </c>
      <c r="AH426">
        <v>0</v>
      </c>
      <c r="AI426">
        <v>0</v>
      </c>
      <c r="AJ426">
        <v>3</v>
      </c>
      <c r="AK426">
        <v>0</v>
      </c>
      <c r="AL426">
        <v>5</v>
      </c>
      <c r="AM426">
        <v>2</v>
      </c>
      <c r="AN426">
        <v>24</v>
      </c>
      <c r="AO426">
        <v>3</v>
      </c>
      <c r="AP426">
        <v>25</v>
      </c>
      <c r="AQ426">
        <v>4</v>
      </c>
      <c r="AR426" t="s">
        <v>5721</v>
      </c>
      <c r="AS426" t="s">
        <v>5722</v>
      </c>
      <c r="AT426">
        <v>0.20599999999999999</v>
      </c>
      <c r="AU426" t="s">
        <v>65</v>
      </c>
      <c r="AV426">
        <v>49</v>
      </c>
      <c r="AW426">
        <v>7</v>
      </c>
      <c r="AX426" t="s">
        <v>5723</v>
      </c>
      <c r="AY426" t="s">
        <v>5724</v>
      </c>
      <c r="AZ426" t="s">
        <v>5725</v>
      </c>
      <c r="BA426">
        <v>3.7789999999999997E-2</v>
      </c>
      <c r="BB426">
        <v>1</v>
      </c>
      <c r="BC426" t="s">
        <v>69</v>
      </c>
      <c r="BD426">
        <v>0.61199999999999999</v>
      </c>
      <c r="BE426">
        <v>0.46300000000000002</v>
      </c>
    </row>
    <row r="427" spans="1:57">
      <c r="A427">
        <v>0</v>
      </c>
      <c r="B427">
        <v>0</v>
      </c>
      <c r="C427">
        <v>0</v>
      </c>
      <c r="D427">
        <v>4253</v>
      </c>
      <c r="E427" t="s">
        <v>5726</v>
      </c>
      <c r="F427" t="s">
        <v>5762</v>
      </c>
      <c r="G427" t="s">
        <v>62</v>
      </c>
      <c r="H427">
        <v>4209606</v>
      </c>
      <c r="I427">
        <v>4211489</v>
      </c>
      <c r="J427" t="s">
        <v>5727</v>
      </c>
      <c r="K427">
        <v>628</v>
      </c>
      <c r="L427" t="s">
        <v>59</v>
      </c>
      <c r="M427">
        <v>5</v>
      </c>
      <c r="N427" t="str">
        <f>HYPERLINK("Gene4253-zp_tree_all.dnd", "Gene4253-tree")</f>
        <v>Gene4253-tree</v>
      </c>
      <c r="O427">
        <v>3</v>
      </c>
      <c r="P427">
        <v>2</v>
      </c>
      <c r="Q427">
        <v>3</v>
      </c>
      <c r="R427">
        <v>2</v>
      </c>
      <c r="S427">
        <v>0.4</v>
      </c>
      <c r="T427" t="s">
        <v>84</v>
      </c>
      <c r="U427" t="s">
        <v>135</v>
      </c>
      <c r="V427" t="s">
        <v>62</v>
      </c>
      <c r="W427" t="s">
        <v>62</v>
      </c>
      <c r="X427">
        <v>0</v>
      </c>
      <c r="Y427">
        <v>0</v>
      </c>
      <c r="Z427">
        <v>4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4</v>
      </c>
      <c r="AK427">
        <v>0</v>
      </c>
      <c r="AL427">
        <v>5</v>
      </c>
      <c r="AM427">
        <v>2</v>
      </c>
      <c r="AN427">
        <v>61</v>
      </c>
      <c r="AO427">
        <v>4</v>
      </c>
      <c r="AP427">
        <v>57</v>
      </c>
      <c r="AQ427">
        <v>0</v>
      </c>
      <c r="AR427" t="s">
        <v>5728</v>
      </c>
      <c r="AS427" t="s">
        <v>64</v>
      </c>
      <c r="AT427">
        <v>0.90600000000000003</v>
      </c>
      <c r="AU427" t="s">
        <v>65</v>
      </c>
      <c r="AV427">
        <v>118</v>
      </c>
      <c r="AW427">
        <v>4</v>
      </c>
      <c r="AX427" t="s">
        <v>5729</v>
      </c>
      <c r="AY427" t="s">
        <v>5730</v>
      </c>
      <c r="AZ427" t="s">
        <v>5731</v>
      </c>
      <c r="BA427">
        <v>9.8799999999999999E-3</v>
      </c>
      <c r="BB427">
        <v>1</v>
      </c>
      <c r="BC427" t="s">
        <v>69</v>
      </c>
      <c r="BD427">
        <v>0.54700000000000004</v>
      </c>
      <c r="BE427">
        <v>0.115</v>
      </c>
    </row>
    <row r="428" spans="1:57">
      <c r="A428">
        <v>0</v>
      </c>
      <c r="B428">
        <v>0</v>
      </c>
      <c r="C428">
        <v>0</v>
      </c>
      <c r="D428">
        <v>4254</v>
      </c>
      <c r="E428" t="s">
        <v>5732</v>
      </c>
      <c r="F428" t="s">
        <v>5762</v>
      </c>
      <c r="G428" t="s">
        <v>62</v>
      </c>
      <c r="H428">
        <v>4211513</v>
      </c>
      <c r="I428">
        <v>4212889</v>
      </c>
      <c r="J428" t="s">
        <v>5733</v>
      </c>
      <c r="K428">
        <v>459</v>
      </c>
      <c r="L428" t="s">
        <v>59</v>
      </c>
      <c r="M428">
        <v>5</v>
      </c>
      <c r="N428" t="str">
        <f>HYPERLINK("Gene4254-zp_tree_all.dnd", "Gene4254-tree")</f>
        <v>Gene4254-tree</v>
      </c>
      <c r="O428">
        <v>3</v>
      </c>
      <c r="P428">
        <v>2</v>
      </c>
      <c r="Q428">
        <v>3</v>
      </c>
      <c r="R428">
        <v>2</v>
      </c>
      <c r="S428">
        <v>0.4</v>
      </c>
      <c r="T428" t="s">
        <v>84</v>
      </c>
      <c r="U428" t="s">
        <v>135</v>
      </c>
      <c r="V428" t="s">
        <v>62</v>
      </c>
      <c r="W428" t="s">
        <v>62</v>
      </c>
      <c r="X428">
        <v>0</v>
      </c>
      <c r="Y428">
        <v>0</v>
      </c>
      <c r="Z428">
        <v>7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4</v>
      </c>
      <c r="AK428">
        <v>0</v>
      </c>
      <c r="AL428">
        <v>5</v>
      </c>
      <c r="AM428">
        <v>2</v>
      </c>
      <c r="AN428">
        <v>40</v>
      </c>
      <c r="AO428">
        <v>4</v>
      </c>
      <c r="AP428">
        <v>44</v>
      </c>
      <c r="AQ428">
        <v>3</v>
      </c>
      <c r="AR428" t="s">
        <v>5734</v>
      </c>
      <c r="AS428" t="s">
        <v>5735</v>
      </c>
      <c r="AT428">
        <v>0.27900000000000003</v>
      </c>
      <c r="AU428" t="s">
        <v>65</v>
      </c>
      <c r="AV428">
        <v>84</v>
      </c>
      <c r="AW428">
        <v>7</v>
      </c>
      <c r="AX428" t="s">
        <v>5736</v>
      </c>
      <c r="AY428" t="s">
        <v>5737</v>
      </c>
      <c r="AZ428" t="s">
        <v>5738</v>
      </c>
      <c r="BA428">
        <v>2.4109999999999999E-2</v>
      </c>
      <c r="BB428">
        <v>1</v>
      </c>
      <c r="BC428" t="s">
        <v>69</v>
      </c>
      <c r="BD428">
        <v>0.93600000000000005</v>
      </c>
      <c r="BE428">
        <v>0.29599999999999999</v>
      </c>
    </row>
    <row r="429" spans="1:57">
      <c r="A429">
        <v>0</v>
      </c>
      <c r="B429">
        <v>2</v>
      </c>
      <c r="C429">
        <v>0</v>
      </c>
      <c r="D429">
        <v>4256</v>
      </c>
      <c r="E429" t="s">
        <v>5739</v>
      </c>
      <c r="F429" t="s">
        <v>5762</v>
      </c>
      <c r="G429" t="s">
        <v>62</v>
      </c>
      <c r="H429">
        <v>4213826</v>
      </c>
      <c r="I429">
        <v>4214608</v>
      </c>
      <c r="J429" t="s">
        <v>5740</v>
      </c>
      <c r="K429">
        <v>261</v>
      </c>
      <c r="L429" t="s">
        <v>59</v>
      </c>
      <c r="M429">
        <v>5</v>
      </c>
      <c r="N429" t="str">
        <f>HYPERLINK("Gene4256-zp_tree_all.dnd", "Gene4256-tree")</f>
        <v>Gene4256-tree</v>
      </c>
      <c r="O429">
        <v>4</v>
      </c>
      <c r="P429">
        <v>1</v>
      </c>
      <c r="Q429">
        <v>4</v>
      </c>
      <c r="R429">
        <v>1</v>
      </c>
      <c r="S429">
        <v>0.2</v>
      </c>
      <c r="T429" t="s">
        <v>60</v>
      </c>
      <c r="U429" t="s">
        <v>61</v>
      </c>
      <c r="V429" t="s">
        <v>62</v>
      </c>
      <c r="W429" t="s">
        <v>62</v>
      </c>
      <c r="X429">
        <v>1</v>
      </c>
      <c r="Y429">
        <v>2</v>
      </c>
      <c r="Z429">
        <v>2</v>
      </c>
      <c r="AA429">
        <v>0.5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2</v>
      </c>
      <c r="AK429">
        <v>0</v>
      </c>
      <c r="AL429">
        <v>5</v>
      </c>
      <c r="AM429">
        <v>2</v>
      </c>
      <c r="AN429">
        <v>13</v>
      </c>
      <c r="AO429">
        <v>2</v>
      </c>
      <c r="AP429">
        <v>16</v>
      </c>
      <c r="AQ429">
        <v>2</v>
      </c>
      <c r="AR429" t="s">
        <v>5741</v>
      </c>
      <c r="AS429" t="s">
        <v>5742</v>
      </c>
      <c r="AT429">
        <v>0.111</v>
      </c>
      <c r="AU429" t="s">
        <v>65</v>
      </c>
      <c r="AV429">
        <v>29</v>
      </c>
      <c r="AW429">
        <v>4</v>
      </c>
      <c r="AX429" t="s">
        <v>5743</v>
      </c>
      <c r="AY429" t="s">
        <v>5744</v>
      </c>
      <c r="AZ429" t="s">
        <v>5745</v>
      </c>
      <c r="BA429">
        <v>2.7179999999999999E-2</v>
      </c>
      <c r="BB429">
        <v>1</v>
      </c>
      <c r="BC429" t="s">
        <v>69</v>
      </c>
      <c r="BD429">
        <v>0.50700000000000001</v>
      </c>
      <c r="BE429">
        <v>0.50700000000000001</v>
      </c>
    </row>
    <row r="430" spans="1:57">
      <c r="A430">
        <v>0</v>
      </c>
      <c r="B430">
        <v>0</v>
      </c>
      <c r="C430">
        <v>0</v>
      </c>
      <c r="D430">
        <v>4257</v>
      </c>
      <c r="E430" t="s">
        <v>5746</v>
      </c>
      <c r="F430" t="s">
        <v>5762</v>
      </c>
      <c r="G430" t="s">
        <v>62</v>
      </c>
      <c r="H430">
        <v>4214756</v>
      </c>
      <c r="I430">
        <v>4215103</v>
      </c>
      <c r="J430" t="s">
        <v>5747</v>
      </c>
      <c r="K430">
        <v>116</v>
      </c>
      <c r="L430" t="s">
        <v>59</v>
      </c>
      <c r="M430">
        <v>5</v>
      </c>
      <c r="N430" t="str">
        <f>HYPERLINK("Gene4257-zp_tree_all.dnd", "Gene4257-tree")</f>
        <v>Gene4257-tree</v>
      </c>
      <c r="O430">
        <v>3</v>
      </c>
      <c r="P430">
        <v>2</v>
      </c>
      <c r="Q430">
        <v>2</v>
      </c>
      <c r="R430">
        <v>2</v>
      </c>
      <c r="S430">
        <v>0.5</v>
      </c>
      <c r="T430" t="s">
        <v>217</v>
      </c>
      <c r="U430" t="s">
        <v>135</v>
      </c>
      <c r="V430" t="s">
        <v>62</v>
      </c>
      <c r="W430" t="s">
        <v>62</v>
      </c>
      <c r="X430">
        <v>0</v>
      </c>
      <c r="Y430">
        <v>0</v>
      </c>
      <c r="Z430">
        <v>2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2</v>
      </c>
      <c r="AK430">
        <v>0</v>
      </c>
      <c r="AL430">
        <v>3</v>
      </c>
      <c r="AM430">
        <v>1</v>
      </c>
      <c r="AN430">
        <v>3</v>
      </c>
      <c r="AO430">
        <v>2</v>
      </c>
      <c r="AP430">
        <v>10</v>
      </c>
      <c r="AQ430">
        <v>0</v>
      </c>
      <c r="AR430" t="s">
        <v>5748</v>
      </c>
      <c r="AS430" t="s">
        <v>64</v>
      </c>
      <c r="AT430">
        <v>1.48</v>
      </c>
      <c r="AU430" t="s">
        <v>65</v>
      </c>
      <c r="AV430">
        <v>13</v>
      </c>
      <c r="AW430">
        <v>2</v>
      </c>
      <c r="AX430" t="s">
        <v>5749</v>
      </c>
      <c r="AY430" t="s">
        <v>5750</v>
      </c>
      <c r="AZ430" t="s">
        <v>5751</v>
      </c>
      <c r="BA430">
        <v>3.227E-2</v>
      </c>
      <c r="BB430">
        <v>1</v>
      </c>
      <c r="BC430" t="s">
        <v>69</v>
      </c>
      <c r="BD430">
        <v>1.171</v>
      </c>
      <c r="BE430">
        <v>0.73799999999999999</v>
      </c>
    </row>
    <row r="431" spans="1:57">
      <c r="A431">
        <v>0</v>
      </c>
      <c r="B431">
        <v>0</v>
      </c>
      <c r="C431">
        <v>0</v>
      </c>
      <c r="D431">
        <v>4258</v>
      </c>
      <c r="E431" t="s">
        <v>5752</v>
      </c>
      <c r="F431" t="s">
        <v>5762</v>
      </c>
      <c r="G431" t="s">
        <v>62</v>
      </c>
      <c r="H431">
        <v>4215258</v>
      </c>
      <c r="I431">
        <v>4215389</v>
      </c>
      <c r="J431" t="s">
        <v>5753</v>
      </c>
      <c r="K431">
        <v>44</v>
      </c>
      <c r="L431" t="s">
        <v>59</v>
      </c>
      <c r="M431">
        <v>5</v>
      </c>
      <c r="N431" t="str">
        <f>HYPERLINK("Gene4258-zp_tree_all.dnd", "Gene4258-tree")</f>
        <v>Gene4258-tree</v>
      </c>
    </row>
    <row r="432" spans="1:57">
      <c r="A432">
        <v>0</v>
      </c>
      <c r="B432">
        <v>0</v>
      </c>
      <c r="C432">
        <v>0</v>
      </c>
      <c r="D432">
        <v>1</v>
      </c>
      <c r="E432" t="s">
        <v>56</v>
      </c>
      <c r="F432" t="s">
        <v>5762</v>
      </c>
      <c r="G432" t="s">
        <v>57</v>
      </c>
      <c r="H432">
        <v>410</v>
      </c>
      <c r="I432">
        <v>1747</v>
      </c>
      <c r="J432" t="s">
        <v>58</v>
      </c>
      <c r="K432">
        <v>446</v>
      </c>
      <c r="L432" t="s">
        <v>59</v>
      </c>
      <c r="M432">
        <v>5</v>
      </c>
      <c r="N432" t="str">
        <f>HYPERLINK("Gene1-zp_tree_all.dnd", "Gene1-tree")</f>
        <v>Gene1-tree</v>
      </c>
      <c r="O432">
        <v>4</v>
      </c>
      <c r="P432">
        <v>1</v>
      </c>
      <c r="Q432">
        <v>4</v>
      </c>
      <c r="R432">
        <v>1</v>
      </c>
      <c r="S432">
        <v>0.2</v>
      </c>
      <c r="T432" t="s">
        <v>60</v>
      </c>
      <c r="U432" t="s">
        <v>61</v>
      </c>
      <c r="V432" t="s">
        <v>62</v>
      </c>
      <c r="W432" t="s">
        <v>62</v>
      </c>
      <c r="X432">
        <v>0</v>
      </c>
      <c r="Y432">
        <v>0</v>
      </c>
      <c r="Z432">
        <v>1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1</v>
      </c>
      <c r="AK432">
        <v>0</v>
      </c>
      <c r="AL432">
        <v>5</v>
      </c>
      <c r="AM432">
        <v>2</v>
      </c>
      <c r="AN432">
        <v>33</v>
      </c>
      <c r="AO432">
        <v>1</v>
      </c>
      <c r="AP432">
        <v>30</v>
      </c>
      <c r="AQ432">
        <v>0</v>
      </c>
      <c r="AR432" t="s">
        <v>63</v>
      </c>
      <c r="AS432" t="s">
        <v>64</v>
      </c>
      <c r="AT432">
        <v>0.46300000000000002</v>
      </c>
      <c r="AU432" t="s">
        <v>65</v>
      </c>
      <c r="AV432">
        <v>63</v>
      </c>
      <c r="AW432">
        <v>1</v>
      </c>
      <c r="AX432" t="s">
        <v>66</v>
      </c>
      <c r="AY432" t="s">
        <v>67</v>
      </c>
      <c r="AZ432" t="s">
        <v>68</v>
      </c>
      <c r="BA432">
        <v>6.0099999999999997E-3</v>
      </c>
      <c r="BB432">
        <v>1</v>
      </c>
      <c r="BC432" t="s">
        <v>69</v>
      </c>
      <c r="BD432">
        <v>0.39400000000000002</v>
      </c>
      <c r="BE432">
        <v>0.26300000000000001</v>
      </c>
    </row>
    <row r="433" spans="1:57">
      <c r="A433">
        <v>0</v>
      </c>
      <c r="B433">
        <v>0</v>
      </c>
      <c r="C433">
        <v>0</v>
      </c>
      <c r="D433">
        <v>3</v>
      </c>
      <c r="E433" t="s">
        <v>70</v>
      </c>
      <c r="F433" t="s">
        <v>5762</v>
      </c>
      <c r="G433" t="s">
        <v>57</v>
      </c>
      <c r="H433">
        <v>3206</v>
      </c>
      <c r="I433">
        <v>3418</v>
      </c>
      <c r="J433" t="s">
        <v>71</v>
      </c>
      <c r="K433">
        <v>71</v>
      </c>
      <c r="L433" t="s">
        <v>59</v>
      </c>
      <c r="M433">
        <v>5</v>
      </c>
      <c r="N433" t="str">
        <f>HYPERLINK("Gene3-zp_tree_all.dnd", "Gene3-tree")</f>
        <v>Gene3-tree</v>
      </c>
    </row>
    <row r="434" spans="1:57">
      <c r="A434">
        <v>0</v>
      </c>
      <c r="B434">
        <v>0</v>
      </c>
      <c r="C434">
        <v>0</v>
      </c>
      <c r="D434">
        <v>4</v>
      </c>
      <c r="E434" t="s">
        <v>72</v>
      </c>
      <c r="F434" t="s">
        <v>5762</v>
      </c>
      <c r="G434" t="s">
        <v>57</v>
      </c>
      <c r="H434">
        <v>3437</v>
      </c>
      <c r="I434">
        <v>4546</v>
      </c>
      <c r="J434" t="s">
        <v>73</v>
      </c>
      <c r="K434">
        <v>370</v>
      </c>
      <c r="L434" t="s">
        <v>59</v>
      </c>
      <c r="M434">
        <v>5</v>
      </c>
      <c r="N434" t="str">
        <f>HYPERLINK("Gene4-zp_tree_all.dnd", "Gene4-tree")</f>
        <v>Gene4-tree</v>
      </c>
      <c r="O434">
        <v>1</v>
      </c>
      <c r="P434">
        <v>4</v>
      </c>
      <c r="Q434">
        <v>1</v>
      </c>
      <c r="R434">
        <v>4</v>
      </c>
      <c r="S434">
        <v>0.8</v>
      </c>
      <c r="T434" t="s">
        <v>61</v>
      </c>
      <c r="U434" t="s">
        <v>60</v>
      </c>
      <c r="V434" t="s">
        <v>62</v>
      </c>
      <c r="W434" t="s">
        <v>62</v>
      </c>
      <c r="X434">
        <v>0</v>
      </c>
      <c r="Y434">
        <v>0</v>
      </c>
      <c r="Z434">
        <v>5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3</v>
      </c>
      <c r="AK434">
        <v>0</v>
      </c>
      <c r="AL434">
        <v>4</v>
      </c>
      <c r="AM434">
        <v>1</v>
      </c>
      <c r="AN434">
        <v>14</v>
      </c>
      <c r="AO434">
        <v>3</v>
      </c>
      <c r="AP434">
        <v>31</v>
      </c>
      <c r="AQ434">
        <v>3</v>
      </c>
      <c r="AR434" t="s">
        <v>74</v>
      </c>
      <c r="AS434" t="s">
        <v>75</v>
      </c>
      <c r="AT434">
        <v>1.367</v>
      </c>
      <c r="AU434" t="s">
        <v>65</v>
      </c>
      <c r="AV434">
        <v>45</v>
      </c>
      <c r="AW434">
        <v>6</v>
      </c>
      <c r="AX434" t="s">
        <v>76</v>
      </c>
      <c r="AY434" t="s">
        <v>77</v>
      </c>
      <c r="AZ434" t="s">
        <v>78</v>
      </c>
      <c r="BA434">
        <v>3.3700000000000001E-2</v>
      </c>
      <c r="BB434">
        <v>1</v>
      </c>
      <c r="BC434" t="s">
        <v>69</v>
      </c>
      <c r="BD434">
        <v>0.94299999999999995</v>
      </c>
      <c r="BE434">
        <v>0.81799999999999995</v>
      </c>
    </row>
    <row r="435" spans="1:57">
      <c r="A435">
        <v>0</v>
      </c>
      <c r="B435">
        <v>0</v>
      </c>
      <c r="C435">
        <v>0</v>
      </c>
      <c r="D435">
        <v>5</v>
      </c>
      <c r="E435" t="s">
        <v>79</v>
      </c>
      <c r="F435" t="s">
        <v>5762</v>
      </c>
      <c r="G435" t="s">
        <v>57</v>
      </c>
      <c r="H435">
        <v>4567</v>
      </c>
      <c r="I435">
        <v>4809</v>
      </c>
      <c r="J435" t="s">
        <v>80</v>
      </c>
      <c r="K435">
        <v>81</v>
      </c>
      <c r="L435" t="s">
        <v>59</v>
      </c>
      <c r="M435">
        <v>5</v>
      </c>
      <c r="N435" t="str">
        <f>HYPERLINK("Gene5-zp_tree_all.dnd", "Gene5-tree")</f>
        <v>Gene5-tree</v>
      </c>
    </row>
    <row r="436" spans="1:57">
      <c r="A436">
        <v>0</v>
      </c>
      <c r="B436">
        <v>0</v>
      </c>
      <c r="C436">
        <v>0</v>
      </c>
      <c r="D436">
        <v>6</v>
      </c>
      <c r="E436" t="s">
        <v>81</v>
      </c>
      <c r="F436" t="s">
        <v>5762</v>
      </c>
      <c r="G436" t="s">
        <v>57</v>
      </c>
      <c r="H436">
        <v>4867</v>
      </c>
      <c r="I436">
        <v>6780</v>
      </c>
      <c r="J436" t="s">
        <v>82</v>
      </c>
      <c r="K436">
        <v>638</v>
      </c>
      <c r="L436" t="s">
        <v>83</v>
      </c>
      <c r="M436">
        <v>4</v>
      </c>
      <c r="N436" t="str">
        <f>HYPERLINK("Gene6-zp_tree_all.dnd", "Gene6-tree")</f>
        <v>Gene6-tree</v>
      </c>
      <c r="O436">
        <v>3</v>
      </c>
      <c r="P436">
        <v>1</v>
      </c>
      <c r="Q436">
        <v>3</v>
      </c>
      <c r="R436">
        <v>1</v>
      </c>
      <c r="S436">
        <v>0.25</v>
      </c>
      <c r="T436" t="s">
        <v>84</v>
      </c>
      <c r="U436" t="s">
        <v>61</v>
      </c>
      <c r="V436" t="s">
        <v>62</v>
      </c>
      <c r="W436" t="s">
        <v>62</v>
      </c>
      <c r="X436">
        <v>0</v>
      </c>
      <c r="Y436">
        <v>0</v>
      </c>
      <c r="Z436">
        <v>5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4</v>
      </c>
      <c r="AK436">
        <v>0</v>
      </c>
      <c r="AL436">
        <v>4</v>
      </c>
      <c r="AM436">
        <v>1</v>
      </c>
      <c r="AN436">
        <v>103</v>
      </c>
      <c r="AO436">
        <v>4</v>
      </c>
      <c r="AP436">
        <v>4</v>
      </c>
      <c r="AQ436">
        <v>1</v>
      </c>
      <c r="AR436" t="s">
        <v>85</v>
      </c>
      <c r="AS436" t="s">
        <v>86</v>
      </c>
      <c r="AT436">
        <v>2.7349999999999999</v>
      </c>
      <c r="AU436" t="s">
        <v>65</v>
      </c>
      <c r="AV436">
        <v>107</v>
      </c>
      <c r="AW436">
        <v>5</v>
      </c>
      <c r="AX436" t="s">
        <v>87</v>
      </c>
      <c r="AY436" t="s">
        <v>88</v>
      </c>
      <c r="AZ436" t="s">
        <v>89</v>
      </c>
      <c r="BA436">
        <v>1.417E-2</v>
      </c>
      <c r="BB436">
        <v>1</v>
      </c>
      <c r="BC436" t="s">
        <v>69</v>
      </c>
      <c r="BD436">
        <v>-0.63700000000000001</v>
      </c>
      <c r="BE436">
        <v>-0.63700000000000001</v>
      </c>
    </row>
    <row r="437" spans="1:57">
      <c r="A437">
        <v>0</v>
      </c>
      <c r="B437">
        <v>0</v>
      </c>
      <c r="C437">
        <v>0</v>
      </c>
      <c r="D437">
        <v>9</v>
      </c>
      <c r="E437" t="s">
        <v>90</v>
      </c>
      <c r="F437" t="s">
        <v>5762</v>
      </c>
      <c r="G437" t="s">
        <v>57</v>
      </c>
      <c r="H437">
        <v>15915</v>
      </c>
      <c r="I437">
        <v>17378</v>
      </c>
      <c r="J437" t="s">
        <v>91</v>
      </c>
      <c r="K437">
        <v>488</v>
      </c>
      <c r="L437" t="s">
        <v>83</v>
      </c>
      <c r="M437">
        <v>4</v>
      </c>
      <c r="N437" t="str">
        <f>HYPERLINK("Gene9-zp_tree_all.dnd", "Gene9-tree")</f>
        <v>Gene9-tree</v>
      </c>
      <c r="O437">
        <v>3</v>
      </c>
      <c r="P437">
        <v>1</v>
      </c>
      <c r="Q437">
        <v>3</v>
      </c>
      <c r="R437">
        <v>1</v>
      </c>
      <c r="S437">
        <v>0.25</v>
      </c>
      <c r="T437" t="s">
        <v>84</v>
      </c>
      <c r="U437" t="s">
        <v>61</v>
      </c>
      <c r="V437" t="s">
        <v>62</v>
      </c>
      <c r="W437" t="s">
        <v>62</v>
      </c>
      <c r="X437">
        <v>0</v>
      </c>
      <c r="Y437">
        <v>0</v>
      </c>
      <c r="Z437">
        <v>4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4</v>
      </c>
      <c r="AK437">
        <v>0</v>
      </c>
      <c r="AL437">
        <v>4</v>
      </c>
      <c r="AM437">
        <v>1</v>
      </c>
      <c r="AN437">
        <v>69</v>
      </c>
      <c r="AO437">
        <v>4</v>
      </c>
      <c r="AP437">
        <v>5</v>
      </c>
      <c r="AQ437">
        <v>0</v>
      </c>
      <c r="AR437" t="s">
        <v>92</v>
      </c>
      <c r="AS437" t="s">
        <v>64</v>
      </c>
      <c r="AT437">
        <v>0.41099999999999998</v>
      </c>
      <c r="AU437" t="s">
        <v>65</v>
      </c>
      <c r="AV437">
        <v>74</v>
      </c>
      <c r="AW437">
        <v>4</v>
      </c>
      <c r="AX437" t="s">
        <v>93</v>
      </c>
      <c r="AY437" t="s">
        <v>94</v>
      </c>
      <c r="AZ437" t="s">
        <v>95</v>
      </c>
      <c r="BA437">
        <v>1.478E-2</v>
      </c>
      <c r="BB437">
        <v>1</v>
      </c>
      <c r="BC437" t="s">
        <v>69</v>
      </c>
      <c r="BD437">
        <v>-0.57599999999999996</v>
      </c>
      <c r="BE437">
        <v>-0.57599999999999996</v>
      </c>
    </row>
    <row r="438" spans="1:57">
      <c r="A438">
        <v>0</v>
      </c>
      <c r="B438">
        <v>2</v>
      </c>
      <c r="C438">
        <v>0</v>
      </c>
      <c r="D438">
        <v>10</v>
      </c>
      <c r="E438" t="s">
        <v>96</v>
      </c>
      <c r="F438" t="s">
        <v>5762</v>
      </c>
      <c r="G438" t="s">
        <v>57</v>
      </c>
      <c r="H438">
        <v>17534</v>
      </c>
      <c r="I438">
        <v>18862</v>
      </c>
      <c r="J438" t="s">
        <v>97</v>
      </c>
      <c r="K438">
        <v>443</v>
      </c>
      <c r="L438" t="s">
        <v>59</v>
      </c>
      <c r="M438">
        <v>5</v>
      </c>
      <c r="N438" t="str">
        <f>HYPERLINK("Gene10-zp_tree_all.dnd", "Gene10-tree")</f>
        <v>Gene10-tree</v>
      </c>
      <c r="O438">
        <v>0</v>
      </c>
      <c r="P438">
        <v>5</v>
      </c>
      <c r="Q438">
        <v>0</v>
      </c>
      <c r="R438">
        <v>5</v>
      </c>
      <c r="S438">
        <v>1</v>
      </c>
      <c r="T438" t="s">
        <v>62</v>
      </c>
      <c r="U438" t="s">
        <v>98</v>
      </c>
      <c r="V438" t="s">
        <v>62</v>
      </c>
      <c r="W438" t="s">
        <v>62</v>
      </c>
      <c r="X438">
        <v>1</v>
      </c>
      <c r="Y438">
        <v>2</v>
      </c>
      <c r="Z438">
        <v>13</v>
      </c>
      <c r="AA438">
        <v>0.13333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2</v>
      </c>
      <c r="AH438">
        <v>0</v>
      </c>
      <c r="AI438">
        <v>2</v>
      </c>
      <c r="AJ438">
        <v>7</v>
      </c>
      <c r="AK438">
        <v>0.22222</v>
      </c>
      <c r="AL438">
        <v>5</v>
      </c>
      <c r="AM438">
        <v>2</v>
      </c>
      <c r="AN438">
        <v>26</v>
      </c>
      <c r="AO438">
        <v>9</v>
      </c>
      <c r="AP438">
        <v>35</v>
      </c>
      <c r="AQ438">
        <v>6</v>
      </c>
      <c r="AR438" t="s">
        <v>99</v>
      </c>
      <c r="AS438" t="s">
        <v>100</v>
      </c>
      <c r="AT438">
        <v>0.76600000000000001</v>
      </c>
      <c r="AU438" t="s">
        <v>65</v>
      </c>
      <c r="AV438">
        <v>61</v>
      </c>
      <c r="AW438">
        <v>15</v>
      </c>
      <c r="AX438" t="s">
        <v>101</v>
      </c>
      <c r="AY438" t="s">
        <v>102</v>
      </c>
      <c r="AZ438" t="s">
        <v>103</v>
      </c>
      <c r="BA438">
        <v>5.9339999999999997E-2</v>
      </c>
      <c r="BB438">
        <v>1</v>
      </c>
      <c r="BC438" t="s">
        <v>69</v>
      </c>
      <c r="BD438">
        <v>0.61899999999999999</v>
      </c>
      <c r="BE438">
        <v>0.51100000000000001</v>
      </c>
    </row>
    <row r="439" spans="1:57">
      <c r="A439">
        <v>0</v>
      </c>
      <c r="B439">
        <v>0</v>
      </c>
      <c r="C439">
        <v>0</v>
      </c>
      <c r="D439">
        <v>11</v>
      </c>
      <c r="E439" t="s">
        <v>104</v>
      </c>
      <c r="F439" t="s">
        <v>5762</v>
      </c>
      <c r="G439" t="s">
        <v>57</v>
      </c>
      <c r="H439">
        <v>19062</v>
      </c>
      <c r="I439">
        <v>19943</v>
      </c>
      <c r="J439" t="s">
        <v>105</v>
      </c>
      <c r="K439">
        <v>294</v>
      </c>
      <c r="L439" t="s">
        <v>59</v>
      </c>
      <c r="M439">
        <v>5</v>
      </c>
      <c r="N439" t="str">
        <f>HYPERLINK("Gene11-zp_tree_all.dnd", "Gene11-tree")</f>
        <v>Gene11-tree</v>
      </c>
      <c r="O439">
        <v>5</v>
      </c>
      <c r="P439">
        <v>0</v>
      </c>
      <c r="Q439">
        <v>5</v>
      </c>
      <c r="R439">
        <v>0</v>
      </c>
      <c r="S439">
        <v>0</v>
      </c>
      <c r="T439" t="s">
        <v>98</v>
      </c>
      <c r="U439" t="s">
        <v>62</v>
      </c>
      <c r="V439" t="s">
        <v>62</v>
      </c>
      <c r="W439" t="s">
        <v>62</v>
      </c>
      <c r="X439">
        <v>0</v>
      </c>
      <c r="Y439">
        <v>0</v>
      </c>
      <c r="Z439">
        <v>1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5</v>
      </c>
      <c r="AM439">
        <v>2</v>
      </c>
      <c r="AN439">
        <v>19</v>
      </c>
      <c r="AO439">
        <v>0</v>
      </c>
      <c r="AP439">
        <v>26</v>
      </c>
      <c r="AQ439">
        <v>1</v>
      </c>
      <c r="AR439" t="s">
        <v>64</v>
      </c>
      <c r="AS439" t="s">
        <v>106</v>
      </c>
      <c r="AT439">
        <v>0.75900000000000001</v>
      </c>
      <c r="AU439" t="s">
        <v>65</v>
      </c>
      <c r="AV439">
        <v>45</v>
      </c>
      <c r="AW439">
        <v>1</v>
      </c>
      <c r="AX439" t="s">
        <v>107</v>
      </c>
      <c r="AY439" t="s">
        <v>108</v>
      </c>
      <c r="AZ439" t="s">
        <v>109</v>
      </c>
      <c r="BA439">
        <v>9.9799999999999993E-3</v>
      </c>
      <c r="BB439">
        <v>1</v>
      </c>
      <c r="BC439" t="s">
        <v>69</v>
      </c>
      <c r="BD439">
        <v>0.93400000000000005</v>
      </c>
      <c r="BE439">
        <v>0.93400000000000005</v>
      </c>
    </row>
    <row r="440" spans="1:57">
      <c r="A440">
        <v>0</v>
      </c>
      <c r="B440">
        <v>0</v>
      </c>
      <c r="C440">
        <v>0</v>
      </c>
      <c r="D440">
        <v>20</v>
      </c>
      <c r="E440" t="s">
        <v>110</v>
      </c>
      <c r="F440" t="s">
        <v>5762</v>
      </c>
      <c r="G440" t="s">
        <v>57</v>
      </c>
      <c r="H440">
        <v>28529</v>
      </c>
      <c r="I440">
        <v>28849</v>
      </c>
      <c r="J440" t="s">
        <v>111</v>
      </c>
      <c r="K440">
        <v>107</v>
      </c>
      <c r="L440" t="s">
        <v>112</v>
      </c>
      <c r="M440">
        <v>4</v>
      </c>
      <c r="N440" t="str">
        <f>HYPERLINK("Gene20-zp_tree_all.dnd", "Gene20-tree")</f>
        <v>Gene20-tree</v>
      </c>
    </row>
    <row r="441" spans="1:57">
      <c r="A441">
        <v>0</v>
      </c>
      <c r="B441">
        <v>0</v>
      </c>
      <c r="C441">
        <v>0</v>
      </c>
      <c r="D441">
        <v>21</v>
      </c>
      <c r="E441" t="s">
        <v>113</v>
      </c>
      <c r="F441" t="s">
        <v>5762</v>
      </c>
      <c r="G441" t="s">
        <v>57</v>
      </c>
      <c r="H441">
        <v>28867</v>
      </c>
      <c r="I441">
        <v>29460</v>
      </c>
      <c r="J441" t="s">
        <v>114</v>
      </c>
      <c r="K441">
        <v>198</v>
      </c>
      <c r="L441" t="s">
        <v>59</v>
      </c>
      <c r="M441">
        <v>5</v>
      </c>
      <c r="N441" t="str">
        <f>HYPERLINK("Gene21-zp_tree_all.dnd", "Gene21-tree")</f>
        <v>Gene21-tree</v>
      </c>
      <c r="O441">
        <v>5</v>
      </c>
      <c r="P441">
        <v>0</v>
      </c>
      <c r="Q441">
        <v>5</v>
      </c>
      <c r="R441">
        <v>0</v>
      </c>
      <c r="S441">
        <v>0</v>
      </c>
      <c r="T441" t="s">
        <v>98</v>
      </c>
      <c r="U441" t="s">
        <v>62</v>
      </c>
      <c r="V441" t="s">
        <v>62</v>
      </c>
      <c r="W441" t="s">
        <v>62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5</v>
      </c>
      <c r="AM441">
        <v>2</v>
      </c>
      <c r="AN441">
        <v>12</v>
      </c>
      <c r="AO441">
        <v>0</v>
      </c>
      <c r="AP441">
        <v>11</v>
      </c>
      <c r="AQ441">
        <v>0</v>
      </c>
      <c r="AR441" t="s">
        <v>64</v>
      </c>
      <c r="AS441" t="s">
        <v>64</v>
      </c>
      <c r="AT441">
        <v>0</v>
      </c>
      <c r="AU441" t="s">
        <v>65</v>
      </c>
      <c r="AV441">
        <v>23</v>
      </c>
      <c r="AW441">
        <v>0</v>
      </c>
      <c r="AX441" t="s">
        <v>115</v>
      </c>
      <c r="AY441" t="s">
        <v>116</v>
      </c>
      <c r="AZ441" t="s">
        <v>64</v>
      </c>
      <c r="BA441">
        <v>0</v>
      </c>
      <c r="BB441">
        <v>1</v>
      </c>
      <c r="BC441" t="s">
        <v>69</v>
      </c>
      <c r="BD441">
        <v>0.67600000000000005</v>
      </c>
      <c r="BE441">
        <v>0.38200000000000001</v>
      </c>
    </row>
    <row r="442" spans="1:57">
      <c r="A442">
        <v>0</v>
      </c>
      <c r="B442">
        <v>0</v>
      </c>
      <c r="C442">
        <v>2</v>
      </c>
      <c r="D442">
        <v>22</v>
      </c>
      <c r="E442" t="s">
        <v>117</v>
      </c>
      <c r="F442" t="s">
        <v>5762</v>
      </c>
      <c r="G442" t="s">
        <v>57</v>
      </c>
      <c r="H442">
        <v>29481</v>
      </c>
      <c r="I442">
        <v>29702</v>
      </c>
      <c r="J442" t="s">
        <v>118</v>
      </c>
      <c r="K442">
        <v>74</v>
      </c>
      <c r="L442" t="s">
        <v>59</v>
      </c>
      <c r="M442">
        <v>5</v>
      </c>
      <c r="N442" t="str">
        <f>HYPERLINK("Gene22-zp_tree_all.dnd", "Gene22-tree")</f>
        <v>Gene22-tree</v>
      </c>
      <c r="O442">
        <v>4</v>
      </c>
      <c r="P442">
        <v>1</v>
      </c>
      <c r="Q442">
        <v>3</v>
      </c>
      <c r="R442">
        <v>1</v>
      </c>
      <c r="S442">
        <v>0.25</v>
      </c>
      <c r="T442" t="s">
        <v>119</v>
      </c>
      <c r="U442" t="s">
        <v>61</v>
      </c>
      <c r="V442" t="s">
        <v>62</v>
      </c>
      <c r="W442" t="s">
        <v>62</v>
      </c>
      <c r="X442">
        <v>1</v>
      </c>
      <c r="Y442">
        <v>2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1</v>
      </c>
      <c r="AF442">
        <v>0</v>
      </c>
      <c r="AG442">
        <v>0</v>
      </c>
      <c r="AH442">
        <v>0</v>
      </c>
      <c r="AI442">
        <v>0</v>
      </c>
      <c r="AJ442">
        <v>1</v>
      </c>
      <c r="AK442">
        <v>0</v>
      </c>
      <c r="AL442">
        <v>3</v>
      </c>
      <c r="AM442">
        <v>1</v>
      </c>
      <c r="AN442">
        <v>7</v>
      </c>
      <c r="AO442">
        <v>1</v>
      </c>
      <c r="AP442">
        <v>3</v>
      </c>
      <c r="AQ442">
        <v>1</v>
      </c>
      <c r="AR442" t="s">
        <v>120</v>
      </c>
      <c r="AS442" t="s">
        <v>121</v>
      </c>
      <c r="AT442">
        <v>1.002</v>
      </c>
      <c r="AU442" t="s">
        <v>65</v>
      </c>
      <c r="AV442">
        <v>10</v>
      </c>
      <c r="AW442">
        <v>2</v>
      </c>
      <c r="AX442" t="s">
        <v>122</v>
      </c>
      <c r="AY442" t="s">
        <v>123</v>
      </c>
      <c r="AZ442" t="s">
        <v>124</v>
      </c>
      <c r="BA442">
        <v>4.5949999999999998E-2</v>
      </c>
      <c r="BB442">
        <v>1</v>
      </c>
      <c r="BC442" t="s">
        <v>69</v>
      </c>
      <c r="BD442">
        <v>0.05</v>
      </c>
      <c r="BE442">
        <v>0.05</v>
      </c>
    </row>
    <row r="443" spans="1:57">
      <c r="A443">
        <v>0</v>
      </c>
      <c r="B443">
        <v>0</v>
      </c>
      <c r="C443">
        <v>0</v>
      </c>
      <c r="D443">
        <v>24</v>
      </c>
      <c r="E443" t="s">
        <v>125</v>
      </c>
      <c r="F443" t="s">
        <v>5762</v>
      </c>
      <c r="G443" t="s">
        <v>57</v>
      </c>
      <c r="H443">
        <v>35531</v>
      </c>
      <c r="I443">
        <v>35722</v>
      </c>
      <c r="J443" t="s">
        <v>126</v>
      </c>
      <c r="K443">
        <v>64</v>
      </c>
      <c r="L443" t="s">
        <v>59</v>
      </c>
      <c r="M443">
        <v>5</v>
      </c>
      <c r="N443" t="str">
        <f>HYPERLINK("Gene24-zp_tree_all.dnd", "Gene24-tree")</f>
        <v>Gene24-tree</v>
      </c>
    </row>
    <row r="444" spans="1:57">
      <c r="A444">
        <v>0</v>
      </c>
      <c r="B444">
        <v>0</v>
      </c>
      <c r="C444">
        <v>0</v>
      </c>
      <c r="D444">
        <v>29</v>
      </c>
      <c r="E444" t="s">
        <v>127</v>
      </c>
      <c r="F444" t="s">
        <v>5762</v>
      </c>
      <c r="G444" t="s">
        <v>57</v>
      </c>
      <c r="H444">
        <v>39871</v>
      </c>
      <c r="I444">
        <v>40197</v>
      </c>
      <c r="J444" t="s">
        <v>128</v>
      </c>
      <c r="K444">
        <v>109</v>
      </c>
      <c r="L444" t="s">
        <v>59</v>
      </c>
      <c r="M444">
        <v>5</v>
      </c>
      <c r="N444" t="str">
        <f>HYPERLINK("Gene29-zp_tree_all.dnd", "Gene29-tree")</f>
        <v>Gene29-tree</v>
      </c>
      <c r="O444">
        <v>5</v>
      </c>
      <c r="P444">
        <v>0</v>
      </c>
      <c r="Q444">
        <v>5</v>
      </c>
      <c r="R444">
        <v>0</v>
      </c>
      <c r="S444">
        <v>0</v>
      </c>
      <c r="T444" t="s">
        <v>98</v>
      </c>
      <c r="U444" t="s">
        <v>62</v>
      </c>
      <c r="V444" t="s">
        <v>62</v>
      </c>
      <c r="W444" t="s">
        <v>62</v>
      </c>
      <c r="X444">
        <v>0</v>
      </c>
      <c r="Y444">
        <v>0</v>
      </c>
      <c r="Z444">
        <v>1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4</v>
      </c>
      <c r="AM444">
        <v>2</v>
      </c>
      <c r="AN444">
        <v>6</v>
      </c>
      <c r="AO444">
        <v>0</v>
      </c>
      <c r="AP444">
        <v>11</v>
      </c>
      <c r="AQ444">
        <v>1</v>
      </c>
      <c r="AR444" t="s">
        <v>64</v>
      </c>
      <c r="AS444" t="s">
        <v>129</v>
      </c>
      <c r="AT444">
        <v>0.98899999999999999</v>
      </c>
      <c r="AU444" t="s">
        <v>65</v>
      </c>
      <c r="AV444">
        <v>17</v>
      </c>
      <c r="AW444">
        <v>1</v>
      </c>
      <c r="AX444" t="s">
        <v>130</v>
      </c>
      <c r="AY444" t="s">
        <v>131</v>
      </c>
      <c r="AZ444" t="s">
        <v>132</v>
      </c>
      <c r="BA444">
        <v>1.9140000000000001E-2</v>
      </c>
      <c r="BB444">
        <v>1</v>
      </c>
      <c r="BC444" t="s">
        <v>69</v>
      </c>
      <c r="BD444">
        <v>1.26</v>
      </c>
      <c r="BE444">
        <v>0.878</v>
      </c>
    </row>
    <row r="445" spans="1:57">
      <c r="A445">
        <v>0</v>
      </c>
      <c r="B445">
        <v>0</v>
      </c>
      <c r="C445">
        <v>0</v>
      </c>
      <c r="D445">
        <v>31</v>
      </c>
      <c r="E445" t="s">
        <v>133</v>
      </c>
      <c r="F445" t="s">
        <v>5762</v>
      </c>
      <c r="G445" t="s">
        <v>57</v>
      </c>
      <c r="H445">
        <v>40665</v>
      </c>
      <c r="I445">
        <v>41651</v>
      </c>
      <c r="J445" t="s">
        <v>134</v>
      </c>
      <c r="K445">
        <v>329</v>
      </c>
      <c r="L445" t="s">
        <v>59</v>
      </c>
      <c r="M445">
        <v>5</v>
      </c>
      <c r="N445" t="str">
        <f>HYPERLINK("Gene31-zp_tree_all.dnd", "Gene31-tree")</f>
        <v>Gene31-tree</v>
      </c>
      <c r="O445">
        <v>3</v>
      </c>
      <c r="P445">
        <v>2</v>
      </c>
      <c r="Q445">
        <v>3</v>
      </c>
      <c r="R445">
        <v>2</v>
      </c>
      <c r="S445">
        <v>0.4</v>
      </c>
      <c r="T445" t="s">
        <v>84</v>
      </c>
      <c r="U445" t="s">
        <v>135</v>
      </c>
      <c r="V445" t="s">
        <v>62</v>
      </c>
      <c r="W445" t="s">
        <v>62</v>
      </c>
      <c r="X445">
        <v>0</v>
      </c>
      <c r="Y445">
        <v>0</v>
      </c>
      <c r="Z445">
        <v>4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2</v>
      </c>
      <c r="AK445">
        <v>0</v>
      </c>
      <c r="AL445">
        <v>5</v>
      </c>
      <c r="AM445">
        <v>2</v>
      </c>
      <c r="AN445">
        <v>21</v>
      </c>
      <c r="AO445">
        <v>2</v>
      </c>
      <c r="AP445">
        <v>14</v>
      </c>
      <c r="AQ445">
        <v>2</v>
      </c>
      <c r="AR445" t="s">
        <v>136</v>
      </c>
      <c r="AS445" t="s">
        <v>137</v>
      </c>
      <c r="AT445">
        <v>0.28599999999999998</v>
      </c>
      <c r="AU445" t="s">
        <v>65</v>
      </c>
      <c r="AV445">
        <v>35</v>
      </c>
      <c r="AW445">
        <v>4</v>
      </c>
      <c r="AX445" t="s">
        <v>138</v>
      </c>
      <c r="AY445" t="s">
        <v>139</v>
      </c>
      <c r="AZ445" t="s">
        <v>140</v>
      </c>
      <c r="BA445">
        <v>3.032E-2</v>
      </c>
      <c r="BB445">
        <v>1</v>
      </c>
      <c r="BC445" t="s">
        <v>69</v>
      </c>
      <c r="BD445">
        <v>0.22800000000000001</v>
      </c>
      <c r="BE445">
        <v>1.7000000000000001E-2</v>
      </c>
    </row>
    <row r="446" spans="1:57">
      <c r="A446">
        <v>0</v>
      </c>
      <c r="B446">
        <v>0</v>
      </c>
      <c r="C446">
        <v>0</v>
      </c>
      <c r="D446">
        <v>32</v>
      </c>
      <c r="E446" t="s">
        <v>141</v>
      </c>
      <c r="F446" t="s">
        <v>5762</v>
      </c>
      <c r="G446" t="s">
        <v>57</v>
      </c>
      <c r="H446">
        <v>41657</v>
      </c>
      <c r="I446">
        <v>42481</v>
      </c>
      <c r="J446" t="s">
        <v>142</v>
      </c>
      <c r="K446">
        <v>275</v>
      </c>
      <c r="L446" t="s">
        <v>59</v>
      </c>
      <c r="M446">
        <v>5</v>
      </c>
      <c r="N446" t="str">
        <f>HYPERLINK("Gene32-zp_tree_all.dnd", "Gene32-tree")</f>
        <v>Gene32-tree</v>
      </c>
      <c r="O446">
        <v>3</v>
      </c>
      <c r="P446">
        <v>2</v>
      </c>
      <c r="Q446">
        <v>3</v>
      </c>
      <c r="R446">
        <v>2</v>
      </c>
      <c r="S446">
        <v>0.4</v>
      </c>
      <c r="T446" t="s">
        <v>84</v>
      </c>
      <c r="U446" t="s">
        <v>135</v>
      </c>
      <c r="V446" t="s">
        <v>62</v>
      </c>
      <c r="W446" t="s">
        <v>62</v>
      </c>
      <c r="X446">
        <v>0</v>
      </c>
      <c r="Y446">
        <v>0</v>
      </c>
      <c r="Z446">
        <v>3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2</v>
      </c>
      <c r="AK446">
        <v>0</v>
      </c>
      <c r="AL446">
        <v>4</v>
      </c>
      <c r="AM446">
        <v>2</v>
      </c>
      <c r="AN446">
        <v>19</v>
      </c>
      <c r="AO446">
        <v>2</v>
      </c>
      <c r="AP446">
        <v>20</v>
      </c>
      <c r="AQ446">
        <v>1</v>
      </c>
      <c r="AR446" t="s">
        <v>143</v>
      </c>
      <c r="AS446" t="s">
        <v>144</v>
      </c>
      <c r="AT446">
        <v>0.55200000000000005</v>
      </c>
      <c r="AU446" t="s">
        <v>65</v>
      </c>
      <c r="AV446">
        <v>39</v>
      </c>
      <c r="AW446">
        <v>3</v>
      </c>
      <c r="AX446" t="s">
        <v>145</v>
      </c>
      <c r="AY446" t="s">
        <v>146</v>
      </c>
      <c r="AZ446" t="s">
        <v>147</v>
      </c>
      <c r="BA446">
        <v>1.9390000000000001E-2</v>
      </c>
      <c r="BB446">
        <v>1</v>
      </c>
      <c r="BC446" t="s">
        <v>69</v>
      </c>
      <c r="BD446">
        <v>0.63400000000000001</v>
      </c>
      <c r="BE446">
        <v>0.27300000000000002</v>
      </c>
    </row>
    <row r="447" spans="1:57">
      <c r="A447">
        <v>0</v>
      </c>
      <c r="B447">
        <v>0</v>
      </c>
      <c r="C447">
        <v>0</v>
      </c>
      <c r="D447">
        <v>33</v>
      </c>
      <c r="E447" t="s">
        <v>148</v>
      </c>
      <c r="F447" t="s">
        <v>5762</v>
      </c>
      <c r="G447" t="s">
        <v>57</v>
      </c>
      <c r="H447">
        <v>42499</v>
      </c>
      <c r="I447">
        <v>42855</v>
      </c>
      <c r="J447" t="s">
        <v>149</v>
      </c>
      <c r="K447">
        <v>119</v>
      </c>
      <c r="L447" t="s">
        <v>59</v>
      </c>
      <c r="M447">
        <v>5</v>
      </c>
      <c r="N447" t="str">
        <f>HYPERLINK("Gene33-zp_tree_all.dnd", "Gene33-tree")</f>
        <v>Gene33-tree</v>
      </c>
      <c r="O447">
        <v>5</v>
      </c>
      <c r="P447">
        <v>0</v>
      </c>
      <c r="Q447">
        <v>4</v>
      </c>
      <c r="R447">
        <v>0</v>
      </c>
      <c r="S447">
        <v>0</v>
      </c>
      <c r="T447" t="s">
        <v>150</v>
      </c>
      <c r="U447" t="s">
        <v>62</v>
      </c>
      <c r="V447" t="s">
        <v>62</v>
      </c>
      <c r="W447" t="s">
        <v>62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3</v>
      </c>
      <c r="AM447">
        <v>0</v>
      </c>
      <c r="AN447">
        <v>4</v>
      </c>
      <c r="AO447">
        <v>0</v>
      </c>
      <c r="AP447">
        <v>0</v>
      </c>
      <c r="AQ447">
        <v>0</v>
      </c>
      <c r="AR447" t="s">
        <v>64</v>
      </c>
      <c r="AS447" t="s">
        <v>64</v>
      </c>
      <c r="AT447">
        <v>0</v>
      </c>
      <c r="AU447" t="s">
        <v>65</v>
      </c>
      <c r="AV447">
        <v>4</v>
      </c>
      <c r="AW447">
        <v>0</v>
      </c>
      <c r="AX447" t="s">
        <v>151</v>
      </c>
      <c r="AY447" t="s">
        <v>152</v>
      </c>
      <c r="AZ447" t="s">
        <v>64</v>
      </c>
      <c r="BA447">
        <v>0</v>
      </c>
      <c r="BB447">
        <v>1</v>
      </c>
      <c r="BC447" t="s">
        <v>69</v>
      </c>
      <c r="BD447">
        <v>-0.41</v>
      </c>
      <c r="BE447">
        <v>-0.41</v>
      </c>
    </row>
    <row r="448" spans="1:57">
      <c r="A448">
        <v>0</v>
      </c>
      <c r="B448">
        <v>0</v>
      </c>
      <c r="C448">
        <v>4</v>
      </c>
      <c r="D448">
        <v>40</v>
      </c>
      <c r="E448" t="s">
        <v>155</v>
      </c>
      <c r="F448" t="s">
        <v>5762</v>
      </c>
      <c r="G448" t="s">
        <v>57</v>
      </c>
      <c r="H448">
        <v>48629</v>
      </c>
      <c r="I448">
        <v>49939</v>
      </c>
      <c r="J448" t="s">
        <v>156</v>
      </c>
      <c r="K448">
        <v>437</v>
      </c>
      <c r="L448" t="s">
        <v>59</v>
      </c>
      <c r="M448">
        <v>5</v>
      </c>
      <c r="N448" t="str">
        <f>HYPERLINK("Gene40-zp_tree_all.dnd", "Gene40-tree")</f>
        <v>Gene40-tree</v>
      </c>
      <c r="O448">
        <v>1</v>
      </c>
      <c r="P448">
        <v>4</v>
      </c>
      <c r="Q448">
        <v>1</v>
      </c>
      <c r="R448">
        <v>4</v>
      </c>
      <c r="S448">
        <v>0.8</v>
      </c>
      <c r="T448" t="s">
        <v>61</v>
      </c>
      <c r="U448" t="s">
        <v>60</v>
      </c>
      <c r="V448" t="s">
        <v>62</v>
      </c>
      <c r="W448" t="s">
        <v>62</v>
      </c>
      <c r="X448">
        <v>2</v>
      </c>
      <c r="Y448">
        <v>4</v>
      </c>
      <c r="Z448">
        <v>7</v>
      </c>
      <c r="AA448">
        <v>0.36364000000000002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7</v>
      </c>
      <c r="AK448">
        <v>0</v>
      </c>
      <c r="AL448">
        <v>5</v>
      </c>
      <c r="AM448">
        <v>2</v>
      </c>
      <c r="AN448">
        <v>16</v>
      </c>
      <c r="AO448">
        <v>7</v>
      </c>
      <c r="AP448">
        <v>29</v>
      </c>
      <c r="AQ448">
        <v>4</v>
      </c>
      <c r="AR448" t="s">
        <v>157</v>
      </c>
      <c r="AS448" t="s">
        <v>158</v>
      </c>
      <c r="AT448">
        <v>1.9139999999999999</v>
      </c>
      <c r="AU448" t="s">
        <v>65</v>
      </c>
      <c r="AV448">
        <v>45</v>
      </c>
      <c r="AW448">
        <v>11</v>
      </c>
      <c r="AX448" t="s">
        <v>159</v>
      </c>
      <c r="AY448" t="s">
        <v>160</v>
      </c>
      <c r="AZ448" t="s">
        <v>161</v>
      </c>
      <c r="BA448">
        <v>5.8310000000000001E-2</v>
      </c>
      <c r="BB448">
        <v>1</v>
      </c>
      <c r="BC448" t="s">
        <v>69</v>
      </c>
      <c r="BD448">
        <v>0.88900000000000001</v>
      </c>
      <c r="BE448">
        <v>0.61699999999999999</v>
      </c>
    </row>
    <row r="449" spans="1:57">
      <c r="A449">
        <v>0</v>
      </c>
      <c r="B449">
        <v>0</v>
      </c>
      <c r="C449">
        <v>2</v>
      </c>
      <c r="D449">
        <v>41</v>
      </c>
      <c r="E449" t="s">
        <v>162</v>
      </c>
      <c r="F449" t="s">
        <v>5762</v>
      </c>
      <c r="G449" t="s">
        <v>57</v>
      </c>
      <c r="H449">
        <v>50087</v>
      </c>
      <c r="I449">
        <v>50644</v>
      </c>
      <c r="J449" t="s">
        <v>163</v>
      </c>
      <c r="K449">
        <v>186</v>
      </c>
      <c r="L449" t="s">
        <v>112</v>
      </c>
      <c r="M449">
        <v>4</v>
      </c>
      <c r="N449" t="str">
        <f>HYPERLINK("Gene41-zp_tree_all.dnd", "Gene41-tree")</f>
        <v>Gene41-tree</v>
      </c>
      <c r="O449">
        <v>0</v>
      </c>
      <c r="P449">
        <v>4</v>
      </c>
      <c r="Q449">
        <v>0</v>
      </c>
      <c r="R449">
        <v>4</v>
      </c>
      <c r="S449">
        <v>1</v>
      </c>
      <c r="T449" t="s">
        <v>62</v>
      </c>
      <c r="U449" t="s">
        <v>60</v>
      </c>
      <c r="V449" t="s">
        <v>62</v>
      </c>
      <c r="W449" t="s">
        <v>62</v>
      </c>
      <c r="X449">
        <v>1</v>
      </c>
      <c r="Y449">
        <v>2</v>
      </c>
      <c r="Z449">
        <v>7</v>
      </c>
      <c r="AA449">
        <v>0.22222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8</v>
      </c>
      <c r="AK449">
        <v>0</v>
      </c>
      <c r="AL449">
        <v>4</v>
      </c>
      <c r="AM449">
        <v>1</v>
      </c>
      <c r="AN449">
        <v>23</v>
      </c>
      <c r="AO449">
        <v>8</v>
      </c>
      <c r="AP449">
        <v>2</v>
      </c>
      <c r="AQ449">
        <v>1</v>
      </c>
      <c r="AR449" t="s">
        <v>164</v>
      </c>
      <c r="AS449" t="s">
        <v>165</v>
      </c>
      <c r="AT449">
        <v>0.86399999999999999</v>
      </c>
      <c r="AU449" t="s">
        <v>65</v>
      </c>
      <c r="AV449">
        <v>25</v>
      </c>
      <c r="AW449">
        <v>9</v>
      </c>
      <c r="AX449" t="s">
        <v>166</v>
      </c>
      <c r="AY449" t="s">
        <v>167</v>
      </c>
      <c r="AZ449" t="s">
        <v>168</v>
      </c>
      <c r="BA449">
        <v>8.702E-2</v>
      </c>
      <c r="BB449">
        <v>1</v>
      </c>
      <c r="BC449" t="s">
        <v>69</v>
      </c>
      <c r="BD449">
        <v>-0.47899999999999998</v>
      </c>
      <c r="BE449">
        <v>-0.76700000000000002</v>
      </c>
    </row>
    <row r="450" spans="1:57">
      <c r="A450">
        <v>0</v>
      </c>
      <c r="B450">
        <v>0</v>
      </c>
      <c r="C450">
        <v>0</v>
      </c>
      <c r="D450">
        <v>44</v>
      </c>
      <c r="E450" t="s">
        <v>169</v>
      </c>
      <c r="F450" t="s">
        <v>5762</v>
      </c>
      <c r="G450" t="s">
        <v>57</v>
      </c>
      <c r="H450">
        <v>52763</v>
      </c>
      <c r="I450">
        <v>53020</v>
      </c>
      <c r="J450" t="s">
        <v>170</v>
      </c>
      <c r="K450">
        <v>86</v>
      </c>
      <c r="L450" t="s">
        <v>59</v>
      </c>
      <c r="M450">
        <v>5</v>
      </c>
      <c r="N450" t="str">
        <f>HYPERLINK("Gene44-zp_tree_all.dnd", "Gene44-tree")</f>
        <v>Gene44-tree</v>
      </c>
    </row>
    <row r="451" spans="1:57">
      <c r="A451">
        <v>0</v>
      </c>
      <c r="B451">
        <v>0</v>
      </c>
      <c r="C451">
        <v>0</v>
      </c>
      <c r="D451">
        <v>45</v>
      </c>
      <c r="E451" t="s">
        <v>171</v>
      </c>
      <c r="F451" t="s">
        <v>5762</v>
      </c>
      <c r="G451" t="s">
        <v>57</v>
      </c>
      <c r="H451">
        <v>53183</v>
      </c>
      <c r="I451">
        <v>53365</v>
      </c>
      <c r="J451" t="s">
        <v>172</v>
      </c>
      <c r="K451">
        <v>61</v>
      </c>
      <c r="L451" t="s">
        <v>59</v>
      </c>
      <c r="M451">
        <v>5</v>
      </c>
      <c r="N451" t="str">
        <f>HYPERLINK("Gene45-zp_tree_all.dnd", "Gene45-tree")</f>
        <v>Gene45-tree</v>
      </c>
      <c r="O451">
        <v>5</v>
      </c>
      <c r="P451">
        <v>0</v>
      </c>
      <c r="Q451">
        <v>5</v>
      </c>
      <c r="R451">
        <v>0</v>
      </c>
      <c r="S451">
        <v>0</v>
      </c>
      <c r="T451" t="s">
        <v>98</v>
      </c>
      <c r="U451" t="s">
        <v>62</v>
      </c>
      <c r="V451" t="s">
        <v>62</v>
      </c>
      <c r="W451" t="s">
        <v>62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3</v>
      </c>
      <c r="AM451">
        <v>2</v>
      </c>
      <c r="AN451">
        <v>5</v>
      </c>
      <c r="AO451">
        <v>0</v>
      </c>
      <c r="AP451">
        <v>4</v>
      </c>
      <c r="AQ451">
        <v>0</v>
      </c>
      <c r="AR451" t="s">
        <v>64</v>
      </c>
      <c r="AS451" t="s">
        <v>64</v>
      </c>
      <c r="AT451">
        <v>0</v>
      </c>
      <c r="AU451" t="s">
        <v>65</v>
      </c>
      <c r="AV451">
        <v>9</v>
      </c>
      <c r="AW451">
        <v>0</v>
      </c>
      <c r="AX451" t="s">
        <v>173</v>
      </c>
      <c r="AY451" t="s">
        <v>174</v>
      </c>
      <c r="AZ451" t="s">
        <v>64</v>
      </c>
      <c r="BA451">
        <v>0</v>
      </c>
      <c r="BB451">
        <v>1</v>
      </c>
      <c r="BC451" t="s">
        <v>69</v>
      </c>
      <c r="BD451">
        <v>0.13200000000000001</v>
      </c>
      <c r="BE451">
        <v>0.13200000000000001</v>
      </c>
    </row>
    <row r="452" spans="1:57">
      <c r="A452">
        <v>0</v>
      </c>
      <c r="B452">
        <v>0</v>
      </c>
      <c r="C452">
        <v>0</v>
      </c>
      <c r="D452">
        <v>46</v>
      </c>
      <c r="E452" t="s">
        <v>175</v>
      </c>
      <c r="F452" t="s">
        <v>5762</v>
      </c>
      <c r="G452" t="s">
        <v>57</v>
      </c>
      <c r="H452">
        <v>53516</v>
      </c>
      <c r="I452">
        <v>54382</v>
      </c>
      <c r="J452" t="s">
        <v>176</v>
      </c>
      <c r="K452">
        <v>289</v>
      </c>
      <c r="L452" t="s">
        <v>59</v>
      </c>
      <c r="M452">
        <v>5</v>
      </c>
      <c r="N452" t="str">
        <f>HYPERLINK("Gene46-zp_tree_all.dnd", "Gene46-tree")</f>
        <v>Gene46-tree</v>
      </c>
      <c r="O452">
        <v>5</v>
      </c>
      <c r="P452">
        <v>0</v>
      </c>
      <c r="Q452">
        <v>5</v>
      </c>
      <c r="R452">
        <v>0</v>
      </c>
      <c r="S452">
        <v>0</v>
      </c>
      <c r="T452" t="s">
        <v>98</v>
      </c>
      <c r="U452" t="s">
        <v>62</v>
      </c>
      <c r="V452" t="s">
        <v>62</v>
      </c>
      <c r="W452" t="s">
        <v>62</v>
      </c>
      <c r="X452">
        <v>0</v>
      </c>
      <c r="Y452">
        <v>0</v>
      </c>
      <c r="Z452">
        <v>5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5</v>
      </c>
      <c r="AM452">
        <v>2</v>
      </c>
      <c r="AN452">
        <v>27</v>
      </c>
      <c r="AO452">
        <v>0</v>
      </c>
      <c r="AP452">
        <v>28</v>
      </c>
      <c r="AQ452">
        <v>6</v>
      </c>
      <c r="AR452" t="s">
        <v>64</v>
      </c>
      <c r="AS452" t="s">
        <v>177</v>
      </c>
      <c r="AT452">
        <v>0.92100000000000004</v>
      </c>
      <c r="AU452" t="s">
        <v>65</v>
      </c>
      <c r="AV452">
        <v>55</v>
      </c>
      <c r="AW452">
        <v>6</v>
      </c>
      <c r="AX452" t="s">
        <v>178</v>
      </c>
      <c r="AY452" t="s">
        <v>179</v>
      </c>
      <c r="AZ452" t="s">
        <v>180</v>
      </c>
      <c r="BA452">
        <v>3.807E-2</v>
      </c>
      <c r="BB452">
        <v>1</v>
      </c>
      <c r="BC452" t="s">
        <v>69</v>
      </c>
      <c r="BD452">
        <v>0.83</v>
      </c>
      <c r="BE452">
        <v>0.28599999999999998</v>
      </c>
    </row>
    <row r="453" spans="1:57">
      <c r="A453">
        <v>0</v>
      </c>
      <c r="B453">
        <v>0</v>
      </c>
      <c r="C453">
        <v>0</v>
      </c>
      <c r="D453">
        <v>47</v>
      </c>
      <c r="E453" t="s">
        <v>181</v>
      </c>
      <c r="F453" t="s">
        <v>5762</v>
      </c>
      <c r="G453" t="s">
        <v>57</v>
      </c>
      <c r="H453">
        <v>54441</v>
      </c>
      <c r="I453">
        <v>55295</v>
      </c>
      <c r="J453" t="s">
        <v>182</v>
      </c>
      <c r="K453">
        <v>285</v>
      </c>
      <c r="L453" t="s">
        <v>59</v>
      </c>
      <c r="M453">
        <v>5</v>
      </c>
      <c r="N453" t="str">
        <f>HYPERLINK("Gene47-zp_tree_all.dnd", "Gene47-tree")</f>
        <v>Gene47-tree</v>
      </c>
      <c r="O453">
        <v>5</v>
      </c>
      <c r="P453">
        <v>0</v>
      </c>
      <c r="Q453">
        <v>5</v>
      </c>
      <c r="R453">
        <v>0</v>
      </c>
      <c r="S453">
        <v>0</v>
      </c>
      <c r="T453" t="s">
        <v>98</v>
      </c>
      <c r="U453" t="s">
        <v>62</v>
      </c>
      <c r="V453" t="s">
        <v>62</v>
      </c>
      <c r="W453" t="s">
        <v>62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4</v>
      </c>
      <c r="AM453">
        <v>2</v>
      </c>
      <c r="AN453">
        <v>13</v>
      </c>
      <c r="AO453">
        <v>0</v>
      </c>
      <c r="AP453">
        <v>22</v>
      </c>
      <c r="AQ453">
        <v>0</v>
      </c>
      <c r="AR453" t="s">
        <v>64</v>
      </c>
      <c r="AS453" t="s">
        <v>64</v>
      </c>
      <c r="AT453">
        <v>0</v>
      </c>
      <c r="AU453" t="s">
        <v>65</v>
      </c>
      <c r="AV453">
        <v>35</v>
      </c>
      <c r="AW453">
        <v>0</v>
      </c>
      <c r="AX453" t="s">
        <v>183</v>
      </c>
      <c r="AY453" t="s">
        <v>184</v>
      </c>
      <c r="AZ453" t="s">
        <v>64</v>
      </c>
      <c r="BA453">
        <v>0</v>
      </c>
      <c r="BB453">
        <v>1</v>
      </c>
      <c r="BC453" t="s">
        <v>69</v>
      </c>
      <c r="BD453">
        <v>0.71399999999999997</v>
      </c>
      <c r="BE453">
        <v>0.71399999999999997</v>
      </c>
    </row>
    <row r="454" spans="1:57">
      <c r="A454">
        <v>0</v>
      </c>
      <c r="B454">
        <v>0</v>
      </c>
      <c r="C454">
        <v>0</v>
      </c>
      <c r="D454">
        <v>48</v>
      </c>
      <c r="E454" t="s">
        <v>185</v>
      </c>
      <c r="F454" t="s">
        <v>5762</v>
      </c>
      <c r="G454" t="s">
        <v>57</v>
      </c>
      <c r="H454">
        <v>55295</v>
      </c>
      <c r="I454">
        <v>55669</v>
      </c>
      <c r="J454" t="s">
        <v>186</v>
      </c>
      <c r="K454">
        <v>125</v>
      </c>
      <c r="L454" t="s">
        <v>112</v>
      </c>
      <c r="M454">
        <v>4</v>
      </c>
      <c r="N454" t="str">
        <f>HYPERLINK("Gene48-zp_tree_all.dnd", "Gene48-tree")</f>
        <v>Gene48-tree</v>
      </c>
      <c r="O454">
        <v>2</v>
      </c>
      <c r="P454">
        <v>2</v>
      </c>
      <c r="Q454">
        <v>2</v>
      </c>
      <c r="R454">
        <v>2</v>
      </c>
      <c r="S454">
        <v>0.5</v>
      </c>
      <c r="T454" t="s">
        <v>135</v>
      </c>
      <c r="U454" t="s">
        <v>135</v>
      </c>
      <c r="V454" t="s">
        <v>62</v>
      </c>
      <c r="W454" t="s">
        <v>62</v>
      </c>
      <c r="X454">
        <v>0</v>
      </c>
      <c r="Y454">
        <v>0</v>
      </c>
      <c r="Z454">
        <v>2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2</v>
      </c>
      <c r="AK454">
        <v>0</v>
      </c>
      <c r="AL454">
        <v>4</v>
      </c>
      <c r="AM454">
        <v>1</v>
      </c>
      <c r="AN454">
        <v>21</v>
      </c>
      <c r="AO454">
        <v>2</v>
      </c>
      <c r="AP454">
        <v>2</v>
      </c>
      <c r="AQ454">
        <v>0</v>
      </c>
      <c r="AR454" t="s">
        <v>187</v>
      </c>
      <c r="AS454" t="s">
        <v>64</v>
      </c>
      <c r="AT454">
        <v>0.86799999999999999</v>
      </c>
      <c r="AU454" t="s">
        <v>65</v>
      </c>
      <c r="AV454">
        <v>23</v>
      </c>
      <c r="AW454">
        <v>2</v>
      </c>
      <c r="AX454" t="s">
        <v>188</v>
      </c>
      <c r="AY454" t="s">
        <v>189</v>
      </c>
      <c r="AZ454" t="s">
        <v>190</v>
      </c>
      <c r="BA454">
        <v>2.197E-2</v>
      </c>
      <c r="BB454">
        <v>1</v>
      </c>
      <c r="BC454" t="s">
        <v>69</v>
      </c>
      <c r="BD454">
        <v>-0.60699999999999998</v>
      </c>
      <c r="BE454">
        <v>-0.60699999999999998</v>
      </c>
    </row>
    <row r="455" spans="1:57">
      <c r="A455">
        <v>0</v>
      </c>
      <c r="B455">
        <v>0</v>
      </c>
      <c r="C455">
        <v>0</v>
      </c>
      <c r="D455">
        <v>49</v>
      </c>
      <c r="E455" t="s">
        <v>191</v>
      </c>
      <c r="F455" t="s">
        <v>5762</v>
      </c>
      <c r="G455" t="s">
        <v>57</v>
      </c>
      <c r="H455">
        <v>55866</v>
      </c>
      <c r="I455">
        <v>56156</v>
      </c>
      <c r="J455" t="s">
        <v>192</v>
      </c>
      <c r="K455">
        <v>97</v>
      </c>
      <c r="L455" t="s">
        <v>59</v>
      </c>
      <c r="M455">
        <v>5</v>
      </c>
      <c r="N455" t="str">
        <f>HYPERLINK("Gene49-zp_tree_all.dnd", "Gene49-tree")</f>
        <v>Gene49-tree</v>
      </c>
      <c r="O455">
        <v>3</v>
      </c>
      <c r="P455">
        <v>1</v>
      </c>
      <c r="Q455">
        <v>3</v>
      </c>
      <c r="R455">
        <v>1</v>
      </c>
      <c r="S455">
        <v>0.25</v>
      </c>
      <c r="T455" t="s">
        <v>84</v>
      </c>
      <c r="U455" t="s">
        <v>61</v>
      </c>
      <c r="V455" t="s">
        <v>62</v>
      </c>
      <c r="W455" t="s">
        <v>62</v>
      </c>
      <c r="X455">
        <v>0</v>
      </c>
      <c r="Y455">
        <v>0</v>
      </c>
      <c r="Z455">
        <v>1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1</v>
      </c>
      <c r="AK455">
        <v>0</v>
      </c>
      <c r="AL455">
        <v>2</v>
      </c>
      <c r="AM455">
        <v>1</v>
      </c>
      <c r="AN455">
        <v>1</v>
      </c>
      <c r="AO455">
        <v>1</v>
      </c>
      <c r="AP455">
        <v>2</v>
      </c>
      <c r="AQ455">
        <v>0</v>
      </c>
      <c r="AR455" t="s">
        <v>193</v>
      </c>
      <c r="AS455" t="s">
        <v>64</v>
      </c>
      <c r="AT455">
        <v>0.70699999999999996</v>
      </c>
      <c r="AU455" t="s">
        <v>65</v>
      </c>
      <c r="AV455">
        <v>3</v>
      </c>
      <c r="AW455">
        <v>1</v>
      </c>
      <c r="AX455" t="s">
        <v>194</v>
      </c>
      <c r="AY455" t="s">
        <v>195</v>
      </c>
      <c r="AZ455" t="s">
        <v>196</v>
      </c>
      <c r="BA455">
        <v>8.1920000000000007E-2</v>
      </c>
      <c r="BB455">
        <v>0.98299999999999998</v>
      </c>
      <c r="BC455" t="s">
        <v>69</v>
      </c>
      <c r="BD455">
        <v>0.27300000000000002</v>
      </c>
      <c r="BE455">
        <v>0.27300000000000002</v>
      </c>
    </row>
    <row r="456" spans="1:57">
      <c r="A456">
        <v>0</v>
      </c>
      <c r="B456">
        <v>0</v>
      </c>
      <c r="C456">
        <v>0</v>
      </c>
      <c r="D456">
        <v>50</v>
      </c>
      <c r="E456" t="s">
        <v>197</v>
      </c>
      <c r="F456" t="s">
        <v>5762</v>
      </c>
      <c r="G456" t="s">
        <v>57</v>
      </c>
      <c r="H456">
        <v>56352</v>
      </c>
      <c r="I456">
        <v>57719</v>
      </c>
      <c r="J456" t="s">
        <v>198</v>
      </c>
      <c r="K456">
        <v>456</v>
      </c>
      <c r="L456" t="s">
        <v>59</v>
      </c>
      <c r="M456">
        <v>5</v>
      </c>
      <c r="N456" t="str">
        <f>HYPERLINK("Gene50-zp_tree_all.dnd", "Gene50-tree")</f>
        <v>Gene50-tree</v>
      </c>
      <c r="O456">
        <v>1</v>
      </c>
      <c r="P456">
        <v>4</v>
      </c>
      <c r="Q456">
        <v>1</v>
      </c>
      <c r="R456">
        <v>4</v>
      </c>
      <c r="S456">
        <v>0.8</v>
      </c>
      <c r="T456" t="s">
        <v>61</v>
      </c>
      <c r="U456" t="s">
        <v>60</v>
      </c>
      <c r="V456" t="s">
        <v>62</v>
      </c>
      <c r="W456" t="s">
        <v>62</v>
      </c>
      <c r="X456">
        <v>0</v>
      </c>
      <c r="Y456">
        <v>0</v>
      </c>
      <c r="Z456">
        <v>8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4</v>
      </c>
      <c r="AK456">
        <v>0</v>
      </c>
      <c r="AL456">
        <v>5</v>
      </c>
      <c r="AM456">
        <v>2</v>
      </c>
      <c r="AN456">
        <v>24</v>
      </c>
      <c r="AO456">
        <v>4</v>
      </c>
      <c r="AP456">
        <v>37</v>
      </c>
      <c r="AQ456">
        <v>4</v>
      </c>
      <c r="AR456" t="s">
        <v>199</v>
      </c>
      <c r="AS456" t="s">
        <v>200</v>
      </c>
      <c r="AT456">
        <v>0.77400000000000002</v>
      </c>
      <c r="AU456" t="s">
        <v>65</v>
      </c>
      <c r="AV456">
        <v>61</v>
      </c>
      <c r="AW456">
        <v>8</v>
      </c>
      <c r="AX456" t="s">
        <v>201</v>
      </c>
      <c r="AY456" t="s">
        <v>202</v>
      </c>
      <c r="AZ456" t="s">
        <v>203</v>
      </c>
      <c r="BA456">
        <v>3.542E-2</v>
      </c>
      <c r="BB456">
        <v>1</v>
      </c>
      <c r="BC456" t="s">
        <v>69</v>
      </c>
      <c r="BD456">
        <v>0.79400000000000004</v>
      </c>
      <c r="BE456">
        <v>0.60199999999999998</v>
      </c>
    </row>
    <row r="457" spans="1:57">
      <c r="A457">
        <v>0</v>
      </c>
      <c r="B457">
        <v>0</v>
      </c>
      <c r="C457">
        <v>0</v>
      </c>
      <c r="D457">
        <v>51</v>
      </c>
      <c r="E457" t="s">
        <v>204</v>
      </c>
      <c r="F457" t="s">
        <v>5762</v>
      </c>
      <c r="G457" t="s">
        <v>57</v>
      </c>
      <c r="H457">
        <v>57745</v>
      </c>
      <c r="I457">
        <v>58695</v>
      </c>
      <c r="J457" t="s">
        <v>205</v>
      </c>
      <c r="K457">
        <v>317</v>
      </c>
      <c r="L457" t="s">
        <v>59</v>
      </c>
      <c r="M457">
        <v>5</v>
      </c>
      <c r="N457" t="str">
        <f>HYPERLINK("Gene51-zp_tree_all.dnd", "Gene51-tree")</f>
        <v>Gene51-tree</v>
      </c>
      <c r="O457">
        <v>5</v>
      </c>
      <c r="P457">
        <v>0</v>
      </c>
      <c r="Q457">
        <v>4</v>
      </c>
      <c r="R457">
        <v>0</v>
      </c>
      <c r="S457">
        <v>0</v>
      </c>
      <c r="T457" t="s">
        <v>150</v>
      </c>
      <c r="U457" t="s">
        <v>62</v>
      </c>
      <c r="V457" t="s">
        <v>62</v>
      </c>
      <c r="W457" t="s">
        <v>62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4</v>
      </c>
      <c r="AM457">
        <v>1</v>
      </c>
      <c r="AN457">
        <v>20</v>
      </c>
      <c r="AO457">
        <v>0</v>
      </c>
      <c r="AP457">
        <v>16</v>
      </c>
      <c r="AQ457">
        <v>0</v>
      </c>
      <c r="AR457" t="s">
        <v>64</v>
      </c>
      <c r="AS457" t="s">
        <v>64</v>
      </c>
      <c r="AT457">
        <v>0</v>
      </c>
      <c r="AU457" t="s">
        <v>65</v>
      </c>
      <c r="AV457">
        <v>36</v>
      </c>
      <c r="AW457">
        <v>0</v>
      </c>
      <c r="AX457" t="s">
        <v>206</v>
      </c>
      <c r="AY457" t="s">
        <v>207</v>
      </c>
      <c r="AZ457" t="s">
        <v>64</v>
      </c>
      <c r="BA457">
        <v>0</v>
      </c>
      <c r="BB457">
        <v>1</v>
      </c>
      <c r="BC457" t="s">
        <v>69</v>
      </c>
      <c r="BD457">
        <v>0.44700000000000001</v>
      </c>
      <c r="BE457">
        <v>0.26800000000000002</v>
      </c>
    </row>
    <row r="458" spans="1:57">
      <c r="A458">
        <v>0</v>
      </c>
      <c r="B458">
        <v>0</v>
      </c>
      <c r="C458">
        <v>0</v>
      </c>
      <c r="D458">
        <v>53</v>
      </c>
      <c r="E458" t="s">
        <v>208</v>
      </c>
      <c r="F458" t="s">
        <v>5762</v>
      </c>
      <c r="G458" t="s">
        <v>57</v>
      </c>
      <c r="H458">
        <v>59504</v>
      </c>
      <c r="I458">
        <v>60067</v>
      </c>
      <c r="J458" t="s">
        <v>209</v>
      </c>
      <c r="K458">
        <v>188</v>
      </c>
      <c r="L458" t="s">
        <v>59</v>
      </c>
      <c r="M458">
        <v>5</v>
      </c>
      <c r="N458" t="str">
        <f>HYPERLINK("Gene53-zp_tree_all.dnd", "Gene53-tree")</f>
        <v>Gene53-tree</v>
      </c>
      <c r="O458">
        <v>4</v>
      </c>
      <c r="P458">
        <v>1</v>
      </c>
      <c r="Q458">
        <v>4</v>
      </c>
      <c r="R458">
        <v>1</v>
      </c>
      <c r="S458">
        <v>0.2</v>
      </c>
      <c r="T458" t="s">
        <v>60</v>
      </c>
      <c r="U458" t="s">
        <v>61</v>
      </c>
      <c r="V458" t="s">
        <v>62</v>
      </c>
      <c r="W458" t="s">
        <v>62</v>
      </c>
      <c r="X458">
        <v>0</v>
      </c>
      <c r="Y458">
        <v>0</v>
      </c>
      <c r="Z458">
        <v>7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3</v>
      </c>
      <c r="AK458">
        <v>0</v>
      </c>
      <c r="AL458">
        <v>4</v>
      </c>
      <c r="AM458">
        <v>1</v>
      </c>
      <c r="AN458">
        <v>17</v>
      </c>
      <c r="AO458">
        <v>3</v>
      </c>
      <c r="AP458">
        <v>13</v>
      </c>
      <c r="AQ458">
        <v>4</v>
      </c>
      <c r="AR458" t="s">
        <v>210</v>
      </c>
      <c r="AS458" t="s">
        <v>211</v>
      </c>
      <c r="AT458">
        <v>0.41799999999999998</v>
      </c>
      <c r="AU458" t="s">
        <v>65</v>
      </c>
      <c r="AV458">
        <v>30</v>
      </c>
      <c r="AW458">
        <v>7</v>
      </c>
      <c r="AX458" t="s">
        <v>212</v>
      </c>
      <c r="AY458" t="s">
        <v>213</v>
      </c>
      <c r="AZ458" t="s">
        <v>214</v>
      </c>
      <c r="BA458">
        <v>6.5559999999999993E-2</v>
      </c>
      <c r="BB458">
        <v>1</v>
      </c>
      <c r="BC458" t="s">
        <v>69</v>
      </c>
      <c r="BD458">
        <v>0.186</v>
      </c>
      <c r="BE458">
        <v>0.186</v>
      </c>
    </row>
    <row r="459" spans="1:57">
      <c r="A459">
        <v>0</v>
      </c>
      <c r="B459">
        <v>0</v>
      </c>
      <c r="C459">
        <v>0</v>
      </c>
      <c r="D459">
        <v>54</v>
      </c>
      <c r="E459" t="s">
        <v>215</v>
      </c>
      <c r="F459" t="s">
        <v>5762</v>
      </c>
      <c r="G459" t="s">
        <v>57</v>
      </c>
      <c r="H459">
        <v>60130</v>
      </c>
      <c r="I459">
        <v>60357</v>
      </c>
      <c r="J459" t="s">
        <v>216</v>
      </c>
      <c r="K459">
        <v>76</v>
      </c>
      <c r="L459" t="s">
        <v>59</v>
      </c>
      <c r="M459">
        <v>5</v>
      </c>
      <c r="N459" t="str">
        <f>HYPERLINK("Gene54-zp_tree_all.dnd", "Gene54-tree")</f>
        <v>Gene54-tree</v>
      </c>
      <c r="O459">
        <v>3</v>
      </c>
      <c r="P459">
        <v>2</v>
      </c>
      <c r="Q459">
        <v>2</v>
      </c>
      <c r="R459">
        <v>2</v>
      </c>
      <c r="S459">
        <v>0.5</v>
      </c>
      <c r="T459" t="s">
        <v>217</v>
      </c>
      <c r="U459" t="s">
        <v>135</v>
      </c>
      <c r="V459" t="s">
        <v>62</v>
      </c>
      <c r="W459" t="s">
        <v>62</v>
      </c>
      <c r="X459">
        <v>0</v>
      </c>
      <c r="Y459">
        <v>0</v>
      </c>
      <c r="Z459">
        <v>4</v>
      </c>
      <c r="AA459">
        <v>0</v>
      </c>
      <c r="AB459">
        <v>0</v>
      </c>
      <c r="AC459">
        <v>0</v>
      </c>
      <c r="AD459">
        <v>0</v>
      </c>
      <c r="AE459">
        <v>2</v>
      </c>
      <c r="AF459">
        <v>0</v>
      </c>
      <c r="AG459">
        <v>0</v>
      </c>
      <c r="AH459">
        <v>0</v>
      </c>
      <c r="AI459">
        <v>0</v>
      </c>
      <c r="AJ459">
        <v>2</v>
      </c>
      <c r="AK459">
        <v>0</v>
      </c>
      <c r="AL459">
        <v>3</v>
      </c>
      <c r="AM459">
        <v>1</v>
      </c>
      <c r="AN459">
        <v>2</v>
      </c>
      <c r="AO459">
        <v>2</v>
      </c>
      <c r="AP459">
        <v>3</v>
      </c>
      <c r="AQ459">
        <v>2</v>
      </c>
      <c r="AR459" t="s">
        <v>218</v>
      </c>
      <c r="AS459" t="s">
        <v>219</v>
      </c>
      <c r="AT459">
        <v>0.60699999999999998</v>
      </c>
      <c r="AU459" t="s">
        <v>65</v>
      </c>
      <c r="AV459">
        <v>5</v>
      </c>
      <c r="AW459">
        <v>4</v>
      </c>
      <c r="AX459" t="s">
        <v>220</v>
      </c>
      <c r="AY459" t="s">
        <v>221</v>
      </c>
      <c r="AZ459" t="s">
        <v>222</v>
      </c>
      <c r="BA459">
        <v>0.19470000000000001</v>
      </c>
      <c r="BB459">
        <v>0.98899999999999999</v>
      </c>
      <c r="BC459" t="s">
        <v>69</v>
      </c>
      <c r="BD459">
        <v>0.79</v>
      </c>
      <c r="BE459">
        <v>0.79</v>
      </c>
    </row>
    <row r="460" spans="1:57">
      <c r="A460">
        <v>0</v>
      </c>
      <c r="B460">
        <v>0</v>
      </c>
      <c r="C460">
        <v>0</v>
      </c>
      <c r="D460">
        <v>56</v>
      </c>
      <c r="E460" t="s">
        <v>223</v>
      </c>
      <c r="F460" t="s">
        <v>5762</v>
      </c>
      <c r="G460" t="s">
        <v>57</v>
      </c>
      <c r="H460">
        <v>64099</v>
      </c>
      <c r="I460">
        <v>64632</v>
      </c>
      <c r="J460" t="s">
        <v>224</v>
      </c>
      <c r="K460">
        <v>178</v>
      </c>
      <c r="L460" t="s">
        <v>83</v>
      </c>
      <c r="M460">
        <v>4</v>
      </c>
      <c r="N460" t="str">
        <f>HYPERLINK("Gene56-zp_tree_all.dnd", "Gene56-tree")</f>
        <v>Gene56-tree</v>
      </c>
    </row>
    <row r="461" spans="1:57">
      <c r="A461">
        <v>0</v>
      </c>
      <c r="B461">
        <v>0</v>
      </c>
      <c r="C461">
        <v>0</v>
      </c>
      <c r="D461">
        <v>60</v>
      </c>
      <c r="E461" t="s">
        <v>225</v>
      </c>
      <c r="F461" t="s">
        <v>5762</v>
      </c>
      <c r="G461" t="s">
        <v>57</v>
      </c>
      <c r="H461">
        <v>68216</v>
      </c>
      <c r="I461">
        <v>68515</v>
      </c>
      <c r="J461" t="s">
        <v>226</v>
      </c>
      <c r="K461">
        <v>100</v>
      </c>
      <c r="L461" t="s">
        <v>59</v>
      </c>
      <c r="M461">
        <v>5</v>
      </c>
      <c r="N461" t="str">
        <f>HYPERLINK("Gene60-zp_tree_all.dnd", "Gene60-tree")</f>
        <v>Gene60-tree</v>
      </c>
    </row>
    <row r="462" spans="1:57">
      <c r="A462">
        <v>0</v>
      </c>
      <c r="B462">
        <v>0</v>
      </c>
      <c r="C462">
        <v>2</v>
      </c>
      <c r="D462">
        <v>61</v>
      </c>
      <c r="E462" t="s">
        <v>227</v>
      </c>
      <c r="F462" t="s">
        <v>5762</v>
      </c>
      <c r="G462" t="s">
        <v>57</v>
      </c>
      <c r="H462">
        <v>68515</v>
      </c>
      <c r="I462">
        <v>69147</v>
      </c>
      <c r="J462" t="s">
        <v>228</v>
      </c>
      <c r="K462">
        <v>211</v>
      </c>
      <c r="L462" t="s">
        <v>59</v>
      </c>
      <c r="M462">
        <v>5</v>
      </c>
      <c r="N462" t="str">
        <f>HYPERLINK("Gene61-zp_tree_all.dnd", "Gene61-tree")</f>
        <v>Gene61-tree</v>
      </c>
      <c r="O462">
        <v>0</v>
      </c>
      <c r="P462">
        <v>5</v>
      </c>
      <c r="Q462">
        <v>0</v>
      </c>
      <c r="R462">
        <v>5</v>
      </c>
      <c r="S462">
        <v>1</v>
      </c>
      <c r="T462" t="s">
        <v>62</v>
      </c>
      <c r="U462" t="s">
        <v>98</v>
      </c>
      <c r="V462" t="s">
        <v>62</v>
      </c>
      <c r="W462" t="s">
        <v>62</v>
      </c>
      <c r="X462">
        <v>1</v>
      </c>
      <c r="Y462">
        <v>2</v>
      </c>
      <c r="Z462">
        <v>15</v>
      </c>
      <c r="AA462">
        <v>0.11765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11</v>
      </c>
      <c r="AK462">
        <v>0</v>
      </c>
      <c r="AL462">
        <v>4</v>
      </c>
      <c r="AM462">
        <v>2</v>
      </c>
      <c r="AN462">
        <v>8</v>
      </c>
      <c r="AO462">
        <v>10</v>
      </c>
      <c r="AP462">
        <v>13</v>
      </c>
      <c r="AQ462">
        <v>8</v>
      </c>
      <c r="AR462" t="s">
        <v>229</v>
      </c>
      <c r="AS462" t="s">
        <v>230</v>
      </c>
      <c r="AT462">
        <v>0.82499999999999996</v>
      </c>
      <c r="AU462" t="s">
        <v>65</v>
      </c>
      <c r="AV462">
        <v>21</v>
      </c>
      <c r="AW462">
        <v>18</v>
      </c>
      <c r="AX462" t="s">
        <v>231</v>
      </c>
      <c r="AY462" t="s">
        <v>232</v>
      </c>
      <c r="AZ462" t="s">
        <v>233</v>
      </c>
      <c r="BA462">
        <v>0.25430999999999998</v>
      </c>
      <c r="BB462">
        <v>1</v>
      </c>
      <c r="BC462" t="s">
        <v>69</v>
      </c>
      <c r="BD462">
        <v>0.60899999999999999</v>
      </c>
      <c r="BE462">
        <v>0.186</v>
      </c>
    </row>
    <row r="463" spans="1:57">
      <c r="A463">
        <v>0</v>
      </c>
      <c r="B463">
        <v>0</v>
      </c>
      <c r="C463">
        <v>0</v>
      </c>
      <c r="D463">
        <v>62</v>
      </c>
      <c r="E463" t="s">
        <v>234</v>
      </c>
      <c r="F463" t="s">
        <v>5762</v>
      </c>
      <c r="G463" t="s">
        <v>57</v>
      </c>
      <c r="H463">
        <v>69168</v>
      </c>
      <c r="I463">
        <v>69542</v>
      </c>
      <c r="J463" t="s">
        <v>235</v>
      </c>
      <c r="K463">
        <v>125</v>
      </c>
      <c r="L463" t="s">
        <v>59</v>
      </c>
      <c r="M463">
        <v>5</v>
      </c>
      <c r="N463" t="str">
        <f>HYPERLINK("Gene62-zp_tree_all.dnd", "Gene62-tree")</f>
        <v>Gene62-tree</v>
      </c>
      <c r="O463">
        <v>4</v>
      </c>
      <c r="P463">
        <v>1</v>
      </c>
      <c r="Q463">
        <v>4</v>
      </c>
      <c r="R463">
        <v>1</v>
      </c>
      <c r="S463">
        <v>0.2</v>
      </c>
      <c r="T463" t="s">
        <v>60</v>
      </c>
      <c r="U463" t="s">
        <v>61</v>
      </c>
      <c r="V463" t="s">
        <v>62</v>
      </c>
      <c r="W463" t="s">
        <v>62</v>
      </c>
      <c r="X463">
        <v>0</v>
      </c>
      <c r="Y463">
        <v>0</v>
      </c>
      <c r="Z463">
        <v>2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1</v>
      </c>
      <c r="AK463">
        <v>0</v>
      </c>
      <c r="AL463">
        <v>4</v>
      </c>
      <c r="AM463">
        <v>2</v>
      </c>
      <c r="AN463">
        <v>7</v>
      </c>
      <c r="AO463">
        <v>1</v>
      </c>
      <c r="AP463">
        <v>7</v>
      </c>
      <c r="AQ463">
        <v>1</v>
      </c>
      <c r="AR463" t="s">
        <v>236</v>
      </c>
      <c r="AS463" t="s">
        <v>237</v>
      </c>
      <c r="AT463">
        <v>1.6E-2</v>
      </c>
      <c r="AU463" t="s">
        <v>65</v>
      </c>
      <c r="AV463">
        <v>14</v>
      </c>
      <c r="AW463">
        <v>2</v>
      </c>
      <c r="AX463" t="s">
        <v>238</v>
      </c>
      <c r="AY463" t="s">
        <v>239</v>
      </c>
      <c r="AZ463" t="s">
        <v>240</v>
      </c>
      <c r="BA463">
        <v>3.637E-2</v>
      </c>
      <c r="BB463">
        <v>1</v>
      </c>
      <c r="BC463" t="s">
        <v>69</v>
      </c>
      <c r="BD463">
        <v>0.30499999999999999</v>
      </c>
      <c r="BE463">
        <v>0.30499999999999999</v>
      </c>
    </row>
    <row r="464" spans="1:57">
      <c r="A464">
        <v>0</v>
      </c>
      <c r="B464">
        <v>0</v>
      </c>
      <c r="C464">
        <v>0</v>
      </c>
      <c r="D464">
        <v>63</v>
      </c>
      <c r="E464" t="s">
        <v>241</v>
      </c>
      <c r="F464" t="s">
        <v>5762</v>
      </c>
      <c r="G464" t="s">
        <v>57</v>
      </c>
      <c r="H464">
        <v>69626</v>
      </c>
      <c r="I464">
        <v>70009</v>
      </c>
      <c r="J464" t="s">
        <v>242</v>
      </c>
      <c r="K464">
        <v>128</v>
      </c>
      <c r="L464" t="s">
        <v>59</v>
      </c>
      <c r="M464">
        <v>5</v>
      </c>
      <c r="N464" t="str">
        <f>HYPERLINK("Gene63-zp_tree_all.dnd", "Gene63-tree")</f>
        <v>Gene63-tree</v>
      </c>
    </row>
    <row r="465" spans="1:57">
      <c r="A465">
        <v>0</v>
      </c>
      <c r="B465">
        <v>0</v>
      </c>
      <c r="C465">
        <v>0</v>
      </c>
      <c r="D465">
        <v>65</v>
      </c>
      <c r="E465" t="s">
        <v>243</v>
      </c>
      <c r="F465" t="s">
        <v>5762</v>
      </c>
      <c r="G465" t="s">
        <v>57</v>
      </c>
      <c r="H465">
        <v>73106</v>
      </c>
      <c r="I465">
        <v>73840</v>
      </c>
      <c r="J465" t="s">
        <v>118</v>
      </c>
      <c r="K465">
        <v>245</v>
      </c>
      <c r="L465" t="s">
        <v>59</v>
      </c>
      <c r="M465">
        <v>5</v>
      </c>
      <c r="N465" t="str">
        <f>HYPERLINK("Gene65-zp_tree_all.dnd", "Gene65-tree")</f>
        <v>Gene65-tree</v>
      </c>
      <c r="O465">
        <v>4</v>
      </c>
      <c r="P465">
        <v>1</v>
      </c>
      <c r="Q465">
        <v>4</v>
      </c>
      <c r="R465">
        <v>1</v>
      </c>
      <c r="S465">
        <v>0.2</v>
      </c>
      <c r="T465" t="s">
        <v>60</v>
      </c>
      <c r="U465" t="s">
        <v>61</v>
      </c>
      <c r="V465" t="s">
        <v>62</v>
      </c>
      <c r="W465" t="s">
        <v>62</v>
      </c>
      <c r="X465">
        <v>0</v>
      </c>
      <c r="Y465">
        <v>0</v>
      </c>
      <c r="Z465">
        <v>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1</v>
      </c>
      <c r="AK465">
        <v>0</v>
      </c>
      <c r="AL465">
        <v>5</v>
      </c>
      <c r="AM465">
        <v>2</v>
      </c>
      <c r="AN465">
        <v>21</v>
      </c>
      <c r="AO465">
        <v>1</v>
      </c>
      <c r="AP465">
        <v>21</v>
      </c>
      <c r="AQ465">
        <v>2</v>
      </c>
      <c r="AR465" t="s">
        <v>244</v>
      </c>
      <c r="AS465" t="s">
        <v>245</v>
      </c>
      <c r="AT465">
        <v>0.308</v>
      </c>
      <c r="AU465" t="s">
        <v>65</v>
      </c>
      <c r="AV465">
        <v>42</v>
      </c>
      <c r="AW465">
        <v>3</v>
      </c>
      <c r="AX465" t="s">
        <v>246</v>
      </c>
      <c r="AY465" t="s">
        <v>247</v>
      </c>
      <c r="AZ465" t="s">
        <v>248</v>
      </c>
      <c r="BA465">
        <v>2.0969999999999999E-2</v>
      </c>
      <c r="BB465">
        <v>1</v>
      </c>
      <c r="BC465" t="s">
        <v>69</v>
      </c>
      <c r="BD465">
        <v>0.68700000000000006</v>
      </c>
      <c r="BE465">
        <v>0.314</v>
      </c>
    </row>
    <row r="466" spans="1:57">
      <c r="A466">
        <v>0</v>
      </c>
      <c r="B466">
        <v>2</v>
      </c>
      <c r="C466">
        <v>2</v>
      </c>
      <c r="D466">
        <v>67</v>
      </c>
      <c r="E466" t="s">
        <v>249</v>
      </c>
      <c r="F466" t="s">
        <v>5762</v>
      </c>
      <c r="G466" t="s">
        <v>57</v>
      </c>
      <c r="H466">
        <v>74929</v>
      </c>
      <c r="I466">
        <v>76344</v>
      </c>
      <c r="J466" t="s">
        <v>250</v>
      </c>
      <c r="K466">
        <v>472</v>
      </c>
      <c r="L466" t="s">
        <v>59</v>
      </c>
      <c r="M466">
        <v>5</v>
      </c>
      <c r="N466" t="str">
        <f>HYPERLINK("Gene67-zp_tree_all.dnd", "Gene67-tree")</f>
        <v>Gene67-tree</v>
      </c>
      <c r="O466">
        <v>0</v>
      </c>
      <c r="P466">
        <v>5</v>
      </c>
      <c r="Q466">
        <v>0</v>
      </c>
      <c r="R466">
        <v>5</v>
      </c>
      <c r="S466">
        <v>1</v>
      </c>
      <c r="T466" t="s">
        <v>62</v>
      </c>
      <c r="U466" t="s">
        <v>98</v>
      </c>
      <c r="V466" t="s">
        <v>62</v>
      </c>
      <c r="W466" t="s">
        <v>62</v>
      </c>
      <c r="X466">
        <v>2</v>
      </c>
      <c r="Y466">
        <v>4</v>
      </c>
      <c r="Z466">
        <v>25</v>
      </c>
      <c r="AA466">
        <v>0.13793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2</v>
      </c>
      <c r="AH466">
        <v>0</v>
      </c>
      <c r="AI466">
        <v>2</v>
      </c>
      <c r="AJ466">
        <v>18</v>
      </c>
      <c r="AK466">
        <v>0.1</v>
      </c>
      <c r="AL466">
        <v>5</v>
      </c>
      <c r="AM466">
        <v>2</v>
      </c>
      <c r="AN466">
        <v>21</v>
      </c>
      <c r="AO466">
        <v>19</v>
      </c>
      <c r="AP466">
        <v>33</v>
      </c>
      <c r="AQ466">
        <v>10</v>
      </c>
      <c r="AR466" t="s">
        <v>251</v>
      </c>
      <c r="AS466" t="s">
        <v>252</v>
      </c>
      <c r="AT466">
        <v>1.615</v>
      </c>
      <c r="AU466" t="s">
        <v>65</v>
      </c>
      <c r="AV466">
        <v>54</v>
      </c>
      <c r="AW466">
        <v>29</v>
      </c>
      <c r="AX466" t="s">
        <v>253</v>
      </c>
      <c r="AY466" t="s">
        <v>254</v>
      </c>
      <c r="AZ466" t="s">
        <v>255</v>
      </c>
      <c r="BA466">
        <v>0.12712000000000001</v>
      </c>
      <c r="BB466">
        <v>1</v>
      </c>
      <c r="BC466" t="s">
        <v>69</v>
      </c>
      <c r="BD466">
        <v>0.61599999999999999</v>
      </c>
      <c r="BE466">
        <v>0.53600000000000003</v>
      </c>
    </row>
    <row r="467" spans="1:57">
      <c r="A467">
        <v>0</v>
      </c>
      <c r="B467">
        <v>0</v>
      </c>
      <c r="C467">
        <v>0</v>
      </c>
      <c r="D467">
        <v>68</v>
      </c>
      <c r="E467" t="s">
        <v>256</v>
      </c>
      <c r="F467" t="s">
        <v>5762</v>
      </c>
      <c r="G467" t="s">
        <v>57</v>
      </c>
      <c r="H467">
        <v>76344</v>
      </c>
      <c r="I467">
        <v>76883</v>
      </c>
      <c r="J467" t="s">
        <v>257</v>
      </c>
      <c r="K467">
        <v>180</v>
      </c>
      <c r="L467" t="s">
        <v>59</v>
      </c>
      <c r="M467">
        <v>5</v>
      </c>
      <c r="N467" t="str">
        <f>HYPERLINK("Gene68-zp_tree_all.dnd", "Gene68-tree")</f>
        <v>Gene68-tree</v>
      </c>
      <c r="O467">
        <v>4</v>
      </c>
      <c r="P467">
        <v>1</v>
      </c>
      <c r="Q467">
        <v>3</v>
      </c>
      <c r="R467">
        <v>1</v>
      </c>
      <c r="S467">
        <v>0.25</v>
      </c>
      <c r="T467" t="s">
        <v>119</v>
      </c>
      <c r="U467" t="s">
        <v>61</v>
      </c>
      <c r="V467" t="s">
        <v>62</v>
      </c>
      <c r="W467" t="s">
        <v>62</v>
      </c>
      <c r="X467">
        <v>0</v>
      </c>
      <c r="Y467">
        <v>0</v>
      </c>
      <c r="Z467">
        <v>2</v>
      </c>
      <c r="AA467">
        <v>0</v>
      </c>
      <c r="AB467">
        <v>0</v>
      </c>
      <c r="AC467">
        <v>0</v>
      </c>
      <c r="AD467">
        <v>0</v>
      </c>
      <c r="AE467">
        <v>1</v>
      </c>
      <c r="AF467">
        <v>0</v>
      </c>
      <c r="AG467">
        <v>0</v>
      </c>
      <c r="AH467">
        <v>0</v>
      </c>
      <c r="AI467">
        <v>0</v>
      </c>
      <c r="AJ467">
        <v>1</v>
      </c>
      <c r="AK467">
        <v>0</v>
      </c>
      <c r="AL467">
        <v>3</v>
      </c>
      <c r="AM467">
        <v>1</v>
      </c>
      <c r="AN467">
        <v>3</v>
      </c>
      <c r="AO467">
        <v>1</v>
      </c>
      <c r="AP467">
        <v>5</v>
      </c>
      <c r="AQ467">
        <v>1</v>
      </c>
      <c r="AR467" t="s">
        <v>258</v>
      </c>
      <c r="AS467" t="s">
        <v>259</v>
      </c>
      <c r="AT467">
        <v>0.26700000000000002</v>
      </c>
      <c r="AU467" t="s">
        <v>65</v>
      </c>
      <c r="AV467">
        <v>8</v>
      </c>
      <c r="AW467">
        <v>2</v>
      </c>
      <c r="AX467" t="s">
        <v>260</v>
      </c>
      <c r="AY467" t="s">
        <v>261</v>
      </c>
      <c r="AZ467" t="s">
        <v>262</v>
      </c>
      <c r="BA467">
        <v>6.8210000000000007E-2</v>
      </c>
      <c r="BB467">
        <v>1</v>
      </c>
      <c r="BC467" t="s">
        <v>69</v>
      </c>
      <c r="BD467">
        <v>0.59599999999999997</v>
      </c>
      <c r="BE467">
        <v>0.59599999999999997</v>
      </c>
    </row>
    <row r="468" spans="1:57">
      <c r="A468">
        <v>0</v>
      </c>
      <c r="B468">
        <v>0</v>
      </c>
      <c r="C468">
        <v>0</v>
      </c>
      <c r="D468">
        <v>69</v>
      </c>
      <c r="E468" t="s">
        <v>263</v>
      </c>
      <c r="F468" t="s">
        <v>5762</v>
      </c>
      <c r="G468" t="s">
        <v>57</v>
      </c>
      <c r="H468">
        <v>76984</v>
      </c>
      <c r="I468">
        <v>78894</v>
      </c>
      <c r="J468" t="s">
        <v>264</v>
      </c>
      <c r="K468">
        <v>637</v>
      </c>
      <c r="L468" t="s">
        <v>59</v>
      </c>
      <c r="M468">
        <v>5</v>
      </c>
      <c r="N468" t="str">
        <f>HYPERLINK("Gene69-zp_tree_all.dnd", "Gene69-tree")</f>
        <v>Gene69-tree</v>
      </c>
      <c r="O468">
        <v>5</v>
      </c>
      <c r="P468">
        <v>0</v>
      </c>
      <c r="Q468">
        <v>5</v>
      </c>
      <c r="R468">
        <v>0</v>
      </c>
      <c r="S468">
        <v>0</v>
      </c>
      <c r="T468" t="s">
        <v>98</v>
      </c>
      <c r="U468" t="s">
        <v>62</v>
      </c>
      <c r="V468" t="s">
        <v>62</v>
      </c>
      <c r="W468" t="s">
        <v>62</v>
      </c>
      <c r="X468">
        <v>0</v>
      </c>
      <c r="Y468">
        <v>0</v>
      </c>
      <c r="Z468">
        <v>2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5</v>
      </c>
      <c r="AM468">
        <v>2</v>
      </c>
      <c r="AN468">
        <v>32</v>
      </c>
      <c r="AO468">
        <v>0</v>
      </c>
      <c r="AP468">
        <v>56</v>
      </c>
      <c r="AQ468">
        <v>2</v>
      </c>
      <c r="AR468" t="s">
        <v>64</v>
      </c>
      <c r="AS468" t="s">
        <v>265</v>
      </c>
      <c r="AT468">
        <v>0.80700000000000005</v>
      </c>
      <c r="AU468" t="s">
        <v>65</v>
      </c>
      <c r="AV468">
        <v>88</v>
      </c>
      <c r="AW468">
        <v>2</v>
      </c>
      <c r="AX468" t="s">
        <v>266</v>
      </c>
      <c r="AY468" t="s">
        <v>267</v>
      </c>
      <c r="AZ468" t="s">
        <v>268</v>
      </c>
      <c r="BA468">
        <v>7.2500000000000004E-3</v>
      </c>
      <c r="BB468">
        <v>1</v>
      </c>
      <c r="BC468" t="s">
        <v>69</v>
      </c>
      <c r="BD468">
        <v>1.1639999999999999</v>
      </c>
      <c r="BE468">
        <v>0.625</v>
      </c>
    </row>
    <row r="469" spans="1:57">
      <c r="A469">
        <v>0</v>
      </c>
      <c r="B469">
        <v>0</v>
      </c>
      <c r="C469">
        <v>0</v>
      </c>
      <c r="D469">
        <v>70</v>
      </c>
      <c r="E469" t="s">
        <v>269</v>
      </c>
      <c r="F469" t="s">
        <v>5762</v>
      </c>
      <c r="G469" t="s">
        <v>57</v>
      </c>
      <c r="H469">
        <v>79092</v>
      </c>
      <c r="I469">
        <v>79865</v>
      </c>
      <c r="J469" t="s">
        <v>270</v>
      </c>
      <c r="K469">
        <v>258</v>
      </c>
      <c r="L469" t="s">
        <v>59</v>
      </c>
      <c r="M469">
        <v>5</v>
      </c>
      <c r="N469" t="str">
        <f>HYPERLINK("Gene70-zp_tree_all.dnd", "Gene70-tree")</f>
        <v>Gene70-tree</v>
      </c>
      <c r="O469">
        <v>4</v>
      </c>
      <c r="P469">
        <v>1</v>
      </c>
      <c r="Q469">
        <v>4</v>
      </c>
      <c r="R469">
        <v>1</v>
      </c>
      <c r="S469">
        <v>0.2</v>
      </c>
      <c r="T469" t="s">
        <v>60</v>
      </c>
      <c r="U469" t="s">
        <v>61</v>
      </c>
      <c r="V469" t="s">
        <v>62</v>
      </c>
      <c r="W469" t="s">
        <v>62</v>
      </c>
      <c r="X469">
        <v>0</v>
      </c>
      <c r="Y469">
        <v>0</v>
      </c>
      <c r="Z469">
        <v>2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1</v>
      </c>
      <c r="AK469">
        <v>0</v>
      </c>
      <c r="AL469">
        <v>5</v>
      </c>
      <c r="AM469">
        <v>2</v>
      </c>
      <c r="AN469">
        <v>18</v>
      </c>
      <c r="AO469">
        <v>1</v>
      </c>
      <c r="AP469">
        <v>24</v>
      </c>
      <c r="AQ469">
        <v>1</v>
      </c>
      <c r="AR469" t="s">
        <v>271</v>
      </c>
      <c r="AS469" t="s">
        <v>272</v>
      </c>
      <c r="AT469">
        <v>0.14399999999999999</v>
      </c>
      <c r="AU469" t="s">
        <v>65</v>
      </c>
      <c r="AV469">
        <v>42</v>
      </c>
      <c r="AW469">
        <v>2</v>
      </c>
      <c r="AX469" t="s">
        <v>273</v>
      </c>
      <c r="AY469" t="s">
        <v>274</v>
      </c>
      <c r="AZ469" t="s">
        <v>275</v>
      </c>
      <c r="BA469">
        <v>1.3089999999999999E-2</v>
      </c>
      <c r="BB469">
        <v>1</v>
      </c>
      <c r="BC469" t="s">
        <v>69</v>
      </c>
      <c r="BD469">
        <v>0.84899999999999998</v>
      </c>
      <c r="BE469">
        <v>0.65800000000000003</v>
      </c>
    </row>
    <row r="470" spans="1:57">
      <c r="A470">
        <v>0</v>
      </c>
      <c r="B470">
        <v>0</v>
      </c>
      <c r="C470">
        <v>0</v>
      </c>
      <c r="D470">
        <v>71</v>
      </c>
      <c r="E470" t="s">
        <v>276</v>
      </c>
      <c r="F470" t="s">
        <v>5762</v>
      </c>
      <c r="G470" t="s">
        <v>57</v>
      </c>
      <c r="H470">
        <v>79880</v>
      </c>
      <c r="I470">
        <v>80752</v>
      </c>
      <c r="J470" t="s">
        <v>277</v>
      </c>
      <c r="K470">
        <v>291</v>
      </c>
      <c r="L470" t="s">
        <v>59</v>
      </c>
      <c r="M470">
        <v>5</v>
      </c>
      <c r="N470" t="str">
        <f>HYPERLINK("Gene71-zp_tree_all.dnd", "Gene71-tree")</f>
        <v>Gene71-tree</v>
      </c>
      <c r="O470">
        <v>3</v>
      </c>
      <c r="P470">
        <v>2</v>
      </c>
      <c r="Q470">
        <v>3</v>
      </c>
      <c r="R470">
        <v>2</v>
      </c>
      <c r="S470">
        <v>0.4</v>
      </c>
      <c r="T470" t="s">
        <v>84</v>
      </c>
      <c r="U470" t="s">
        <v>135</v>
      </c>
      <c r="V470" t="s">
        <v>62</v>
      </c>
      <c r="W470" t="s">
        <v>62</v>
      </c>
      <c r="X470">
        <v>0</v>
      </c>
      <c r="Y470">
        <v>0</v>
      </c>
      <c r="Z470">
        <v>5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4</v>
      </c>
      <c r="AK470">
        <v>0</v>
      </c>
      <c r="AL470">
        <v>5</v>
      </c>
      <c r="AM470">
        <v>2</v>
      </c>
      <c r="AN470">
        <v>38</v>
      </c>
      <c r="AO470">
        <v>4</v>
      </c>
      <c r="AP470">
        <v>20</v>
      </c>
      <c r="AQ470">
        <v>1</v>
      </c>
      <c r="AR470" t="s">
        <v>278</v>
      </c>
      <c r="AS470" t="s">
        <v>279</v>
      </c>
      <c r="AT470">
        <v>0.42199999999999999</v>
      </c>
      <c r="AU470" t="s">
        <v>65</v>
      </c>
      <c r="AV470">
        <v>58</v>
      </c>
      <c r="AW470">
        <v>5</v>
      </c>
      <c r="AX470" t="s">
        <v>280</v>
      </c>
      <c r="AY470" t="s">
        <v>281</v>
      </c>
      <c r="AZ470" t="s">
        <v>282</v>
      </c>
      <c r="BA470">
        <v>2.3599999999999999E-2</v>
      </c>
      <c r="BB470">
        <v>1</v>
      </c>
      <c r="BC470" t="s">
        <v>69</v>
      </c>
      <c r="BD470">
        <v>0.125</v>
      </c>
      <c r="BE470">
        <v>-0.28199999999999997</v>
      </c>
    </row>
    <row r="471" spans="1:57">
      <c r="A471">
        <v>0</v>
      </c>
      <c r="B471">
        <v>0</v>
      </c>
      <c r="C471">
        <v>0</v>
      </c>
      <c r="D471">
        <v>73</v>
      </c>
      <c r="E471" t="s">
        <v>283</v>
      </c>
      <c r="F471" t="s">
        <v>5762</v>
      </c>
      <c r="G471" t="s">
        <v>57</v>
      </c>
      <c r="H471">
        <v>81771</v>
      </c>
      <c r="I471">
        <v>82694</v>
      </c>
      <c r="J471" t="s">
        <v>284</v>
      </c>
      <c r="K471">
        <v>308</v>
      </c>
      <c r="L471" t="s">
        <v>59</v>
      </c>
      <c r="M471">
        <v>5</v>
      </c>
      <c r="N471" t="str">
        <f>HYPERLINK("Gene73-zp_tree_all.dnd", "Gene73-tree")</f>
        <v>Gene73-tree</v>
      </c>
      <c r="O471">
        <v>2</v>
      </c>
      <c r="P471">
        <v>3</v>
      </c>
      <c r="Q471">
        <v>2</v>
      </c>
      <c r="R471">
        <v>3</v>
      </c>
      <c r="S471">
        <v>0.6</v>
      </c>
      <c r="T471" t="s">
        <v>135</v>
      </c>
      <c r="U471" t="s">
        <v>84</v>
      </c>
      <c r="V471" t="s">
        <v>62</v>
      </c>
      <c r="W471" t="s">
        <v>62</v>
      </c>
      <c r="X471">
        <v>0</v>
      </c>
      <c r="Y471">
        <v>0</v>
      </c>
      <c r="Z471">
        <v>3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3</v>
      </c>
      <c r="AK471">
        <v>0</v>
      </c>
      <c r="AL471">
        <v>5</v>
      </c>
      <c r="AM471">
        <v>2</v>
      </c>
      <c r="AN471">
        <v>40</v>
      </c>
      <c r="AO471">
        <v>3</v>
      </c>
      <c r="AP471">
        <v>23</v>
      </c>
      <c r="AQ471">
        <v>0</v>
      </c>
      <c r="AR471" t="s">
        <v>285</v>
      </c>
      <c r="AS471" t="s">
        <v>64</v>
      </c>
      <c r="AT471">
        <v>2.57</v>
      </c>
      <c r="AU471" t="s">
        <v>286</v>
      </c>
      <c r="AV471">
        <v>63</v>
      </c>
      <c r="AW471">
        <v>3</v>
      </c>
      <c r="AX471" t="s">
        <v>287</v>
      </c>
      <c r="AY471" t="s">
        <v>288</v>
      </c>
      <c r="AZ471" t="s">
        <v>289</v>
      </c>
      <c r="BA471">
        <v>1.205E-2</v>
      </c>
      <c r="BB471">
        <v>1</v>
      </c>
      <c r="BC471" t="s">
        <v>69</v>
      </c>
      <c r="BD471">
        <v>0.109</v>
      </c>
      <c r="BE471">
        <v>-0.27900000000000003</v>
      </c>
    </row>
    <row r="472" spans="1:57">
      <c r="A472">
        <v>0</v>
      </c>
      <c r="B472">
        <v>0</v>
      </c>
      <c r="C472">
        <v>0</v>
      </c>
      <c r="D472">
        <v>80</v>
      </c>
      <c r="E472" t="s">
        <v>290</v>
      </c>
      <c r="F472" t="s">
        <v>5762</v>
      </c>
      <c r="G472" t="s">
        <v>57</v>
      </c>
      <c r="H472">
        <v>87401</v>
      </c>
      <c r="I472">
        <v>87607</v>
      </c>
      <c r="J472" t="s">
        <v>291</v>
      </c>
      <c r="K472">
        <v>69</v>
      </c>
      <c r="L472" t="s">
        <v>59</v>
      </c>
      <c r="M472">
        <v>5</v>
      </c>
      <c r="N472" t="str">
        <f>HYPERLINK("Gene80-zp_tree_all.dnd", "Gene80-tree")</f>
        <v>Gene80-tree</v>
      </c>
      <c r="O472">
        <v>3</v>
      </c>
      <c r="P472">
        <v>1</v>
      </c>
      <c r="Q472">
        <v>3</v>
      </c>
      <c r="R472">
        <v>1</v>
      </c>
      <c r="S472">
        <v>0.25</v>
      </c>
      <c r="T472" t="s">
        <v>84</v>
      </c>
      <c r="U472" t="s">
        <v>61</v>
      </c>
      <c r="V472" t="s">
        <v>62</v>
      </c>
      <c r="W472" t="s">
        <v>62</v>
      </c>
      <c r="X472">
        <v>0</v>
      </c>
      <c r="Y472">
        <v>0</v>
      </c>
      <c r="Z472">
        <v>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1</v>
      </c>
      <c r="AK472">
        <v>0</v>
      </c>
      <c r="AL472">
        <v>3</v>
      </c>
      <c r="AM472">
        <v>0</v>
      </c>
      <c r="AN472">
        <v>5</v>
      </c>
      <c r="AO472">
        <v>1</v>
      </c>
      <c r="AP472">
        <v>0</v>
      </c>
      <c r="AQ472">
        <v>0</v>
      </c>
      <c r="AR472" t="s">
        <v>292</v>
      </c>
      <c r="AS472" t="s">
        <v>64</v>
      </c>
      <c r="AT472">
        <v>0.74099999999999999</v>
      </c>
      <c r="AU472" t="s">
        <v>65</v>
      </c>
      <c r="AV472">
        <v>5</v>
      </c>
      <c r="AW472">
        <v>1</v>
      </c>
      <c r="AX472" t="s">
        <v>293</v>
      </c>
      <c r="AY472" t="s">
        <v>294</v>
      </c>
      <c r="AZ472" t="s">
        <v>295</v>
      </c>
      <c r="BA472">
        <v>5.9299999999999999E-2</v>
      </c>
      <c r="BB472">
        <v>1</v>
      </c>
      <c r="BC472" t="s">
        <v>69</v>
      </c>
      <c r="BD472">
        <v>0.76400000000000001</v>
      </c>
      <c r="BE472">
        <v>0.76400000000000001</v>
      </c>
    </row>
    <row r="473" spans="1:57">
      <c r="A473">
        <v>0</v>
      </c>
      <c r="B473">
        <v>0</v>
      </c>
      <c r="C473">
        <v>0</v>
      </c>
      <c r="D473">
        <v>81</v>
      </c>
      <c r="E473" t="s">
        <v>296</v>
      </c>
      <c r="F473" t="s">
        <v>5762</v>
      </c>
      <c r="G473" t="s">
        <v>57</v>
      </c>
      <c r="H473">
        <v>87634</v>
      </c>
      <c r="I473">
        <v>88632</v>
      </c>
      <c r="J473" t="s">
        <v>297</v>
      </c>
      <c r="K473">
        <v>333</v>
      </c>
      <c r="L473" t="s">
        <v>83</v>
      </c>
      <c r="M473">
        <v>4</v>
      </c>
      <c r="N473" t="str">
        <f>HYPERLINK("Gene81-zp_tree_all.dnd", "Gene81-tree")</f>
        <v>Gene81-tree</v>
      </c>
      <c r="O473">
        <v>2</v>
      </c>
      <c r="P473">
        <v>2</v>
      </c>
      <c r="Q473">
        <v>2</v>
      </c>
      <c r="R473">
        <v>2</v>
      </c>
      <c r="S473">
        <v>0.5</v>
      </c>
      <c r="T473" t="s">
        <v>135</v>
      </c>
      <c r="U473" t="s">
        <v>135</v>
      </c>
      <c r="V473" t="s">
        <v>62</v>
      </c>
      <c r="W473" t="s">
        <v>62</v>
      </c>
      <c r="X473">
        <v>0</v>
      </c>
      <c r="Y473">
        <v>0</v>
      </c>
      <c r="Z473">
        <v>5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5</v>
      </c>
      <c r="AK473">
        <v>0</v>
      </c>
      <c r="AL473">
        <v>3</v>
      </c>
      <c r="AM473">
        <v>1</v>
      </c>
      <c r="AN473">
        <v>41</v>
      </c>
      <c r="AO473">
        <v>5</v>
      </c>
      <c r="AP473">
        <v>1</v>
      </c>
      <c r="AQ473">
        <v>0</v>
      </c>
      <c r="AR473" t="s">
        <v>298</v>
      </c>
      <c r="AS473" t="s">
        <v>64</v>
      </c>
      <c r="AT473">
        <v>0.67900000000000005</v>
      </c>
      <c r="AU473" t="s">
        <v>65</v>
      </c>
      <c r="AV473">
        <v>42</v>
      </c>
      <c r="AW473">
        <v>5</v>
      </c>
      <c r="AX473" t="s">
        <v>299</v>
      </c>
      <c r="AY473" t="s">
        <v>300</v>
      </c>
      <c r="AZ473" t="s">
        <v>301</v>
      </c>
      <c r="BA473">
        <v>2.9819999999999999E-2</v>
      </c>
      <c r="BB473">
        <v>1</v>
      </c>
      <c r="BC473" t="s">
        <v>69</v>
      </c>
      <c r="BD473">
        <v>-0.79900000000000004</v>
      </c>
      <c r="BE473">
        <v>-0.79900000000000004</v>
      </c>
    </row>
    <row r="474" spans="1:57">
      <c r="A474">
        <v>0</v>
      </c>
      <c r="B474">
        <v>0</v>
      </c>
      <c r="C474">
        <v>0</v>
      </c>
      <c r="D474">
        <v>82</v>
      </c>
      <c r="E474" t="s">
        <v>302</v>
      </c>
      <c r="F474" t="s">
        <v>5762</v>
      </c>
      <c r="G474" t="s">
        <v>57</v>
      </c>
      <c r="H474">
        <v>88727</v>
      </c>
      <c r="I474">
        <v>90223</v>
      </c>
      <c r="J474" t="s">
        <v>303</v>
      </c>
      <c r="K474">
        <v>499</v>
      </c>
      <c r="L474" t="s">
        <v>59</v>
      </c>
      <c r="M474">
        <v>5</v>
      </c>
      <c r="N474" t="str">
        <f>HYPERLINK("Gene82-zp_tree_all.dnd", "Gene82-tree")</f>
        <v>Gene82-tree</v>
      </c>
      <c r="O474">
        <v>3</v>
      </c>
      <c r="P474">
        <v>2</v>
      </c>
      <c r="Q474">
        <v>3</v>
      </c>
      <c r="R474">
        <v>2</v>
      </c>
      <c r="S474">
        <v>0.4</v>
      </c>
      <c r="T474" t="s">
        <v>84</v>
      </c>
      <c r="U474" t="s">
        <v>135</v>
      </c>
      <c r="V474" t="s">
        <v>62</v>
      </c>
      <c r="W474" t="s">
        <v>62</v>
      </c>
      <c r="X474">
        <v>0</v>
      </c>
      <c r="Y474">
        <v>0</v>
      </c>
      <c r="Z474">
        <v>3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2</v>
      </c>
      <c r="AK474">
        <v>0</v>
      </c>
      <c r="AL474">
        <v>5</v>
      </c>
      <c r="AM474">
        <v>2</v>
      </c>
      <c r="AN474">
        <v>38</v>
      </c>
      <c r="AO474">
        <v>2</v>
      </c>
      <c r="AP474">
        <v>49</v>
      </c>
      <c r="AQ474">
        <v>1</v>
      </c>
      <c r="AR474" t="s">
        <v>304</v>
      </c>
      <c r="AS474" t="s">
        <v>305</v>
      </c>
      <c r="AT474">
        <v>0.57599999999999996</v>
      </c>
      <c r="AU474" t="s">
        <v>65</v>
      </c>
      <c r="AV474">
        <v>87</v>
      </c>
      <c r="AW474">
        <v>3</v>
      </c>
      <c r="AX474" t="s">
        <v>306</v>
      </c>
      <c r="AY474" t="s">
        <v>307</v>
      </c>
      <c r="AZ474" t="s">
        <v>308</v>
      </c>
      <c r="BA474">
        <v>8.0300000000000007E-3</v>
      </c>
      <c r="BB474">
        <v>1</v>
      </c>
      <c r="BC474" t="s">
        <v>69</v>
      </c>
      <c r="BD474">
        <v>0.66600000000000004</v>
      </c>
      <c r="BE474">
        <v>0.39</v>
      </c>
    </row>
    <row r="475" spans="1:57">
      <c r="A475">
        <v>0</v>
      </c>
      <c r="B475">
        <v>0</v>
      </c>
      <c r="C475">
        <v>0</v>
      </c>
      <c r="D475">
        <v>83</v>
      </c>
      <c r="E475" t="s">
        <v>309</v>
      </c>
      <c r="F475" t="s">
        <v>5762</v>
      </c>
      <c r="G475" t="s">
        <v>57</v>
      </c>
      <c r="H475">
        <v>101449</v>
      </c>
      <c r="I475">
        <v>101910</v>
      </c>
      <c r="J475" t="s">
        <v>310</v>
      </c>
      <c r="K475">
        <v>154</v>
      </c>
      <c r="L475" t="s">
        <v>59</v>
      </c>
      <c r="M475">
        <v>5</v>
      </c>
      <c r="N475" t="str">
        <f>HYPERLINK("Gene83-zp_tree_all.dnd", "Gene83-tree")</f>
        <v>Gene83-tree</v>
      </c>
      <c r="O475">
        <v>3</v>
      </c>
      <c r="P475">
        <v>2</v>
      </c>
      <c r="Q475">
        <v>3</v>
      </c>
      <c r="R475">
        <v>2</v>
      </c>
      <c r="S475">
        <v>0.4</v>
      </c>
      <c r="T475" t="s">
        <v>84</v>
      </c>
      <c r="U475" t="s">
        <v>135</v>
      </c>
      <c r="V475" t="s">
        <v>62</v>
      </c>
      <c r="W475" t="s">
        <v>62</v>
      </c>
      <c r="X475">
        <v>0</v>
      </c>
      <c r="Y475">
        <v>0</v>
      </c>
      <c r="Z475">
        <v>2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2</v>
      </c>
      <c r="AK475">
        <v>0</v>
      </c>
      <c r="AL475">
        <v>4</v>
      </c>
      <c r="AM475">
        <v>1</v>
      </c>
      <c r="AN475">
        <v>7</v>
      </c>
      <c r="AO475">
        <v>2</v>
      </c>
      <c r="AP475">
        <v>4</v>
      </c>
      <c r="AQ475">
        <v>0</v>
      </c>
      <c r="AR475" t="s">
        <v>311</v>
      </c>
      <c r="AS475" t="s">
        <v>64</v>
      </c>
      <c r="AT475">
        <v>1.6259999999999999</v>
      </c>
      <c r="AU475" t="s">
        <v>65</v>
      </c>
      <c r="AV475">
        <v>11</v>
      </c>
      <c r="AW475">
        <v>2</v>
      </c>
      <c r="AX475" t="s">
        <v>312</v>
      </c>
      <c r="AY475" t="s">
        <v>313</v>
      </c>
      <c r="AZ475" t="s">
        <v>314</v>
      </c>
      <c r="BA475">
        <v>3.8710000000000001E-2</v>
      </c>
      <c r="BB475">
        <v>1</v>
      </c>
      <c r="BC475" t="s">
        <v>69</v>
      </c>
      <c r="BD475">
        <v>-0.27900000000000003</v>
      </c>
      <c r="BE475">
        <v>-0.27900000000000003</v>
      </c>
    </row>
    <row r="476" spans="1:57">
      <c r="A476">
        <v>0</v>
      </c>
      <c r="B476">
        <v>0</v>
      </c>
      <c r="C476">
        <v>0</v>
      </c>
      <c r="D476">
        <v>84</v>
      </c>
      <c r="E476" t="s">
        <v>315</v>
      </c>
      <c r="F476" t="s">
        <v>5762</v>
      </c>
      <c r="G476" t="s">
        <v>57</v>
      </c>
      <c r="H476">
        <v>101927</v>
      </c>
      <c r="I476">
        <v>102481</v>
      </c>
      <c r="J476" t="s">
        <v>316</v>
      </c>
      <c r="K476">
        <v>185</v>
      </c>
      <c r="L476" t="s">
        <v>59</v>
      </c>
      <c r="M476">
        <v>5</v>
      </c>
      <c r="N476" t="str">
        <f>HYPERLINK("Gene84-zp_tree_all.dnd", "Gene84-tree")</f>
        <v>Gene84-tree</v>
      </c>
      <c r="O476">
        <v>3</v>
      </c>
      <c r="P476">
        <v>2</v>
      </c>
      <c r="Q476">
        <v>3</v>
      </c>
      <c r="R476">
        <v>2</v>
      </c>
      <c r="S476">
        <v>0.4</v>
      </c>
      <c r="T476" t="s">
        <v>84</v>
      </c>
      <c r="U476" t="s">
        <v>135</v>
      </c>
      <c r="V476" t="s">
        <v>62</v>
      </c>
      <c r="W476" t="s">
        <v>62</v>
      </c>
      <c r="X476">
        <v>0</v>
      </c>
      <c r="Y476">
        <v>0</v>
      </c>
      <c r="Z476">
        <v>5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4</v>
      </c>
      <c r="AK476">
        <v>0</v>
      </c>
      <c r="AL476">
        <v>4</v>
      </c>
      <c r="AM476">
        <v>2</v>
      </c>
      <c r="AN476">
        <v>6</v>
      </c>
      <c r="AO476">
        <v>4</v>
      </c>
      <c r="AP476">
        <v>20</v>
      </c>
      <c r="AQ476">
        <v>1</v>
      </c>
      <c r="AR476" t="s">
        <v>317</v>
      </c>
      <c r="AS476" t="s">
        <v>318</v>
      </c>
      <c r="AT476">
        <v>0.73899999999999999</v>
      </c>
      <c r="AU476" t="s">
        <v>65</v>
      </c>
      <c r="AV476">
        <v>26</v>
      </c>
      <c r="AW476">
        <v>5</v>
      </c>
      <c r="AX476" t="s">
        <v>319</v>
      </c>
      <c r="AY476" t="s">
        <v>320</v>
      </c>
      <c r="AZ476" t="s">
        <v>321</v>
      </c>
      <c r="BA476">
        <v>3.4090000000000002E-2</v>
      </c>
      <c r="BB476">
        <v>1</v>
      </c>
      <c r="BC476" t="s">
        <v>69</v>
      </c>
      <c r="BD476">
        <v>0.98699999999999999</v>
      </c>
      <c r="BE476">
        <v>0.72699999999999998</v>
      </c>
    </row>
    <row r="477" spans="1:57">
      <c r="A477">
        <v>0</v>
      </c>
      <c r="B477">
        <v>0</v>
      </c>
      <c r="C477">
        <v>0</v>
      </c>
      <c r="D477">
        <v>85</v>
      </c>
      <c r="E477" t="s">
        <v>322</v>
      </c>
      <c r="F477" t="s">
        <v>5762</v>
      </c>
      <c r="G477" t="s">
        <v>57</v>
      </c>
      <c r="H477">
        <v>102484</v>
      </c>
      <c r="I477">
        <v>103572</v>
      </c>
      <c r="J477" t="s">
        <v>323</v>
      </c>
      <c r="K477">
        <v>363</v>
      </c>
      <c r="L477" t="s">
        <v>59</v>
      </c>
      <c r="M477">
        <v>5</v>
      </c>
      <c r="N477" t="str">
        <f>HYPERLINK("Gene85-zp_tree_all.dnd", "Gene85-tree")</f>
        <v>Gene85-tree</v>
      </c>
      <c r="O477">
        <v>3</v>
      </c>
      <c r="P477">
        <v>2</v>
      </c>
      <c r="Q477">
        <v>3</v>
      </c>
      <c r="R477">
        <v>2</v>
      </c>
      <c r="S477">
        <v>0.4</v>
      </c>
      <c r="T477" t="s">
        <v>84</v>
      </c>
      <c r="U477" t="s">
        <v>135</v>
      </c>
      <c r="V477" t="s">
        <v>62</v>
      </c>
      <c r="W477" t="s">
        <v>62</v>
      </c>
      <c r="X477">
        <v>0</v>
      </c>
      <c r="Y477">
        <v>0</v>
      </c>
      <c r="Z477">
        <v>5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2</v>
      </c>
      <c r="AK477">
        <v>0</v>
      </c>
      <c r="AL477">
        <v>5</v>
      </c>
      <c r="AM477">
        <v>2</v>
      </c>
      <c r="AN477">
        <v>36</v>
      </c>
      <c r="AO477">
        <v>2</v>
      </c>
      <c r="AP477">
        <v>31</v>
      </c>
      <c r="AQ477">
        <v>4</v>
      </c>
      <c r="AR477" t="s">
        <v>324</v>
      </c>
      <c r="AS477" t="s">
        <v>325</v>
      </c>
      <c r="AT477">
        <v>0.47299999999999998</v>
      </c>
      <c r="AU477" t="s">
        <v>65</v>
      </c>
      <c r="AV477">
        <v>67</v>
      </c>
      <c r="AW477">
        <v>6</v>
      </c>
      <c r="AX477" t="s">
        <v>326</v>
      </c>
      <c r="AY477" t="s">
        <v>327</v>
      </c>
      <c r="AZ477" t="s">
        <v>328</v>
      </c>
      <c r="BA477">
        <v>2.546E-2</v>
      </c>
      <c r="BB477">
        <v>1</v>
      </c>
      <c r="BC477" t="s">
        <v>69</v>
      </c>
      <c r="BD477">
        <v>0.57499999999999996</v>
      </c>
      <c r="BE477">
        <v>0.38600000000000001</v>
      </c>
    </row>
    <row r="478" spans="1:57">
      <c r="A478">
        <v>0</v>
      </c>
      <c r="B478">
        <v>0</v>
      </c>
      <c r="C478">
        <v>0</v>
      </c>
      <c r="D478">
        <v>88</v>
      </c>
      <c r="E478" t="s">
        <v>329</v>
      </c>
      <c r="F478" t="s">
        <v>5762</v>
      </c>
      <c r="G478" t="s">
        <v>57</v>
      </c>
      <c r="H478">
        <v>107476</v>
      </c>
      <c r="I478">
        <v>108555</v>
      </c>
      <c r="J478" t="s">
        <v>330</v>
      </c>
      <c r="K478">
        <v>360</v>
      </c>
      <c r="L478" t="s">
        <v>59</v>
      </c>
      <c r="M478">
        <v>5</v>
      </c>
      <c r="N478" t="str">
        <f>HYPERLINK("Gene88-zp_tree_all.dnd", "Gene88-tree")</f>
        <v>Gene88-tree</v>
      </c>
      <c r="O478">
        <v>4</v>
      </c>
      <c r="P478">
        <v>1</v>
      </c>
      <c r="Q478">
        <v>4</v>
      </c>
      <c r="R478">
        <v>1</v>
      </c>
      <c r="S478">
        <v>0.2</v>
      </c>
      <c r="T478" t="s">
        <v>60</v>
      </c>
      <c r="U478" t="s">
        <v>61</v>
      </c>
      <c r="V478" t="s">
        <v>62</v>
      </c>
      <c r="W478" t="s">
        <v>62</v>
      </c>
      <c r="X478">
        <v>0</v>
      </c>
      <c r="Y478">
        <v>0</v>
      </c>
      <c r="Z478">
        <v>1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1</v>
      </c>
      <c r="AK478">
        <v>0</v>
      </c>
      <c r="AL478">
        <v>5</v>
      </c>
      <c r="AM478">
        <v>2</v>
      </c>
      <c r="AN478">
        <v>26</v>
      </c>
      <c r="AO478">
        <v>1</v>
      </c>
      <c r="AP478">
        <v>33</v>
      </c>
      <c r="AQ478">
        <v>1</v>
      </c>
      <c r="AR478" t="s">
        <v>331</v>
      </c>
      <c r="AS478" t="s">
        <v>332</v>
      </c>
      <c r="AT478">
        <v>0.121</v>
      </c>
      <c r="AU478" t="s">
        <v>65</v>
      </c>
      <c r="AV478">
        <v>59</v>
      </c>
      <c r="AW478">
        <v>2</v>
      </c>
      <c r="AX478" t="s">
        <v>333</v>
      </c>
      <c r="AY478" t="s">
        <v>334</v>
      </c>
      <c r="AZ478" t="s">
        <v>335</v>
      </c>
      <c r="BA478">
        <v>8.94E-3</v>
      </c>
      <c r="BB478">
        <v>1</v>
      </c>
      <c r="BC478" t="s">
        <v>69</v>
      </c>
      <c r="BD478">
        <v>0.60899999999999999</v>
      </c>
      <c r="BE478">
        <v>0.502</v>
      </c>
    </row>
    <row r="479" spans="1:57">
      <c r="A479">
        <v>0</v>
      </c>
      <c r="B479">
        <v>0</v>
      </c>
      <c r="C479">
        <v>0</v>
      </c>
      <c r="D479">
        <v>89</v>
      </c>
      <c r="E479" t="s">
        <v>336</v>
      </c>
      <c r="F479" t="s">
        <v>5762</v>
      </c>
      <c r="G479" t="s">
        <v>57</v>
      </c>
      <c r="H479">
        <v>108674</v>
      </c>
      <c r="I479">
        <v>109771</v>
      </c>
      <c r="J479" t="s">
        <v>337</v>
      </c>
      <c r="K479">
        <v>366</v>
      </c>
      <c r="L479" t="s">
        <v>59</v>
      </c>
      <c r="M479">
        <v>5</v>
      </c>
      <c r="N479" t="str">
        <f>HYPERLINK("Gene89-zp_tree_all.dnd", "Gene89-tree")</f>
        <v>Gene89-tree</v>
      </c>
      <c r="O479">
        <v>4</v>
      </c>
      <c r="P479">
        <v>1</v>
      </c>
      <c r="Q479">
        <v>4</v>
      </c>
      <c r="R479">
        <v>1</v>
      </c>
      <c r="S479">
        <v>0.2</v>
      </c>
      <c r="T479" t="s">
        <v>60</v>
      </c>
      <c r="U479" t="s">
        <v>61</v>
      </c>
      <c r="V479" t="s">
        <v>62</v>
      </c>
      <c r="W479" t="s">
        <v>62</v>
      </c>
      <c r="X479">
        <v>0</v>
      </c>
      <c r="Y479">
        <v>0</v>
      </c>
      <c r="Z479">
        <v>2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1</v>
      </c>
      <c r="AK479">
        <v>0</v>
      </c>
      <c r="AL479">
        <v>5</v>
      </c>
      <c r="AM479">
        <v>2</v>
      </c>
      <c r="AN479">
        <v>19</v>
      </c>
      <c r="AO479">
        <v>1</v>
      </c>
      <c r="AP479">
        <v>27</v>
      </c>
      <c r="AQ479">
        <v>1</v>
      </c>
      <c r="AR479" t="s">
        <v>338</v>
      </c>
      <c r="AS479" t="s">
        <v>339</v>
      </c>
      <c r="AT479">
        <v>0.14699999999999999</v>
      </c>
      <c r="AU479" t="s">
        <v>65</v>
      </c>
      <c r="AV479">
        <v>46</v>
      </c>
      <c r="AW479">
        <v>2</v>
      </c>
      <c r="AX479" t="s">
        <v>340</v>
      </c>
      <c r="AY479" t="s">
        <v>341</v>
      </c>
      <c r="AZ479" t="s">
        <v>342</v>
      </c>
      <c r="BA479">
        <v>1.18E-2</v>
      </c>
      <c r="BB479">
        <v>1</v>
      </c>
      <c r="BC479" t="s">
        <v>69</v>
      </c>
      <c r="BD479">
        <v>0.73299999999999998</v>
      </c>
      <c r="BE479">
        <v>0.41899999999999998</v>
      </c>
    </row>
    <row r="480" spans="1:57">
      <c r="A480">
        <v>0</v>
      </c>
      <c r="B480">
        <v>2</v>
      </c>
      <c r="C480">
        <v>0</v>
      </c>
      <c r="D480">
        <v>92</v>
      </c>
      <c r="E480" t="s">
        <v>343</v>
      </c>
      <c r="F480" t="s">
        <v>5762</v>
      </c>
      <c r="G480" t="s">
        <v>57</v>
      </c>
      <c r="H480">
        <v>111047</v>
      </c>
      <c r="I480">
        <v>112495</v>
      </c>
      <c r="J480" t="s">
        <v>344</v>
      </c>
      <c r="K480">
        <v>483</v>
      </c>
      <c r="L480" t="s">
        <v>59</v>
      </c>
      <c r="M480">
        <v>5</v>
      </c>
      <c r="N480" t="str">
        <f>HYPERLINK("Gene92-zp_tree_all.dnd", "Gene92-tree")</f>
        <v>Gene92-tree</v>
      </c>
      <c r="O480">
        <v>2</v>
      </c>
      <c r="P480">
        <v>3</v>
      </c>
      <c r="Q480">
        <v>2</v>
      </c>
      <c r="R480">
        <v>3</v>
      </c>
      <c r="S480">
        <v>0.6</v>
      </c>
      <c r="T480" t="s">
        <v>135</v>
      </c>
      <c r="U480" t="s">
        <v>84</v>
      </c>
      <c r="V480" t="s">
        <v>62</v>
      </c>
      <c r="W480" t="s">
        <v>62</v>
      </c>
      <c r="X480">
        <v>1</v>
      </c>
      <c r="Y480">
        <v>2</v>
      </c>
      <c r="Z480">
        <v>8</v>
      </c>
      <c r="AA480">
        <v>0.2</v>
      </c>
      <c r="AB480">
        <v>0</v>
      </c>
      <c r="AC480">
        <v>0</v>
      </c>
      <c r="AD480">
        <v>0</v>
      </c>
      <c r="AE480">
        <v>1</v>
      </c>
      <c r="AF480">
        <v>0</v>
      </c>
      <c r="AG480">
        <v>0</v>
      </c>
      <c r="AH480">
        <v>0</v>
      </c>
      <c r="AI480">
        <v>0</v>
      </c>
      <c r="AJ480">
        <v>7</v>
      </c>
      <c r="AK480">
        <v>0</v>
      </c>
      <c r="AL480">
        <v>5</v>
      </c>
      <c r="AM480">
        <v>2</v>
      </c>
      <c r="AN480">
        <v>48</v>
      </c>
      <c r="AO480">
        <v>7</v>
      </c>
      <c r="AP480">
        <v>40</v>
      </c>
      <c r="AQ480">
        <v>4</v>
      </c>
      <c r="AR480" t="s">
        <v>345</v>
      </c>
      <c r="AS480" t="s">
        <v>346</v>
      </c>
      <c r="AT480">
        <v>0.61499999999999999</v>
      </c>
      <c r="AU480" t="s">
        <v>65</v>
      </c>
      <c r="AV480">
        <v>88</v>
      </c>
      <c r="AW480">
        <v>11</v>
      </c>
      <c r="AX480" t="s">
        <v>347</v>
      </c>
      <c r="AY480" t="s">
        <v>348</v>
      </c>
      <c r="AZ480" t="s">
        <v>349</v>
      </c>
      <c r="BA480">
        <v>2.8379999999999999E-2</v>
      </c>
      <c r="BB480">
        <v>1</v>
      </c>
      <c r="BC480" t="s">
        <v>69</v>
      </c>
      <c r="BD480">
        <v>0.51200000000000001</v>
      </c>
      <c r="BE480">
        <v>0.33400000000000002</v>
      </c>
    </row>
    <row r="481" spans="1:57">
      <c r="A481">
        <v>0</v>
      </c>
      <c r="B481">
        <v>0</v>
      </c>
      <c r="C481">
        <v>0</v>
      </c>
      <c r="D481">
        <v>93</v>
      </c>
      <c r="E481" t="s">
        <v>350</v>
      </c>
      <c r="F481" t="s">
        <v>5762</v>
      </c>
      <c r="G481" t="s">
        <v>57</v>
      </c>
      <c r="H481">
        <v>112800</v>
      </c>
      <c r="I481">
        <v>113450</v>
      </c>
      <c r="J481" t="s">
        <v>351</v>
      </c>
      <c r="K481">
        <v>217</v>
      </c>
      <c r="L481" t="s">
        <v>59</v>
      </c>
      <c r="M481">
        <v>5</v>
      </c>
      <c r="N481" t="str">
        <f>HYPERLINK("Gene93-zp_tree_all.dnd", "Gene93-tree")</f>
        <v>Gene93-tree</v>
      </c>
      <c r="O481">
        <v>4</v>
      </c>
      <c r="P481">
        <v>1</v>
      </c>
      <c r="Q481">
        <v>4</v>
      </c>
      <c r="R481">
        <v>1</v>
      </c>
      <c r="S481">
        <v>0.2</v>
      </c>
      <c r="T481" t="s">
        <v>60</v>
      </c>
      <c r="U481" t="s">
        <v>61</v>
      </c>
      <c r="V481" t="s">
        <v>62</v>
      </c>
      <c r="W481" t="s">
        <v>62</v>
      </c>
      <c r="X481">
        <v>0</v>
      </c>
      <c r="Y481">
        <v>0</v>
      </c>
      <c r="Z481">
        <v>1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1</v>
      </c>
      <c r="AK481">
        <v>0</v>
      </c>
      <c r="AL481">
        <v>3</v>
      </c>
      <c r="AM481">
        <v>2</v>
      </c>
      <c r="AN481">
        <v>8</v>
      </c>
      <c r="AO481">
        <v>1</v>
      </c>
      <c r="AP481">
        <v>13</v>
      </c>
      <c r="AQ481">
        <v>0</v>
      </c>
      <c r="AR481" t="s">
        <v>352</v>
      </c>
      <c r="AS481" t="s">
        <v>64</v>
      </c>
      <c r="AT481">
        <v>0.78</v>
      </c>
      <c r="AU481" t="s">
        <v>65</v>
      </c>
      <c r="AV481">
        <v>21</v>
      </c>
      <c r="AW481">
        <v>1</v>
      </c>
      <c r="AX481" t="s">
        <v>353</v>
      </c>
      <c r="AY481" t="s">
        <v>354</v>
      </c>
      <c r="AZ481" t="s">
        <v>355</v>
      </c>
      <c r="BA481">
        <v>1.093E-2</v>
      </c>
      <c r="BB481">
        <v>1</v>
      </c>
      <c r="BC481" t="s">
        <v>69</v>
      </c>
      <c r="BD481">
        <v>0.92400000000000004</v>
      </c>
      <c r="BE481">
        <v>0.154</v>
      </c>
    </row>
    <row r="482" spans="1:57">
      <c r="A482">
        <v>0</v>
      </c>
      <c r="B482">
        <v>0</v>
      </c>
      <c r="C482">
        <v>0</v>
      </c>
      <c r="D482">
        <v>94</v>
      </c>
      <c r="E482" t="s">
        <v>356</v>
      </c>
      <c r="F482" t="s">
        <v>5762</v>
      </c>
      <c r="G482" t="s">
        <v>57</v>
      </c>
      <c r="H482">
        <v>113450</v>
      </c>
      <c r="I482">
        <v>114847</v>
      </c>
      <c r="J482" t="s">
        <v>357</v>
      </c>
      <c r="K482">
        <v>466</v>
      </c>
      <c r="L482" t="s">
        <v>83</v>
      </c>
      <c r="M482">
        <v>4</v>
      </c>
      <c r="N482" t="str">
        <f>HYPERLINK("Gene94-zp_tree_all.dnd", "Gene94-tree")</f>
        <v>Gene94-tree</v>
      </c>
      <c r="O482">
        <v>0</v>
      </c>
      <c r="P482">
        <v>4</v>
      </c>
      <c r="Q482">
        <v>0</v>
      </c>
      <c r="R482">
        <v>4</v>
      </c>
      <c r="S482">
        <v>1</v>
      </c>
      <c r="T482" t="s">
        <v>62</v>
      </c>
      <c r="U482" t="s">
        <v>60</v>
      </c>
      <c r="V482" t="s">
        <v>62</v>
      </c>
      <c r="W482" t="s">
        <v>62</v>
      </c>
      <c r="X482">
        <v>0</v>
      </c>
      <c r="Y482">
        <v>0</v>
      </c>
      <c r="Z482">
        <v>5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5</v>
      </c>
      <c r="AK482">
        <v>0</v>
      </c>
      <c r="AL482">
        <v>4</v>
      </c>
      <c r="AM482">
        <v>1</v>
      </c>
      <c r="AN482">
        <v>71</v>
      </c>
      <c r="AO482">
        <v>5</v>
      </c>
      <c r="AP482">
        <v>4</v>
      </c>
      <c r="AQ482">
        <v>0</v>
      </c>
      <c r="AR482" t="s">
        <v>358</v>
      </c>
      <c r="AS482" t="s">
        <v>64</v>
      </c>
      <c r="AT482">
        <v>0.94199999999999995</v>
      </c>
      <c r="AU482" t="s">
        <v>65</v>
      </c>
      <c r="AV482">
        <v>75</v>
      </c>
      <c r="AW482">
        <v>5</v>
      </c>
      <c r="AX482" t="s">
        <v>359</v>
      </c>
      <c r="AY482" t="s">
        <v>360</v>
      </c>
      <c r="AZ482" t="s">
        <v>361</v>
      </c>
      <c r="BA482">
        <v>1.6140000000000002E-2</v>
      </c>
      <c r="BB482">
        <v>1</v>
      </c>
      <c r="BC482" t="s">
        <v>69</v>
      </c>
      <c r="BD482">
        <v>-0.57999999999999996</v>
      </c>
      <c r="BE482">
        <v>-0.82899999999999996</v>
      </c>
    </row>
    <row r="483" spans="1:57">
      <c r="A483">
        <v>0</v>
      </c>
      <c r="B483">
        <v>2</v>
      </c>
      <c r="C483">
        <v>0</v>
      </c>
      <c r="D483">
        <v>95</v>
      </c>
      <c r="E483" t="s">
        <v>362</v>
      </c>
      <c r="F483" t="s">
        <v>5762</v>
      </c>
      <c r="G483" t="s">
        <v>57</v>
      </c>
      <c r="H483">
        <v>114854</v>
      </c>
      <c r="I483">
        <v>115282</v>
      </c>
      <c r="J483" t="s">
        <v>363</v>
      </c>
      <c r="K483">
        <v>143</v>
      </c>
      <c r="L483" t="s">
        <v>112</v>
      </c>
      <c r="M483">
        <v>4</v>
      </c>
      <c r="N483" t="str">
        <f>HYPERLINK("Gene95-zp_tree_all.dnd", "Gene95-tree")</f>
        <v>Gene95-tree</v>
      </c>
      <c r="O483">
        <v>1</v>
      </c>
      <c r="P483">
        <v>3</v>
      </c>
      <c r="Q483">
        <v>1</v>
      </c>
      <c r="R483">
        <v>3</v>
      </c>
      <c r="S483">
        <v>0.75</v>
      </c>
      <c r="T483" t="s">
        <v>61</v>
      </c>
      <c r="U483" t="s">
        <v>84</v>
      </c>
      <c r="V483" t="s">
        <v>62</v>
      </c>
      <c r="W483" t="s">
        <v>62</v>
      </c>
      <c r="X483">
        <v>1</v>
      </c>
      <c r="Y483">
        <v>2</v>
      </c>
      <c r="Z483">
        <v>5</v>
      </c>
      <c r="AA483">
        <v>0.28571000000000002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2</v>
      </c>
      <c r="AH483">
        <v>0</v>
      </c>
      <c r="AI483">
        <v>2</v>
      </c>
      <c r="AJ483">
        <v>5</v>
      </c>
      <c r="AK483">
        <v>0.28571000000000002</v>
      </c>
      <c r="AL483">
        <v>3</v>
      </c>
      <c r="AM483">
        <v>1</v>
      </c>
      <c r="AN483">
        <v>17</v>
      </c>
      <c r="AO483">
        <v>7</v>
      </c>
      <c r="AP483">
        <v>1</v>
      </c>
      <c r="AQ483">
        <v>0</v>
      </c>
      <c r="AR483" t="s">
        <v>364</v>
      </c>
      <c r="AS483" t="s">
        <v>64</v>
      </c>
      <c r="AT483">
        <v>1.0129999999999999</v>
      </c>
      <c r="AU483" t="s">
        <v>65</v>
      </c>
      <c r="AV483">
        <v>18</v>
      </c>
      <c r="AW483">
        <v>7</v>
      </c>
      <c r="AX483" t="s">
        <v>365</v>
      </c>
      <c r="AY483" t="s">
        <v>366</v>
      </c>
      <c r="AZ483" t="s">
        <v>367</v>
      </c>
      <c r="BA483">
        <v>9.4089999999999993E-2</v>
      </c>
      <c r="BB483">
        <v>1</v>
      </c>
      <c r="BC483" t="s">
        <v>69</v>
      </c>
      <c r="BD483">
        <v>-0.59599999999999997</v>
      </c>
      <c r="BE483">
        <v>-0.59599999999999997</v>
      </c>
    </row>
    <row r="484" spans="1:57">
      <c r="A484">
        <v>0</v>
      </c>
      <c r="B484">
        <v>0</v>
      </c>
      <c r="C484">
        <v>0</v>
      </c>
      <c r="D484">
        <v>96</v>
      </c>
      <c r="E484" t="s">
        <v>368</v>
      </c>
      <c r="F484" t="s">
        <v>5762</v>
      </c>
      <c r="G484" t="s">
        <v>57</v>
      </c>
      <c r="H484">
        <v>115269</v>
      </c>
      <c r="I484">
        <v>116015</v>
      </c>
      <c r="J484" t="s">
        <v>369</v>
      </c>
      <c r="K484">
        <v>249</v>
      </c>
      <c r="L484" t="s">
        <v>59</v>
      </c>
      <c r="M484">
        <v>5</v>
      </c>
      <c r="N484" t="str">
        <f>HYPERLINK("Gene96-zp_tree_all.dnd", "Gene96-tree")</f>
        <v>Gene96-tree</v>
      </c>
      <c r="O484">
        <v>4</v>
      </c>
      <c r="P484">
        <v>1</v>
      </c>
      <c r="Q484">
        <v>4</v>
      </c>
      <c r="R484">
        <v>1</v>
      </c>
      <c r="S484">
        <v>0.2</v>
      </c>
      <c r="T484" t="s">
        <v>60</v>
      </c>
      <c r="U484" t="s">
        <v>61</v>
      </c>
      <c r="V484" t="s">
        <v>62</v>
      </c>
      <c r="W484" t="s">
        <v>62</v>
      </c>
      <c r="X484">
        <v>0</v>
      </c>
      <c r="Y484">
        <v>0</v>
      </c>
      <c r="Z484">
        <v>3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2</v>
      </c>
      <c r="AK484">
        <v>0</v>
      </c>
      <c r="AL484">
        <v>5</v>
      </c>
      <c r="AM484">
        <v>2</v>
      </c>
      <c r="AN484">
        <v>22</v>
      </c>
      <c r="AO484">
        <v>2</v>
      </c>
      <c r="AP484">
        <v>22</v>
      </c>
      <c r="AQ484">
        <v>1</v>
      </c>
      <c r="AR484" t="s">
        <v>370</v>
      </c>
      <c r="AS484" t="s">
        <v>371</v>
      </c>
      <c r="AT484">
        <v>0.25700000000000001</v>
      </c>
      <c r="AU484" t="s">
        <v>65</v>
      </c>
      <c r="AV484">
        <v>44</v>
      </c>
      <c r="AW484">
        <v>3</v>
      </c>
      <c r="AX484" t="s">
        <v>372</v>
      </c>
      <c r="AY484" t="s">
        <v>373</v>
      </c>
      <c r="AZ484" t="s">
        <v>374</v>
      </c>
      <c r="BA484">
        <v>1.7840000000000002E-2</v>
      </c>
      <c r="BB484">
        <v>1</v>
      </c>
      <c r="BC484" t="s">
        <v>69</v>
      </c>
      <c r="BD484">
        <v>0.45300000000000001</v>
      </c>
      <c r="BE484">
        <v>0.27900000000000003</v>
      </c>
    </row>
    <row r="485" spans="1:57">
      <c r="A485">
        <v>0</v>
      </c>
      <c r="B485">
        <v>0</v>
      </c>
      <c r="C485">
        <v>0</v>
      </c>
      <c r="D485">
        <v>97</v>
      </c>
      <c r="E485" t="s">
        <v>375</v>
      </c>
      <c r="F485" t="s">
        <v>5762</v>
      </c>
      <c r="G485" t="s">
        <v>57</v>
      </c>
      <c r="H485">
        <v>116025</v>
      </c>
      <c r="I485">
        <v>116534</v>
      </c>
      <c r="J485" t="s">
        <v>376</v>
      </c>
      <c r="K485">
        <v>170</v>
      </c>
      <c r="L485" t="s">
        <v>59</v>
      </c>
      <c r="M485">
        <v>5</v>
      </c>
      <c r="N485" t="str">
        <f>HYPERLINK("Gene97-zp_tree_all.dnd", "Gene97-tree")</f>
        <v>Gene97-tree</v>
      </c>
      <c r="O485">
        <v>5</v>
      </c>
      <c r="P485">
        <v>0</v>
      </c>
      <c r="Q485">
        <v>5</v>
      </c>
      <c r="R485">
        <v>0</v>
      </c>
      <c r="S485">
        <v>0</v>
      </c>
      <c r="T485" t="s">
        <v>98</v>
      </c>
      <c r="U485" t="s">
        <v>62</v>
      </c>
      <c r="V485" t="s">
        <v>62</v>
      </c>
      <c r="W485" t="s">
        <v>62</v>
      </c>
      <c r="X485">
        <v>0</v>
      </c>
      <c r="Y485">
        <v>0</v>
      </c>
      <c r="Z485">
        <v>1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5</v>
      </c>
      <c r="AM485">
        <v>2</v>
      </c>
      <c r="AN485">
        <v>9</v>
      </c>
      <c r="AO485">
        <v>0</v>
      </c>
      <c r="AP485">
        <v>5</v>
      </c>
      <c r="AQ485">
        <v>1</v>
      </c>
      <c r="AR485" t="s">
        <v>64</v>
      </c>
      <c r="AS485" t="s">
        <v>377</v>
      </c>
      <c r="AT485">
        <v>1.034</v>
      </c>
      <c r="AU485" t="s">
        <v>65</v>
      </c>
      <c r="AV485">
        <v>14</v>
      </c>
      <c r="AW485">
        <v>1</v>
      </c>
      <c r="AX485" t="s">
        <v>378</v>
      </c>
      <c r="AY485" t="s">
        <v>379</v>
      </c>
      <c r="AZ485" t="s">
        <v>380</v>
      </c>
      <c r="BA485">
        <v>2.5080000000000002E-2</v>
      </c>
      <c r="BB485">
        <v>1</v>
      </c>
      <c r="BC485" t="s">
        <v>69</v>
      </c>
      <c r="BD485">
        <v>0.30399999999999999</v>
      </c>
      <c r="BE485">
        <v>0.30399999999999999</v>
      </c>
    </row>
    <row r="486" spans="1:57">
      <c r="A486">
        <v>0</v>
      </c>
      <c r="B486">
        <v>0</v>
      </c>
      <c r="C486">
        <v>0</v>
      </c>
      <c r="D486">
        <v>98</v>
      </c>
      <c r="E486" t="s">
        <v>381</v>
      </c>
      <c r="F486" t="s">
        <v>5762</v>
      </c>
      <c r="G486" t="s">
        <v>57</v>
      </c>
      <c r="H486">
        <v>116600</v>
      </c>
      <c r="I486">
        <v>117253</v>
      </c>
      <c r="J486" t="s">
        <v>382</v>
      </c>
      <c r="K486">
        <v>218</v>
      </c>
      <c r="L486" t="s">
        <v>59</v>
      </c>
      <c r="M486">
        <v>5</v>
      </c>
      <c r="N486" t="str">
        <f>HYPERLINK("Gene98-zp_tree_all.dnd", "Gene98-tree")</f>
        <v>Gene98-tree</v>
      </c>
      <c r="O486">
        <v>4</v>
      </c>
      <c r="P486">
        <v>1</v>
      </c>
      <c r="Q486">
        <v>4</v>
      </c>
      <c r="R486">
        <v>1</v>
      </c>
      <c r="S486">
        <v>0.2</v>
      </c>
      <c r="T486" t="s">
        <v>60</v>
      </c>
      <c r="U486" t="s">
        <v>61</v>
      </c>
      <c r="V486" t="s">
        <v>62</v>
      </c>
      <c r="W486" t="s">
        <v>62</v>
      </c>
      <c r="X486">
        <v>0</v>
      </c>
      <c r="Y486">
        <v>0</v>
      </c>
      <c r="Z486">
        <v>1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</v>
      </c>
      <c r="AK486">
        <v>0</v>
      </c>
      <c r="AL486">
        <v>5</v>
      </c>
      <c r="AM486">
        <v>1</v>
      </c>
      <c r="AN486">
        <v>14</v>
      </c>
      <c r="AO486">
        <v>1</v>
      </c>
      <c r="AP486">
        <v>9</v>
      </c>
      <c r="AQ486">
        <v>0</v>
      </c>
      <c r="AR486" t="s">
        <v>383</v>
      </c>
      <c r="AS486" t="s">
        <v>64</v>
      </c>
      <c r="AT486">
        <v>0.498</v>
      </c>
      <c r="AU486" t="s">
        <v>65</v>
      </c>
      <c r="AV486">
        <v>23</v>
      </c>
      <c r="AW486">
        <v>1</v>
      </c>
      <c r="AX486" t="s">
        <v>384</v>
      </c>
      <c r="AY486" t="s">
        <v>385</v>
      </c>
      <c r="AZ486" t="s">
        <v>386</v>
      </c>
      <c r="BA486">
        <v>9.0799999999999995E-3</v>
      </c>
      <c r="BB486">
        <v>1</v>
      </c>
      <c r="BC486" t="s">
        <v>69</v>
      </c>
      <c r="BD486">
        <v>-7.6999999999999999E-2</v>
      </c>
      <c r="BE486">
        <v>-7.6999999999999999E-2</v>
      </c>
    </row>
    <row r="487" spans="1:57">
      <c r="A487">
        <v>0</v>
      </c>
      <c r="B487">
        <v>0</v>
      </c>
      <c r="C487">
        <v>0</v>
      </c>
      <c r="D487">
        <v>99</v>
      </c>
      <c r="E487" t="s">
        <v>387</v>
      </c>
      <c r="F487" t="s">
        <v>5762</v>
      </c>
      <c r="G487" t="s">
        <v>57</v>
      </c>
      <c r="H487">
        <v>117349</v>
      </c>
      <c r="I487">
        <v>117495</v>
      </c>
      <c r="J487" t="s">
        <v>388</v>
      </c>
      <c r="K487">
        <v>49</v>
      </c>
      <c r="L487" t="s">
        <v>59</v>
      </c>
      <c r="M487">
        <v>5</v>
      </c>
      <c r="N487" t="str">
        <f>HYPERLINK("Gene99-zp_tree_all.dnd", "Gene99-tree")</f>
        <v>Gene99-tree</v>
      </c>
    </row>
    <row r="488" spans="1:57">
      <c r="A488">
        <v>0</v>
      </c>
      <c r="B488">
        <v>0</v>
      </c>
      <c r="C488">
        <v>0</v>
      </c>
      <c r="D488">
        <v>100</v>
      </c>
      <c r="E488" t="s">
        <v>389</v>
      </c>
      <c r="F488" t="s">
        <v>5762</v>
      </c>
      <c r="G488" t="s">
        <v>57</v>
      </c>
      <c r="H488">
        <v>117532</v>
      </c>
      <c r="I488">
        <v>117708</v>
      </c>
      <c r="J488" t="s">
        <v>390</v>
      </c>
      <c r="K488">
        <v>59</v>
      </c>
      <c r="L488" t="s">
        <v>59</v>
      </c>
      <c r="M488">
        <v>5</v>
      </c>
      <c r="N488" t="str">
        <f>HYPERLINK("Gene100-zp_tree_all.dnd", "Gene100-tree")</f>
        <v>Gene100-tree</v>
      </c>
    </row>
    <row r="489" spans="1:57">
      <c r="A489">
        <v>0</v>
      </c>
      <c r="B489">
        <v>0</v>
      </c>
      <c r="C489">
        <v>0</v>
      </c>
      <c r="D489">
        <v>101</v>
      </c>
      <c r="E489" t="s">
        <v>391</v>
      </c>
      <c r="F489" t="s">
        <v>5762</v>
      </c>
      <c r="G489" t="s">
        <v>57</v>
      </c>
      <c r="H489">
        <v>117890</v>
      </c>
      <c r="I489">
        <v>118420</v>
      </c>
      <c r="J489" t="s">
        <v>392</v>
      </c>
      <c r="K489">
        <v>177</v>
      </c>
      <c r="L489" t="s">
        <v>59</v>
      </c>
      <c r="M489">
        <v>5</v>
      </c>
      <c r="N489" t="str">
        <f>HYPERLINK("Gene101-zp_tree_all.dnd", "Gene101-tree")</f>
        <v>Gene101-tree</v>
      </c>
      <c r="O489">
        <v>5</v>
      </c>
      <c r="P489">
        <v>0</v>
      </c>
      <c r="Q489">
        <v>5</v>
      </c>
      <c r="R489">
        <v>0</v>
      </c>
      <c r="S489">
        <v>0</v>
      </c>
      <c r="T489" t="s">
        <v>98</v>
      </c>
      <c r="U489" t="s">
        <v>62</v>
      </c>
      <c r="V489" t="s">
        <v>62</v>
      </c>
      <c r="W489" t="s">
        <v>62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4</v>
      </c>
      <c r="AM489">
        <v>2</v>
      </c>
      <c r="AN489">
        <v>11</v>
      </c>
      <c r="AO489">
        <v>0</v>
      </c>
      <c r="AP489">
        <v>17</v>
      </c>
      <c r="AQ489">
        <v>0</v>
      </c>
      <c r="AR489" t="s">
        <v>64</v>
      </c>
      <c r="AS489" t="s">
        <v>64</v>
      </c>
      <c r="AT489">
        <v>0</v>
      </c>
      <c r="AU489" t="s">
        <v>65</v>
      </c>
      <c r="AV489">
        <v>28</v>
      </c>
      <c r="AW489">
        <v>0</v>
      </c>
      <c r="AX489" t="s">
        <v>393</v>
      </c>
      <c r="AY489" t="s">
        <v>394</v>
      </c>
      <c r="AZ489" t="s">
        <v>64</v>
      </c>
      <c r="BA489">
        <v>0</v>
      </c>
      <c r="BB489">
        <v>1</v>
      </c>
      <c r="BC489" t="s">
        <v>69</v>
      </c>
      <c r="BD489">
        <v>0.64400000000000002</v>
      </c>
      <c r="BE489">
        <v>0.64400000000000002</v>
      </c>
    </row>
    <row r="490" spans="1:57">
      <c r="A490">
        <v>0</v>
      </c>
      <c r="B490">
        <v>0</v>
      </c>
      <c r="C490">
        <v>0</v>
      </c>
      <c r="D490">
        <v>102</v>
      </c>
      <c r="E490" t="s">
        <v>395</v>
      </c>
      <c r="F490" t="s">
        <v>5762</v>
      </c>
      <c r="G490" t="s">
        <v>57</v>
      </c>
      <c r="H490">
        <v>118591</v>
      </c>
      <c r="I490">
        <v>119013</v>
      </c>
      <c r="J490" t="s">
        <v>396</v>
      </c>
      <c r="K490">
        <v>141</v>
      </c>
      <c r="L490" t="s">
        <v>59</v>
      </c>
      <c r="M490">
        <v>5</v>
      </c>
      <c r="N490" t="str">
        <f>HYPERLINK("Gene102-zp_tree_all.dnd", "Gene102-tree")</f>
        <v>Gene102-tree</v>
      </c>
      <c r="O490">
        <v>4</v>
      </c>
      <c r="P490">
        <v>0</v>
      </c>
      <c r="Q490">
        <v>4</v>
      </c>
      <c r="R490">
        <v>0</v>
      </c>
      <c r="S490">
        <v>0</v>
      </c>
      <c r="T490" t="s">
        <v>60</v>
      </c>
      <c r="U490" t="s">
        <v>62</v>
      </c>
      <c r="V490" t="s">
        <v>62</v>
      </c>
      <c r="W490" t="s">
        <v>62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3</v>
      </c>
      <c r="AM490">
        <v>1</v>
      </c>
      <c r="AN490">
        <v>4</v>
      </c>
      <c r="AO490">
        <v>0</v>
      </c>
      <c r="AP490">
        <v>1</v>
      </c>
      <c r="AQ490">
        <v>0</v>
      </c>
      <c r="AR490" t="s">
        <v>64</v>
      </c>
      <c r="AS490" t="s">
        <v>64</v>
      </c>
      <c r="AT490">
        <v>0</v>
      </c>
      <c r="AU490" t="s">
        <v>65</v>
      </c>
      <c r="AV490">
        <v>5</v>
      </c>
      <c r="AW490">
        <v>0</v>
      </c>
      <c r="AX490" t="s">
        <v>397</v>
      </c>
      <c r="AY490" t="s">
        <v>398</v>
      </c>
      <c r="AZ490" t="s">
        <v>64</v>
      </c>
      <c r="BA490">
        <v>0</v>
      </c>
      <c r="BB490">
        <v>1</v>
      </c>
      <c r="BC490" t="s">
        <v>69</v>
      </c>
      <c r="BD490">
        <v>-0.56200000000000006</v>
      </c>
      <c r="BE490">
        <v>-0.56200000000000006</v>
      </c>
    </row>
    <row r="491" spans="1:57">
      <c r="A491">
        <v>0</v>
      </c>
      <c r="B491">
        <v>0</v>
      </c>
      <c r="C491">
        <v>0</v>
      </c>
      <c r="D491">
        <v>103</v>
      </c>
      <c r="E491" t="s">
        <v>399</v>
      </c>
      <c r="F491" t="s">
        <v>5762</v>
      </c>
      <c r="G491" t="s">
        <v>57</v>
      </c>
      <c r="H491">
        <v>119111</v>
      </c>
      <c r="I491">
        <v>119806</v>
      </c>
      <c r="J491" t="s">
        <v>400</v>
      </c>
      <c r="K491">
        <v>232</v>
      </c>
      <c r="L491" t="s">
        <v>59</v>
      </c>
      <c r="M491">
        <v>5</v>
      </c>
      <c r="N491" t="str">
        <f>HYPERLINK("Gene103-zp_tree_all.dnd", "Gene103-tree")</f>
        <v>Gene103-tree</v>
      </c>
      <c r="O491">
        <v>4</v>
      </c>
      <c r="P491">
        <v>1</v>
      </c>
      <c r="Q491">
        <v>3</v>
      </c>
      <c r="R491">
        <v>1</v>
      </c>
      <c r="S491">
        <v>0.25</v>
      </c>
      <c r="T491" t="s">
        <v>119</v>
      </c>
      <c r="U491" t="s">
        <v>61</v>
      </c>
      <c r="V491" t="s">
        <v>62</v>
      </c>
      <c r="W491" t="s">
        <v>62</v>
      </c>
      <c r="X491">
        <v>0</v>
      </c>
      <c r="Y491">
        <v>0</v>
      </c>
      <c r="Z491">
        <v>4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4</v>
      </c>
      <c r="AK491">
        <v>0</v>
      </c>
      <c r="AL491">
        <v>4</v>
      </c>
      <c r="AM491">
        <v>1</v>
      </c>
      <c r="AN491">
        <v>24</v>
      </c>
      <c r="AO491">
        <v>4</v>
      </c>
      <c r="AP491">
        <v>7</v>
      </c>
      <c r="AQ491">
        <v>0</v>
      </c>
      <c r="AR491" t="s">
        <v>401</v>
      </c>
      <c r="AS491" t="s">
        <v>64</v>
      </c>
      <c r="AT491">
        <v>0.5</v>
      </c>
      <c r="AU491" t="s">
        <v>65</v>
      </c>
      <c r="AV491">
        <v>31</v>
      </c>
      <c r="AW491">
        <v>4</v>
      </c>
      <c r="AX491" t="s">
        <v>402</v>
      </c>
      <c r="AY491" t="s">
        <v>403</v>
      </c>
      <c r="AZ491" t="s">
        <v>404</v>
      </c>
      <c r="BA491">
        <v>3.6549999999999999E-2</v>
      </c>
      <c r="BB491">
        <v>1</v>
      </c>
      <c r="BC491" t="s">
        <v>69</v>
      </c>
      <c r="BD491">
        <v>-0.127</v>
      </c>
      <c r="BE491">
        <v>-0.85799999999999998</v>
      </c>
    </row>
    <row r="492" spans="1:57">
      <c r="A492">
        <v>0</v>
      </c>
      <c r="B492">
        <v>0</v>
      </c>
      <c r="C492">
        <v>0</v>
      </c>
      <c r="D492">
        <v>104</v>
      </c>
      <c r="E492" t="s">
        <v>405</v>
      </c>
      <c r="F492" t="s">
        <v>5762</v>
      </c>
      <c r="G492" t="s">
        <v>57</v>
      </c>
      <c r="H492">
        <v>120061</v>
      </c>
      <c r="I492">
        <v>120558</v>
      </c>
      <c r="J492" t="s">
        <v>406</v>
      </c>
      <c r="K492">
        <v>166</v>
      </c>
      <c r="L492" t="s">
        <v>83</v>
      </c>
      <c r="M492">
        <v>4</v>
      </c>
      <c r="N492" t="str">
        <f>HYPERLINK("Gene104-zp_tree_all.dnd", "Gene104-tree")</f>
        <v>Gene104-tree</v>
      </c>
    </row>
    <row r="493" spans="1:57">
      <c r="A493">
        <v>0</v>
      </c>
      <c r="B493">
        <v>0</v>
      </c>
      <c r="C493">
        <v>0</v>
      </c>
      <c r="D493">
        <v>105</v>
      </c>
      <c r="E493" t="s">
        <v>407</v>
      </c>
      <c r="F493" t="s">
        <v>5762</v>
      </c>
      <c r="G493" t="s">
        <v>57</v>
      </c>
      <c r="H493">
        <v>120607</v>
      </c>
      <c r="I493">
        <v>120975</v>
      </c>
      <c r="J493" t="s">
        <v>408</v>
      </c>
      <c r="K493">
        <v>123</v>
      </c>
      <c r="L493" t="s">
        <v>59</v>
      </c>
      <c r="M493">
        <v>5</v>
      </c>
      <c r="N493" t="str">
        <f>HYPERLINK("Gene105-zp_tree_all.dnd", "Gene105-tree")</f>
        <v>Gene105-tree</v>
      </c>
      <c r="O493">
        <v>5</v>
      </c>
      <c r="P493">
        <v>0</v>
      </c>
      <c r="Q493">
        <v>5</v>
      </c>
      <c r="R493">
        <v>0</v>
      </c>
      <c r="S493">
        <v>0</v>
      </c>
      <c r="T493" t="s">
        <v>98</v>
      </c>
      <c r="U493" t="s">
        <v>62</v>
      </c>
      <c r="V493" t="s">
        <v>62</v>
      </c>
      <c r="W493" t="s">
        <v>62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3</v>
      </c>
      <c r="AM493">
        <v>2</v>
      </c>
      <c r="AN493">
        <v>3</v>
      </c>
      <c r="AO493">
        <v>0</v>
      </c>
      <c r="AP493">
        <v>3</v>
      </c>
      <c r="AQ493">
        <v>0</v>
      </c>
      <c r="AR493" t="s">
        <v>64</v>
      </c>
      <c r="AS493" t="s">
        <v>64</v>
      </c>
      <c r="AT493">
        <v>0</v>
      </c>
      <c r="AU493" t="s">
        <v>65</v>
      </c>
      <c r="AV493">
        <v>6</v>
      </c>
      <c r="AW493">
        <v>0</v>
      </c>
      <c r="AX493" t="s">
        <v>409</v>
      </c>
      <c r="AY493" t="s">
        <v>410</v>
      </c>
      <c r="AZ493" t="s">
        <v>64</v>
      </c>
      <c r="BA493">
        <v>0</v>
      </c>
      <c r="BB493">
        <v>1</v>
      </c>
      <c r="BC493" t="s">
        <v>69</v>
      </c>
      <c r="BD493">
        <v>0.28599999999999998</v>
      </c>
      <c r="BE493">
        <v>0.28599999999999998</v>
      </c>
    </row>
    <row r="494" spans="1:57">
      <c r="A494">
        <v>0</v>
      </c>
      <c r="B494">
        <v>0</v>
      </c>
      <c r="C494">
        <v>0</v>
      </c>
      <c r="D494">
        <v>106</v>
      </c>
      <c r="E494" t="s">
        <v>411</v>
      </c>
      <c r="F494" t="s">
        <v>5762</v>
      </c>
      <c r="G494" t="s">
        <v>57</v>
      </c>
      <c r="H494">
        <v>121068</v>
      </c>
      <c r="I494">
        <v>121670</v>
      </c>
      <c r="J494" t="s">
        <v>412</v>
      </c>
      <c r="K494">
        <v>201</v>
      </c>
      <c r="L494" t="s">
        <v>59</v>
      </c>
      <c r="M494">
        <v>5</v>
      </c>
      <c r="N494" t="str">
        <f>HYPERLINK("Gene106-zp_tree_all.dnd", "Gene106-tree")</f>
        <v>Gene106-tree</v>
      </c>
      <c r="O494">
        <v>1</v>
      </c>
      <c r="P494">
        <v>4</v>
      </c>
      <c r="Q494">
        <v>1</v>
      </c>
      <c r="R494">
        <v>4</v>
      </c>
      <c r="S494">
        <v>0.8</v>
      </c>
      <c r="T494" t="s">
        <v>61</v>
      </c>
      <c r="U494" t="s">
        <v>60</v>
      </c>
      <c r="V494" t="s">
        <v>62</v>
      </c>
      <c r="W494" t="s">
        <v>62</v>
      </c>
      <c r="X494">
        <v>0</v>
      </c>
      <c r="Y494">
        <v>0</v>
      </c>
      <c r="Z494">
        <v>9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7</v>
      </c>
      <c r="AK494">
        <v>0</v>
      </c>
      <c r="AL494">
        <v>5</v>
      </c>
      <c r="AM494">
        <v>2</v>
      </c>
      <c r="AN494">
        <v>10</v>
      </c>
      <c r="AO494">
        <v>7</v>
      </c>
      <c r="AP494">
        <v>17</v>
      </c>
      <c r="AQ494">
        <v>2</v>
      </c>
      <c r="AR494" t="s">
        <v>413</v>
      </c>
      <c r="AS494" t="s">
        <v>414</v>
      </c>
      <c r="AT494">
        <v>1.99</v>
      </c>
      <c r="AU494" t="s">
        <v>286</v>
      </c>
      <c r="AV494">
        <v>27</v>
      </c>
      <c r="AW494">
        <v>9</v>
      </c>
      <c r="AX494" t="s">
        <v>415</v>
      </c>
      <c r="AY494" t="s">
        <v>416</v>
      </c>
      <c r="AZ494" t="s">
        <v>417</v>
      </c>
      <c r="BA494">
        <v>7.46E-2</v>
      </c>
      <c r="BB494">
        <v>1</v>
      </c>
      <c r="BC494" t="s">
        <v>69</v>
      </c>
      <c r="BD494">
        <v>0.63400000000000001</v>
      </c>
      <c r="BE494">
        <v>0.40400000000000003</v>
      </c>
    </row>
    <row r="495" spans="1:57">
      <c r="A495">
        <v>0</v>
      </c>
      <c r="B495">
        <v>0</v>
      </c>
      <c r="C495">
        <v>0</v>
      </c>
      <c r="D495">
        <v>107</v>
      </c>
      <c r="E495" t="s">
        <v>418</v>
      </c>
      <c r="F495" t="s">
        <v>5762</v>
      </c>
      <c r="G495" t="s">
        <v>57</v>
      </c>
      <c r="H495">
        <v>121919</v>
      </c>
      <c r="I495">
        <v>125497</v>
      </c>
      <c r="J495" t="s">
        <v>419</v>
      </c>
      <c r="K495">
        <v>1193</v>
      </c>
      <c r="L495" t="s">
        <v>59</v>
      </c>
      <c r="M495">
        <v>5</v>
      </c>
      <c r="N495" t="str">
        <f>HYPERLINK("Gene107-zp_tree_all.dnd", "Gene107-tree")</f>
        <v>Gene107-tree</v>
      </c>
      <c r="O495">
        <v>4</v>
      </c>
      <c r="P495">
        <v>1</v>
      </c>
      <c r="Q495">
        <v>4</v>
      </c>
      <c r="R495">
        <v>1</v>
      </c>
      <c r="S495">
        <v>0.2</v>
      </c>
      <c r="T495" t="s">
        <v>60</v>
      </c>
      <c r="U495" t="s">
        <v>61</v>
      </c>
      <c r="V495" t="s">
        <v>62</v>
      </c>
      <c r="W495" t="s">
        <v>62</v>
      </c>
      <c r="X495">
        <v>0</v>
      </c>
      <c r="Y495">
        <v>0</v>
      </c>
      <c r="Z495">
        <v>3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2</v>
      </c>
      <c r="AK495">
        <v>0</v>
      </c>
      <c r="AL495">
        <v>5</v>
      </c>
      <c r="AM495">
        <v>2</v>
      </c>
      <c r="AN495">
        <v>77</v>
      </c>
      <c r="AO495">
        <v>2</v>
      </c>
      <c r="AP495">
        <v>59</v>
      </c>
      <c r="AQ495">
        <v>1</v>
      </c>
      <c r="AR495" t="s">
        <v>420</v>
      </c>
      <c r="AS495" t="s">
        <v>421</v>
      </c>
      <c r="AT495">
        <v>0.17699999999999999</v>
      </c>
      <c r="AU495" t="s">
        <v>65</v>
      </c>
      <c r="AV495">
        <v>136</v>
      </c>
      <c r="AW495">
        <v>3</v>
      </c>
      <c r="AX495" t="s">
        <v>422</v>
      </c>
      <c r="AY495" t="s">
        <v>423</v>
      </c>
      <c r="AZ495" t="s">
        <v>424</v>
      </c>
      <c r="BA495">
        <v>6.3200000000000001E-3</v>
      </c>
      <c r="BB495">
        <v>1</v>
      </c>
      <c r="BC495" t="s">
        <v>69</v>
      </c>
      <c r="BD495">
        <v>0.35399999999999998</v>
      </c>
      <c r="BE495">
        <v>7.2999999999999995E-2</v>
      </c>
    </row>
    <row r="496" spans="1:57">
      <c r="A496">
        <v>0</v>
      </c>
      <c r="B496">
        <v>0</v>
      </c>
      <c r="C496">
        <v>0</v>
      </c>
      <c r="D496">
        <v>108</v>
      </c>
      <c r="E496" t="s">
        <v>425</v>
      </c>
      <c r="F496" t="s">
        <v>5762</v>
      </c>
      <c r="G496" t="s">
        <v>57</v>
      </c>
      <c r="H496">
        <v>125562</v>
      </c>
      <c r="I496">
        <v>129158</v>
      </c>
      <c r="J496" t="s">
        <v>426</v>
      </c>
      <c r="K496">
        <v>1199</v>
      </c>
      <c r="L496" t="s">
        <v>59</v>
      </c>
      <c r="M496">
        <v>5</v>
      </c>
      <c r="N496" t="str">
        <f>HYPERLINK("Gene108-zp_tree_all.dnd", "Gene108-tree")</f>
        <v>Gene108-tree</v>
      </c>
      <c r="O496">
        <v>4</v>
      </c>
      <c r="P496">
        <v>1</v>
      </c>
      <c r="Q496">
        <v>4</v>
      </c>
      <c r="R496">
        <v>1</v>
      </c>
      <c r="S496">
        <v>0.2</v>
      </c>
      <c r="T496" t="s">
        <v>60</v>
      </c>
      <c r="U496" t="s">
        <v>61</v>
      </c>
      <c r="V496" t="s">
        <v>62</v>
      </c>
      <c r="W496" t="s">
        <v>62</v>
      </c>
      <c r="X496">
        <v>0</v>
      </c>
      <c r="Y496">
        <v>0</v>
      </c>
      <c r="Z496">
        <v>3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1</v>
      </c>
      <c r="AK496">
        <v>0</v>
      </c>
      <c r="AL496">
        <v>5</v>
      </c>
      <c r="AM496">
        <v>2</v>
      </c>
      <c r="AN496">
        <v>62</v>
      </c>
      <c r="AO496">
        <v>1</v>
      </c>
      <c r="AP496">
        <v>67</v>
      </c>
      <c r="AQ496">
        <v>2</v>
      </c>
      <c r="AR496" t="s">
        <v>427</v>
      </c>
      <c r="AS496" t="s">
        <v>428</v>
      </c>
      <c r="AT496">
        <v>0.27400000000000002</v>
      </c>
      <c r="AU496" t="s">
        <v>65</v>
      </c>
      <c r="AV496">
        <v>129</v>
      </c>
      <c r="AW496">
        <v>3</v>
      </c>
      <c r="AX496" t="s">
        <v>429</v>
      </c>
      <c r="AY496" t="s">
        <v>430</v>
      </c>
      <c r="AZ496" t="s">
        <v>431</v>
      </c>
      <c r="BA496">
        <v>7.4099999999999999E-3</v>
      </c>
      <c r="BB496">
        <v>1</v>
      </c>
      <c r="BC496" t="s">
        <v>69</v>
      </c>
      <c r="BD496">
        <v>0.57099999999999995</v>
      </c>
      <c r="BE496">
        <v>0.45700000000000002</v>
      </c>
    </row>
    <row r="497" spans="1:57">
      <c r="A497">
        <v>0</v>
      </c>
      <c r="B497">
        <v>0</v>
      </c>
      <c r="C497">
        <v>0</v>
      </c>
      <c r="D497">
        <v>109</v>
      </c>
      <c r="E497" t="s">
        <v>432</v>
      </c>
      <c r="F497" t="s">
        <v>5762</v>
      </c>
      <c r="G497" t="s">
        <v>57</v>
      </c>
      <c r="H497">
        <v>129340</v>
      </c>
      <c r="I497">
        <v>129585</v>
      </c>
      <c r="J497" t="s">
        <v>433</v>
      </c>
      <c r="K497">
        <v>82</v>
      </c>
      <c r="L497" t="s">
        <v>59</v>
      </c>
      <c r="M497">
        <v>5</v>
      </c>
      <c r="N497" t="str">
        <f>HYPERLINK("Gene109-zp_tree_all.dnd", "Gene109-tree")</f>
        <v>Gene109-tree</v>
      </c>
      <c r="O497">
        <v>4</v>
      </c>
      <c r="P497">
        <v>0</v>
      </c>
      <c r="Q497">
        <v>4</v>
      </c>
      <c r="R497">
        <v>0</v>
      </c>
      <c r="S497">
        <v>0</v>
      </c>
      <c r="T497" t="s">
        <v>60</v>
      </c>
      <c r="U497" t="s">
        <v>62</v>
      </c>
      <c r="V497" t="s">
        <v>62</v>
      </c>
      <c r="W497" t="s">
        <v>62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3</v>
      </c>
      <c r="AM497">
        <v>1</v>
      </c>
      <c r="AN497">
        <v>3</v>
      </c>
      <c r="AO497">
        <v>0</v>
      </c>
      <c r="AP497">
        <v>1</v>
      </c>
      <c r="AQ497">
        <v>0</v>
      </c>
      <c r="AR497" t="s">
        <v>64</v>
      </c>
      <c r="AS497" t="s">
        <v>64</v>
      </c>
      <c r="AT497">
        <v>0</v>
      </c>
      <c r="AU497" t="s">
        <v>65</v>
      </c>
      <c r="AV497">
        <v>4</v>
      </c>
      <c r="AW497">
        <v>0</v>
      </c>
      <c r="AX497" t="s">
        <v>434</v>
      </c>
      <c r="AY497" t="s">
        <v>435</v>
      </c>
      <c r="AZ497" t="s">
        <v>64</v>
      </c>
      <c r="BA497">
        <v>0</v>
      </c>
      <c r="BB497">
        <v>1</v>
      </c>
      <c r="BC497" t="s">
        <v>69</v>
      </c>
      <c r="BD497">
        <v>-0.41</v>
      </c>
      <c r="BE497">
        <v>-0.41</v>
      </c>
    </row>
    <row r="498" spans="1:57">
      <c r="A498">
        <v>0</v>
      </c>
      <c r="B498">
        <v>0</v>
      </c>
      <c r="C498">
        <v>0</v>
      </c>
      <c r="D498">
        <v>110</v>
      </c>
      <c r="E498" t="s">
        <v>436</v>
      </c>
      <c r="F498" t="s">
        <v>5762</v>
      </c>
      <c r="G498" t="s">
        <v>57</v>
      </c>
      <c r="H498">
        <v>129702</v>
      </c>
      <c r="I498">
        <v>130115</v>
      </c>
      <c r="J498" t="s">
        <v>437</v>
      </c>
      <c r="K498">
        <v>138</v>
      </c>
      <c r="L498" t="s">
        <v>59</v>
      </c>
      <c r="M498">
        <v>5</v>
      </c>
      <c r="N498" t="str">
        <f>HYPERLINK("Gene110-zp_tree_all.dnd", "Gene110-tree")</f>
        <v>Gene110-tree</v>
      </c>
      <c r="O498">
        <v>3</v>
      </c>
      <c r="P498">
        <v>1</v>
      </c>
      <c r="Q498">
        <v>3</v>
      </c>
      <c r="R498">
        <v>1</v>
      </c>
      <c r="S498">
        <v>0.25</v>
      </c>
      <c r="T498" t="s">
        <v>84</v>
      </c>
      <c r="U498" t="s">
        <v>61</v>
      </c>
      <c r="V498" t="s">
        <v>62</v>
      </c>
      <c r="W498" t="s">
        <v>62</v>
      </c>
      <c r="X498">
        <v>0</v>
      </c>
      <c r="Y498">
        <v>0</v>
      </c>
      <c r="Z498">
        <v>1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1</v>
      </c>
      <c r="AK498">
        <v>0</v>
      </c>
      <c r="AL498">
        <v>3</v>
      </c>
      <c r="AM498">
        <v>1</v>
      </c>
      <c r="AN498">
        <v>2</v>
      </c>
      <c r="AO498">
        <v>1</v>
      </c>
      <c r="AP498">
        <v>3</v>
      </c>
      <c r="AQ498">
        <v>0</v>
      </c>
      <c r="AR498" t="s">
        <v>438</v>
      </c>
      <c r="AS498" t="s">
        <v>64</v>
      </c>
      <c r="AT498">
        <v>0.69299999999999995</v>
      </c>
      <c r="AU498" t="s">
        <v>65</v>
      </c>
      <c r="AV498">
        <v>5</v>
      </c>
      <c r="AW498">
        <v>1</v>
      </c>
      <c r="AX498" t="s">
        <v>439</v>
      </c>
      <c r="AY498" t="s">
        <v>440</v>
      </c>
      <c r="AZ498" t="s">
        <v>441</v>
      </c>
      <c r="BA498">
        <v>5.4480000000000001E-2</v>
      </c>
      <c r="BB498">
        <v>1</v>
      </c>
      <c r="BC498" t="s">
        <v>69</v>
      </c>
      <c r="BD498">
        <v>0.28599999999999998</v>
      </c>
      <c r="BE498">
        <v>0.28599999999999998</v>
      </c>
    </row>
    <row r="499" spans="1:57">
      <c r="A499">
        <v>0</v>
      </c>
      <c r="B499">
        <v>0</v>
      </c>
      <c r="C499">
        <v>0</v>
      </c>
      <c r="D499">
        <v>111</v>
      </c>
      <c r="E499" t="s">
        <v>442</v>
      </c>
      <c r="F499" t="s">
        <v>5762</v>
      </c>
      <c r="G499" t="s">
        <v>57</v>
      </c>
      <c r="H499">
        <v>130160</v>
      </c>
      <c r="I499">
        <v>130627</v>
      </c>
      <c r="J499" t="s">
        <v>443</v>
      </c>
      <c r="K499">
        <v>156</v>
      </c>
      <c r="L499" t="s">
        <v>59</v>
      </c>
      <c r="M499">
        <v>5</v>
      </c>
      <c r="N499" t="str">
        <f>HYPERLINK("Gene111-zp_tree_all.dnd", "Gene111-tree")</f>
        <v>Gene111-tree</v>
      </c>
      <c r="O499">
        <v>5</v>
      </c>
      <c r="P499">
        <v>0</v>
      </c>
      <c r="Q499">
        <v>4</v>
      </c>
      <c r="R499">
        <v>0</v>
      </c>
      <c r="S499">
        <v>0</v>
      </c>
      <c r="T499" t="s">
        <v>150</v>
      </c>
      <c r="U499" t="s">
        <v>62</v>
      </c>
      <c r="V499" t="s">
        <v>62</v>
      </c>
      <c r="W499" t="s">
        <v>62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3</v>
      </c>
      <c r="AM499">
        <v>1</v>
      </c>
      <c r="AN499">
        <v>5</v>
      </c>
      <c r="AO499">
        <v>0</v>
      </c>
      <c r="AP499">
        <v>5</v>
      </c>
      <c r="AQ499">
        <v>0</v>
      </c>
      <c r="AR499" t="s">
        <v>64</v>
      </c>
      <c r="AS499" t="s">
        <v>64</v>
      </c>
      <c r="AT499">
        <v>0</v>
      </c>
      <c r="AU499" t="s">
        <v>65</v>
      </c>
      <c r="AV499">
        <v>10</v>
      </c>
      <c r="AW499">
        <v>0</v>
      </c>
      <c r="AX499" t="s">
        <v>444</v>
      </c>
      <c r="AY499" t="s">
        <v>445</v>
      </c>
      <c r="AZ499" t="s">
        <v>64</v>
      </c>
      <c r="BA499">
        <v>0</v>
      </c>
      <c r="BB499">
        <v>1</v>
      </c>
      <c r="BC499" t="s">
        <v>69</v>
      </c>
      <c r="BD499">
        <v>0.89400000000000002</v>
      </c>
      <c r="BE499">
        <v>0.89400000000000002</v>
      </c>
    </row>
    <row r="500" spans="1:57">
      <c r="A500">
        <v>0</v>
      </c>
      <c r="B500">
        <v>0</v>
      </c>
      <c r="C500">
        <v>0</v>
      </c>
      <c r="D500">
        <v>112</v>
      </c>
      <c r="E500" t="s">
        <v>446</v>
      </c>
      <c r="F500" t="s">
        <v>5762</v>
      </c>
      <c r="G500" t="s">
        <v>57</v>
      </c>
      <c r="H500">
        <v>130684</v>
      </c>
      <c r="I500">
        <v>132759</v>
      </c>
      <c r="J500" t="s">
        <v>447</v>
      </c>
      <c r="K500">
        <v>692</v>
      </c>
      <c r="L500" t="s">
        <v>59</v>
      </c>
      <c r="M500">
        <v>5</v>
      </c>
      <c r="N500" t="str">
        <f>HYPERLINK("Gene112-zp_tree_all.dnd", "Gene112-tree")</f>
        <v>Gene112-tree</v>
      </c>
      <c r="O500">
        <v>4</v>
      </c>
      <c r="P500">
        <v>1</v>
      </c>
      <c r="Q500">
        <v>4</v>
      </c>
      <c r="R500">
        <v>1</v>
      </c>
      <c r="S500">
        <v>0.2</v>
      </c>
      <c r="T500" t="s">
        <v>60</v>
      </c>
      <c r="U500" t="s">
        <v>61</v>
      </c>
      <c r="V500" t="s">
        <v>62</v>
      </c>
      <c r="W500" t="s">
        <v>62</v>
      </c>
      <c r="X500">
        <v>0</v>
      </c>
      <c r="Y500">
        <v>0</v>
      </c>
      <c r="Z500">
        <v>5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1</v>
      </c>
      <c r="AK500">
        <v>0</v>
      </c>
      <c r="AL500">
        <v>4</v>
      </c>
      <c r="AM500">
        <v>2</v>
      </c>
      <c r="AN500">
        <v>30</v>
      </c>
      <c r="AO500">
        <v>1</v>
      </c>
      <c r="AP500">
        <v>30</v>
      </c>
      <c r="AQ500">
        <v>5</v>
      </c>
      <c r="AR500" t="s">
        <v>448</v>
      </c>
      <c r="AS500" t="s">
        <v>449</v>
      </c>
      <c r="AT500">
        <v>0.72299999999999998</v>
      </c>
      <c r="AU500" t="s">
        <v>65</v>
      </c>
      <c r="AV500">
        <v>60</v>
      </c>
      <c r="AW500">
        <v>6</v>
      </c>
      <c r="AX500" t="s">
        <v>450</v>
      </c>
      <c r="AY500" t="s">
        <v>451</v>
      </c>
      <c r="AZ500" t="s">
        <v>452</v>
      </c>
      <c r="BA500">
        <v>3.2960000000000003E-2</v>
      </c>
      <c r="BB500">
        <v>1</v>
      </c>
      <c r="BC500" t="s">
        <v>69</v>
      </c>
      <c r="BD500">
        <v>0.46100000000000002</v>
      </c>
      <c r="BE500">
        <v>0.34</v>
      </c>
    </row>
    <row r="501" spans="1:57">
      <c r="A501">
        <v>0</v>
      </c>
      <c r="B501">
        <v>0</v>
      </c>
      <c r="C501">
        <v>0</v>
      </c>
      <c r="D501">
        <v>113</v>
      </c>
      <c r="E501" t="s">
        <v>453</v>
      </c>
      <c r="F501" t="s">
        <v>5762</v>
      </c>
      <c r="G501" t="s">
        <v>57</v>
      </c>
      <c r="H501">
        <v>132882</v>
      </c>
      <c r="I501">
        <v>134069</v>
      </c>
      <c r="J501" t="s">
        <v>454</v>
      </c>
      <c r="K501">
        <v>396</v>
      </c>
      <c r="L501" t="s">
        <v>59</v>
      </c>
      <c r="M501">
        <v>5</v>
      </c>
      <c r="N501" t="str">
        <f>HYPERLINK("Gene113-zp_tree_all.dnd", "Gene113-tree")</f>
        <v>Gene113-tree</v>
      </c>
      <c r="O501">
        <v>4</v>
      </c>
      <c r="P501">
        <v>1</v>
      </c>
      <c r="Q501">
        <v>4</v>
      </c>
      <c r="R501">
        <v>1</v>
      </c>
      <c r="S501">
        <v>0.2</v>
      </c>
      <c r="T501" t="s">
        <v>60</v>
      </c>
      <c r="U501" t="s">
        <v>61</v>
      </c>
      <c r="V501" t="s">
        <v>62</v>
      </c>
      <c r="W501" t="s">
        <v>62</v>
      </c>
      <c r="X501">
        <v>0</v>
      </c>
      <c r="Y501">
        <v>0</v>
      </c>
      <c r="Z501">
        <v>4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1</v>
      </c>
      <c r="AK501">
        <v>0</v>
      </c>
      <c r="AL501">
        <v>4</v>
      </c>
      <c r="AM501">
        <v>1</v>
      </c>
      <c r="AN501">
        <v>8</v>
      </c>
      <c r="AO501">
        <v>1</v>
      </c>
      <c r="AP501">
        <v>10</v>
      </c>
      <c r="AQ501">
        <v>4</v>
      </c>
      <c r="AR501" t="s">
        <v>455</v>
      </c>
      <c r="AS501" t="s">
        <v>456</v>
      </c>
      <c r="AT501">
        <v>1.1879999999999999</v>
      </c>
      <c r="AU501" t="s">
        <v>65</v>
      </c>
      <c r="AV501">
        <v>18</v>
      </c>
      <c r="AW501">
        <v>5</v>
      </c>
      <c r="AX501" t="s">
        <v>457</v>
      </c>
      <c r="AY501" t="s">
        <v>458</v>
      </c>
      <c r="AZ501" t="s">
        <v>459</v>
      </c>
      <c r="BA501">
        <v>9.2310000000000003E-2</v>
      </c>
      <c r="BB501">
        <v>1</v>
      </c>
      <c r="BC501" t="s">
        <v>69</v>
      </c>
      <c r="BD501">
        <v>0.64600000000000002</v>
      </c>
      <c r="BE501">
        <v>0.64600000000000002</v>
      </c>
    </row>
    <row r="502" spans="1:57">
      <c r="A502">
        <v>0</v>
      </c>
      <c r="B502">
        <v>0</v>
      </c>
      <c r="C502">
        <v>0</v>
      </c>
      <c r="D502">
        <v>115</v>
      </c>
      <c r="E502" t="s">
        <v>460</v>
      </c>
      <c r="F502" t="s">
        <v>5762</v>
      </c>
      <c r="G502" t="s">
        <v>57</v>
      </c>
      <c r="H502">
        <v>135364</v>
      </c>
      <c r="I502">
        <v>135669</v>
      </c>
      <c r="J502" t="s">
        <v>461</v>
      </c>
      <c r="K502">
        <v>102</v>
      </c>
      <c r="L502" t="s">
        <v>59</v>
      </c>
      <c r="M502">
        <v>5</v>
      </c>
      <c r="N502" t="str">
        <f>HYPERLINK("Gene115-zp_tree_all.dnd", "Gene115-tree")</f>
        <v>Gene115-tree</v>
      </c>
    </row>
    <row r="503" spans="1:57">
      <c r="A503">
        <v>0</v>
      </c>
      <c r="B503">
        <v>0</v>
      </c>
      <c r="C503">
        <v>0</v>
      </c>
      <c r="D503">
        <v>116</v>
      </c>
      <c r="E503" t="s">
        <v>462</v>
      </c>
      <c r="F503" t="s">
        <v>5762</v>
      </c>
      <c r="G503" t="s">
        <v>57</v>
      </c>
      <c r="H503">
        <v>135712</v>
      </c>
      <c r="I503">
        <v>136338</v>
      </c>
      <c r="J503" t="s">
        <v>463</v>
      </c>
      <c r="K503">
        <v>209</v>
      </c>
      <c r="L503" t="s">
        <v>59</v>
      </c>
      <c r="M503">
        <v>5</v>
      </c>
      <c r="N503" t="str">
        <f>HYPERLINK("Gene116-zp_tree_all.dnd", "Gene116-tree")</f>
        <v>Gene116-tree</v>
      </c>
      <c r="O503">
        <v>3</v>
      </c>
      <c r="P503">
        <v>1</v>
      </c>
      <c r="Q503">
        <v>3</v>
      </c>
      <c r="R503">
        <v>1</v>
      </c>
      <c r="S503">
        <v>0.25</v>
      </c>
      <c r="T503" t="s">
        <v>84</v>
      </c>
      <c r="U503" t="s">
        <v>61</v>
      </c>
      <c r="V503" t="s">
        <v>62</v>
      </c>
      <c r="W503" t="s">
        <v>62</v>
      </c>
      <c r="X503">
        <v>0</v>
      </c>
      <c r="Y503">
        <v>0</v>
      </c>
      <c r="Z503">
        <v>2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2</v>
      </c>
      <c r="AK503">
        <v>0</v>
      </c>
      <c r="AL503">
        <v>3</v>
      </c>
      <c r="AM503">
        <v>1</v>
      </c>
      <c r="AN503">
        <v>4</v>
      </c>
      <c r="AO503">
        <v>2</v>
      </c>
      <c r="AP503">
        <v>1</v>
      </c>
      <c r="AQ503">
        <v>0</v>
      </c>
      <c r="AR503" t="s">
        <v>464</v>
      </c>
      <c r="AS503" t="s">
        <v>64</v>
      </c>
      <c r="AT503">
        <v>0.81399999999999995</v>
      </c>
      <c r="AU503" t="s">
        <v>65</v>
      </c>
      <c r="AV503">
        <v>5</v>
      </c>
      <c r="AW503">
        <v>2</v>
      </c>
      <c r="AX503" t="s">
        <v>465</v>
      </c>
      <c r="AY503" t="s">
        <v>466</v>
      </c>
      <c r="AZ503" t="s">
        <v>467</v>
      </c>
      <c r="BA503">
        <v>0.11325</v>
      </c>
      <c r="BB503">
        <v>0.96699999999999997</v>
      </c>
      <c r="BC503" t="s">
        <v>69</v>
      </c>
      <c r="BD503">
        <v>0.498</v>
      </c>
      <c r="BE503">
        <v>0.498</v>
      </c>
    </row>
    <row r="504" spans="1:57">
      <c r="A504">
        <v>0</v>
      </c>
      <c r="B504">
        <v>0</v>
      </c>
      <c r="C504">
        <v>0</v>
      </c>
      <c r="D504">
        <v>117</v>
      </c>
      <c r="E504" t="s">
        <v>468</v>
      </c>
      <c r="F504" t="s">
        <v>5762</v>
      </c>
      <c r="G504" t="s">
        <v>57</v>
      </c>
      <c r="H504">
        <v>136369</v>
      </c>
      <c r="I504">
        <v>136989</v>
      </c>
      <c r="J504" t="s">
        <v>469</v>
      </c>
      <c r="K504">
        <v>207</v>
      </c>
      <c r="L504" t="s">
        <v>59</v>
      </c>
      <c r="M504">
        <v>5</v>
      </c>
      <c r="N504" t="str">
        <f>HYPERLINK("Gene117-zp_tree_all.dnd", "Gene117-tree")</f>
        <v>Gene117-tree</v>
      </c>
      <c r="O504">
        <v>5</v>
      </c>
      <c r="P504">
        <v>0</v>
      </c>
      <c r="Q504">
        <v>5</v>
      </c>
      <c r="R504">
        <v>0</v>
      </c>
      <c r="S504">
        <v>0</v>
      </c>
      <c r="T504" t="s">
        <v>98</v>
      </c>
      <c r="U504" t="s">
        <v>62</v>
      </c>
      <c r="V504" t="s">
        <v>62</v>
      </c>
      <c r="W504" t="s">
        <v>62</v>
      </c>
      <c r="X504">
        <v>0</v>
      </c>
      <c r="Y504">
        <v>0</v>
      </c>
      <c r="Z504">
        <v>1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3</v>
      </c>
      <c r="AM504">
        <v>2</v>
      </c>
      <c r="AN504">
        <v>4</v>
      </c>
      <c r="AO504">
        <v>0</v>
      </c>
      <c r="AP504">
        <v>8</v>
      </c>
      <c r="AQ504">
        <v>1</v>
      </c>
      <c r="AR504" t="s">
        <v>64</v>
      </c>
      <c r="AS504" t="s">
        <v>470</v>
      </c>
      <c r="AT504">
        <v>0.9</v>
      </c>
      <c r="AU504" t="s">
        <v>65</v>
      </c>
      <c r="AV504">
        <v>12</v>
      </c>
      <c r="AW504">
        <v>1</v>
      </c>
      <c r="AX504" t="s">
        <v>471</v>
      </c>
      <c r="AY504" t="s">
        <v>472</v>
      </c>
      <c r="AZ504" t="s">
        <v>473</v>
      </c>
      <c r="BA504">
        <v>2.929E-2</v>
      </c>
      <c r="BB504">
        <v>1</v>
      </c>
      <c r="BC504" t="s">
        <v>69</v>
      </c>
      <c r="BD504">
        <v>0.88500000000000001</v>
      </c>
      <c r="BE504">
        <v>0.88500000000000001</v>
      </c>
    </row>
    <row r="505" spans="1:57">
      <c r="A505">
        <v>0</v>
      </c>
      <c r="B505">
        <v>0</v>
      </c>
      <c r="C505">
        <v>0</v>
      </c>
      <c r="D505">
        <v>118</v>
      </c>
      <c r="E505" t="s">
        <v>474</v>
      </c>
      <c r="F505" t="s">
        <v>5762</v>
      </c>
      <c r="G505" t="s">
        <v>57</v>
      </c>
      <c r="H505">
        <v>136992</v>
      </c>
      <c r="I505">
        <v>137276</v>
      </c>
      <c r="J505" t="s">
        <v>475</v>
      </c>
      <c r="K505">
        <v>95</v>
      </c>
      <c r="L505" t="s">
        <v>59</v>
      </c>
      <c r="M505">
        <v>5</v>
      </c>
      <c r="N505" t="str">
        <f>HYPERLINK("Gene118-zp_tree_all.dnd", "Gene118-tree")</f>
        <v>Gene118-tree</v>
      </c>
      <c r="O505">
        <v>5</v>
      </c>
      <c r="P505">
        <v>0</v>
      </c>
      <c r="Q505">
        <v>4</v>
      </c>
      <c r="R505">
        <v>0</v>
      </c>
      <c r="S505">
        <v>0</v>
      </c>
      <c r="T505" t="s">
        <v>150</v>
      </c>
      <c r="U505" t="s">
        <v>62</v>
      </c>
      <c r="V505" t="s">
        <v>62</v>
      </c>
      <c r="W505" t="s">
        <v>62</v>
      </c>
      <c r="X505">
        <v>0</v>
      </c>
      <c r="Y505">
        <v>0</v>
      </c>
      <c r="Z505">
        <v>1</v>
      </c>
      <c r="AA505">
        <v>0</v>
      </c>
      <c r="AB505">
        <v>0</v>
      </c>
      <c r="AC505">
        <v>0</v>
      </c>
      <c r="AD505">
        <v>0</v>
      </c>
      <c r="AE505">
        <v>1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2</v>
      </c>
      <c r="AM505">
        <v>1</v>
      </c>
      <c r="AN505">
        <v>4</v>
      </c>
      <c r="AO505">
        <v>0</v>
      </c>
      <c r="AP505">
        <v>0</v>
      </c>
      <c r="AQ505">
        <v>1</v>
      </c>
      <c r="AR505" t="s">
        <v>64</v>
      </c>
      <c r="AS505" t="s">
        <v>64</v>
      </c>
      <c r="AT505">
        <v>0</v>
      </c>
      <c r="AU505" t="s">
        <v>65</v>
      </c>
      <c r="AV505">
        <v>4</v>
      </c>
      <c r="AW505">
        <v>1</v>
      </c>
      <c r="AX505" t="s">
        <v>476</v>
      </c>
      <c r="AY505" t="s">
        <v>477</v>
      </c>
      <c r="AZ505" t="s">
        <v>478</v>
      </c>
      <c r="BA505">
        <v>9.1819999999999999E-2</v>
      </c>
      <c r="BB505">
        <v>0.98699999999999999</v>
      </c>
      <c r="BC505" t="s">
        <v>69</v>
      </c>
      <c r="BD505">
        <v>1.1240000000000001</v>
      </c>
      <c r="BE505">
        <v>1.1240000000000001</v>
      </c>
    </row>
    <row r="506" spans="1:57">
      <c r="A506">
        <v>0</v>
      </c>
      <c r="B506">
        <v>0</v>
      </c>
      <c r="C506">
        <v>0</v>
      </c>
      <c r="D506">
        <v>119</v>
      </c>
      <c r="E506" t="s">
        <v>479</v>
      </c>
      <c r="F506" t="s">
        <v>5762</v>
      </c>
      <c r="G506" t="s">
        <v>57</v>
      </c>
      <c r="H506">
        <v>137311</v>
      </c>
      <c r="I506">
        <v>138141</v>
      </c>
      <c r="J506" t="s">
        <v>480</v>
      </c>
      <c r="K506">
        <v>277</v>
      </c>
      <c r="L506" t="s">
        <v>59</v>
      </c>
      <c r="M506">
        <v>5</v>
      </c>
      <c r="N506" t="str">
        <f>HYPERLINK("Gene119-zp_tree_all.dnd", "Gene119-tree")</f>
        <v>Gene119-tree</v>
      </c>
      <c r="O506">
        <v>5</v>
      </c>
      <c r="P506">
        <v>0</v>
      </c>
      <c r="Q506">
        <v>4</v>
      </c>
      <c r="R506">
        <v>0</v>
      </c>
      <c r="S506">
        <v>0</v>
      </c>
      <c r="T506" t="s">
        <v>150</v>
      </c>
      <c r="U506" t="s">
        <v>62</v>
      </c>
      <c r="V506" t="s">
        <v>62</v>
      </c>
      <c r="W506" t="s">
        <v>62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3</v>
      </c>
      <c r="AM506">
        <v>1</v>
      </c>
      <c r="AN506">
        <v>5</v>
      </c>
      <c r="AO506">
        <v>0</v>
      </c>
      <c r="AP506">
        <v>8</v>
      </c>
      <c r="AQ506">
        <v>0</v>
      </c>
      <c r="AR506" t="s">
        <v>64</v>
      </c>
      <c r="AS506" t="s">
        <v>64</v>
      </c>
      <c r="AT506">
        <v>0</v>
      </c>
      <c r="AU506" t="s">
        <v>65</v>
      </c>
      <c r="AV506">
        <v>13</v>
      </c>
      <c r="AW506">
        <v>0</v>
      </c>
      <c r="AX506" t="s">
        <v>481</v>
      </c>
      <c r="AY506" t="s">
        <v>482</v>
      </c>
      <c r="AZ506" t="s">
        <v>64</v>
      </c>
      <c r="BA506">
        <v>0</v>
      </c>
      <c r="BB506">
        <v>1</v>
      </c>
      <c r="BC506" t="s">
        <v>69</v>
      </c>
      <c r="BD506">
        <v>1.0549999999999999</v>
      </c>
      <c r="BE506">
        <v>0.55200000000000005</v>
      </c>
    </row>
    <row r="507" spans="1:57">
      <c r="A507">
        <v>0</v>
      </c>
      <c r="B507">
        <v>0</v>
      </c>
      <c r="C507">
        <v>0</v>
      </c>
      <c r="D507">
        <v>120</v>
      </c>
      <c r="E507" t="s">
        <v>483</v>
      </c>
      <c r="F507" t="s">
        <v>5762</v>
      </c>
      <c r="G507" t="s">
        <v>57</v>
      </c>
      <c r="H507">
        <v>138202</v>
      </c>
      <c r="I507">
        <v>138477</v>
      </c>
      <c r="J507" t="s">
        <v>484</v>
      </c>
      <c r="K507">
        <v>92</v>
      </c>
      <c r="L507" t="s">
        <v>59</v>
      </c>
      <c r="M507">
        <v>5</v>
      </c>
      <c r="N507" t="str">
        <f>HYPERLINK("Gene120-zp_tree_all.dnd", "Gene120-tree")</f>
        <v>Gene120-tree</v>
      </c>
    </row>
    <row r="508" spans="1:57">
      <c r="A508">
        <v>0</v>
      </c>
      <c r="B508">
        <v>0</v>
      </c>
      <c r="C508">
        <v>0</v>
      </c>
      <c r="D508">
        <v>121</v>
      </c>
      <c r="E508" t="s">
        <v>485</v>
      </c>
      <c r="F508" t="s">
        <v>5762</v>
      </c>
      <c r="G508" t="s">
        <v>57</v>
      </c>
      <c r="H508">
        <v>138497</v>
      </c>
      <c r="I508">
        <v>138835</v>
      </c>
      <c r="J508" t="s">
        <v>486</v>
      </c>
      <c r="K508">
        <v>113</v>
      </c>
      <c r="L508" t="s">
        <v>59</v>
      </c>
      <c r="M508">
        <v>5</v>
      </c>
      <c r="N508" t="str">
        <f>HYPERLINK("Gene121-zp_tree_all.dnd", "Gene121-tree")</f>
        <v>Gene121-tree</v>
      </c>
    </row>
    <row r="509" spans="1:57">
      <c r="A509">
        <v>0</v>
      </c>
      <c r="B509">
        <v>0</v>
      </c>
      <c r="C509">
        <v>0</v>
      </c>
      <c r="D509">
        <v>122</v>
      </c>
      <c r="E509" t="s">
        <v>487</v>
      </c>
      <c r="F509" t="s">
        <v>5762</v>
      </c>
      <c r="G509" t="s">
        <v>57</v>
      </c>
      <c r="H509">
        <v>138842</v>
      </c>
      <c r="I509">
        <v>139495</v>
      </c>
      <c r="J509" t="s">
        <v>488</v>
      </c>
      <c r="K509">
        <v>218</v>
      </c>
      <c r="L509" t="s">
        <v>59</v>
      </c>
      <c r="M509">
        <v>5</v>
      </c>
      <c r="N509" t="str">
        <f>HYPERLINK("Gene122-zp_tree_all.dnd", "Gene122-tree")</f>
        <v>Gene122-tree</v>
      </c>
      <c r="O509">
        <v>4</v>
      </c>
      <c r="P509">
        <v>1</v>
      </c>
      <c r="Q509">
        <v>4</v>
      </c>
      <c r="R509">
        <v>1</v>
      </c>
      <c r="S509">
        <v>0.2</v>
      </c>
      <c r="T509" t="s">
        <v>60</v>
      </c>
      <c r="U509" t="s">
        <v>61</v>
      </c>
      <c r="V509" t="s">
        <v>62</v>
      </c>
      <c r="W509" t="s">
        <v>62</v>
      </c>
      <c r="X509">
        <v>0</v>
      </c>
      <c r="Y509">
        <v>0</v>
      </c>
      <c r="Z509">
        <v>2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1</v>
      </c>
      <c r="AK509">
        <v>0</v>
      </c>
      <c r="AL509">
        <v>3</v>
      </c>
      <c r="AM509">
        <v>2</v>
      </c>
      <c r="AN509">
        <v>2</v>
      </c>
      <c r="AO509">
        <v>1</v>
      </c>
      <c r="AP509">
        <v>8</v>
      </c>
      <c r="AQ509">
        <v>1</v>
      </c>
      <c r="AR509" t="s">
        <v>489</v>
      </c>
      <c r="AS509" t="s">
        <v>490</v>
      </c>
      <c r="AT509">
        <v>0.51100000000000001</v>
      </c>
      <c r="AU509" t="s">
        <v>65</v>
      </c>
      <c r="AV509">
        <v>10</v>
      </c>
      <c r="AW509">
        <v>2</v>
      </c>
      <c r="AX509" t="s">
        <v>491</v>
      </c>
      <c r="AY509" t="s">
        <v>492</v>
      </c>
      <c r="AZ509" t="s">
        <v>493</v>
      </c>
      <c r="BA509">
        <v>5.534E-2</v>
      </c>
      <c r="BB509">
        <v>1</v>
      </c>
      <c r="BC509" t="s">
        <v>69</v>
      </c>
      <c r="BD509">
        <v>1.0549999999999999</v>
      </c>
      <c r="BE509">
        <v>1.0549999999999999</v>
      </c>
    </row>
    <row r="510" spans="1:57">
      <c r="A510">
        <v>0</v>
      </c>
      <c r="B510">
        <v>0</v>
      </c>
      <c r="C510">
        <v>0</v>
      </c>
      <c r="D510">
        <v>123</v>
      </c>
      <c r="E510" t="s">
        <v>494</v>
      </c>
      <c r="F510" t="s">
        <v>5762</v>
      </c>
      <c r="G510" t="s">
        <v>57</v>
      </c>
      <c r="H510">
        <v>139500</v>
      </c>
      <c r="I510">
        <v>139931</v>
      </c>
      <c r="J510" t="s">
        <v>495</v>
      </c>
      <c r="K510">
        <v>144</v>
      </c>
      <c r="L510" t="s">
        <v>59</v>
      </c>
      <c r="M510">
        <v>5</v>
      </c>
      <c r="N510" t="str">
        <f>HYPERLINK("Gene123-zp_tree_all.dnd", "Gene123-tree")</f>
        <v>Gene123-tree</v>
      </c>
    </row>
    <row r="511" spans="1:57">
      <c r="A511">
        <v>0</v>
      </c>
      <c r="B511">
        <v>0</v>
      </c>
      <c r="C511">
        <v>0</v>
      </c>
      <c r="D511">
        <v>124</v>
      </c>
      <c r="E511" t="s">
        <v>496</v>
      </c>
      <c r="F511" t="s">
        <v>5762</v>
      </c>
      <c r="G511" t="s">
        <v>57</v>
      </c>
      <c r="H511">
        <v>139924</v>
      </c>
      <c r="I511">
        <v>140121</v>
      </c>
      <c r="J511" t="s">
        <v>497</v>
      </c>
      <c r="K511">
        <v>66</v>
      </c>
      <c r="L511" t="s">
        <v>59</v>
      </c>
      <c r="M511">
        <v>5</v>
      </c>
      <c r="N511" t="str">
        <f>HYPERLINK("Gene124-zp_tree_all.dnd", "Gene124-tree")</f>
        <v>Gene124-tree</v>
      </c>
    </row>
    <row r="512" spans="1:57">
      <c r="A512">
        <v>0</v>
      </c>
      <c r="B512">
        <v>0</v>
      </c>
      <c r="C512">
        <v>0</v>
      </c>
      <c r="D512">
        <v>125</v>
      </c>
      <c r="E512" t="s">
        <v>498</v>
      </c>
      <c r="F512" t="s">
        <v>5762</v>
      </c>
      <c r="G512" t="s">
        <v>57</v>
      </c>
      <c r="H512">
        <v>140147</v>
      </c>
      <c r="I512">
        <v>140407</v>
      </c>
      <c r="J512" t="s">
        <v>499</v>
      </c>
      <c r="K512">
        <v>87</v>
      </c>
      <c r="L512" t="s">
        <v>59</v>
      </c>
      <c r="M512">
        <v>5</v>
      </c>
      <c r="N512" t="str">
        <f>HYPERLINK("Gene125-zp_tree_all.dnd", "Gene125-tree")</f>
        <v>Gene125-tree</v>
      </c>
    </row>
    <row r="513" spans="1:57">
      <c r="A513">
        <v>0</v>
      </c>
      <c r="B513">
        <v>0</v>
      </c>
      <c r="C513">
        <v>0</v>
      </c>
      <c r="D513">
        <v>126</v>
      </c>
      <c r="E513" t="s">
        <v>500</v>
      </c>
      <c r="F513" t="s">
        <v>5762</v>
      </c>
      <c r="G513" t="s">
        <v>57</v>
      </c>
      <c r="H513">
        <v>140451</v>
      </c>
      <c r="I513">
        <v>140816</v>
      </c>
      <c r="J513" t="s">
        <v>501</v>
      </c>
      <c r="K513">
        <v>122</v>
      </c>
      <c r="L513" t="s">
        <v>59</v>
      </c>
      <c r="M513">
        <v>5</v>
      </c>
      <c r="N513" t="str">
        <f>HYPERLINK("Gene126-zp_tree_all.dnd", "Gene126-tree")</f>
        <v>Gene126-tree</v>
      </c>
    </row>
    <row r="514" spans="1:57">
      <c r="A514">
        <v>0</v>
      </c>
      <c r="B514">
        <v>0</v>
      </c>
      <c r="C514">
        <v>0</v>
      </c>
      <c r="D514">
        <v>127</v>
      </c>
      <c r="E514" t="s">
        <v>502</v>
      </c>
      <c r="F514" t="s">
        <v>5762</v>
      </c>
      <c r="G514" t="s">
        <v>57</v>
      </c>
      <c r="H514">
        <v>140857</v>
      </c>
      <c r="I514">
        <v>141165</v>
      </c>
      <c r="J514" t="s">
        <v>503</v>
      </c>
      <c r="K514">
        <v>103</v>
      </c>
      <c r="L514" t="s">
        <v>59</v>
      </c>
      <c r="M514">
        <v>5</v>
      </c>
      <c r="N514" t="str">
        <f>HYPERLINK("Gene127-zp_tree_all.dnd", "Gene127-tree")</f>
        <v>Gene127-tree</v>
      </c>
    </row>
    <row r="515" spans="1:57">
      <c r="A515">
        <v>0</v>
      </c>
      <c r="B515">
        <v>0</v>
      </c>
      <c r="C515">
        <v>0</v>
      </c>
      <c r="D515">
        <v>128</v>
      </c>
      <c r="E515" t="s">
        <v>504</v>
      </c>
      <c r="F515" t="s">
        <v>5762</v>
      </c>
      <c r="G515" t="s">
        <v>57</v>
      </c>
      <c r="H515">
        <v>141195</v>
      </c>
      <c r="I515">
        <v>141731</v>
      </c>
      <c r="J515" t="s">
        <v>505</v>
      </c>
      <c r="K515">
        <v>179</v>
      </c>
      <c r="L515" t="s">
        <v>59</v>
      </c>
      <c r="M515">
        <v>5</v>
      </c>
      <c r="N515" t="str">
        <f>HYPERLINK("Gene128-zp_tree_all.dnd", "Gene128-tree")</f>
        <v>Gene128-tree</v>
      </c>
    </row>
    <row r="516" spans="1:57">
      <c r="A516">
        <v>0</v>
      </c>
      <c r="B516">
        <v>0</v>
      </c>
      <c r="C516">
        <v>0</v>
      </c>
      <c r="D516">
        <v>129</v>
      </c>
      <c r="E516" t="s">
        <v>506</v>
      </c>
      <c r="F516" t="s">
        <v>5762</v>
      </c>
      <c r="G516" t="s">
        <v>57</v>
      </c>
      <c r="H516">
        <v>141757</v>
      </c>
      <c r="I516">
        <v>141939</v>
      </c>
      <c r="J516" t="s">
        <v>507</v>
      </c>
      <c r="K516">
        <v>61</v>
      </c>
      <c r="L516" t="s">
        <v>59</v>
      </c>
      <c r="M516">
        <v>5</v>
      </c>
      <c r="N516" t="str">
        <f>HYPERLINK("Gene129-zp_tree_all.dnd", "Gene129-tree")</f>
        <v>Gene129-tree</v>
      </c>
    </row>
    <row r="517" spans="1:57">
      <c r="A517">
        <v>0</v>
      </c>
      <c r="B517">
        <v>0</v>
      </c>
      <c r="C517">
        <v>0</v>
      </c>
      <c r="D517">
        <v>130</v>
      </c>
      <c r="E517" t="s">
        <v>508</v>
      </c>
      <c r="F517" t="s">
        <v>5762</v>
      </c>
      <c r="G517" t="s">
        <v>57</v>
      </c>
      <c r="H517">
        <v>141974</v>
      </c>
      <c r="I517">
        <v>142369</v>
      </c>
      <c r="J517" t="s">
        <v>509</v>
      </c>
      <c r="K517">
        <v>132</v>
      </c>
      <c r="L517" t="s">
        <v>59</v>
      </c>
      <c r="M517">
        <v>5</v>
      </c>
      <c r="N517" t="str">
        <f>HYPERLINK("Gene130-zp_tree_all.dnd", "Gene130-tree")</f>
        <v>Gene130-tree</v>
      </c>
      <c r="O517">
        <v>4</v>
      </c>
      <c r="P517">
        <v>1</v>
      </c>
      <c r="Q517">
        <v>4</v>
      </c>
      <c r="R517">
        <v>1</v>
      </c>
      <c r="S517">
        <v>0.2</v>
      </c>
      <c r="T517" t="s">
        <v>60</v>
      </c>
      <c r="U517" t="s">
        <v>61</v>
      </c>
      <c r="V517" t="s">
        <v>62</v>
      </c>
      <c r="W517" t="s">
        <v>62</v>
      </c>
      <c r="X517">
        <v>0</v>
      </c>
      <c r="Y517">
        <v>0</v>
      </c>
      <c r="Z517">
        <v>1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1</v>
      </c>
      <c r="AK517">
        <v>0</v>
      </c>
      <c r="AL517">
        <v>3</v>
      </c>
      <c r="AM517">
        <v>1</v>
      </c>
      <c r="AN517">
        <v>3</v>
      </c>
      <c r="AO517">
        <v>1</v>
      </c>
      <c r="AP517">
        <v>1</v>
      </c>
      <c r="AQ517">
        <v>0</v>
      </c>
      <c r="AR517" t="s">
        <v>510</v>
      </c>
      <c r="AS517" t="s">
        <v>64</v>
      </c>
      <c r="AT517">
        <v>0.86599999999999999</v>
      </c>
      <c r="AU517" t="s">
        <v>65</v>
      </c>
      <c r="AV517">
        <v>4</v>
      </c>
      <c r="AW517">
        <v>1</v>
      </c>
      <c r="AX517" t="s">
        <v>511</v>
      </c>
      <c r="AY517" t="s">
        <v>512</v>
      </c>
      <c r="AZ517" t="s">
        <v>513</v>
      </c>
      <c r="BA517">
        <v>6.6739999999999994E-2</v>
      </c>
      <c r="BB517">
        <v>1</v>
      </c>
      <c r="BC517" t="s">
        <v>69</v>
      </c>
      <c r="BD517">
        <v>-0.56200000000000006</v>
      </c>
      <c r="BE517">
        <v>-0.56200000000000006</v>
      </c>
    </row>
    <row r="518" spans="1:57">
      <c r="A518">
        <v>0</v>
      </c>
      <c r="B518">
        <v>0</v>
      </c>
      <c r="C518">
        <v>0</v>
      </c>
      <c r="D518">
        <v>131</v>
      </c>
      <c r="E518" t="s">
        <v>514</v>
      </c>
      <c r="F518" t="s">
        <v>5762</v>
      </c>
      <c r="G518" t="s">
        <v>57</v>
      </c>
      <c r="H518">
        <v>142402</v>
      </c>
      <c r="I518">
        <v>142938</v>
      </c>
      <c r="J518" t="s">
        <v>515</v>
      </c>
      <c r="K518">
        <v>179</v>
      </c>
      <c r="L518" t="s">
        <v>59</v>
      </c>
      <c r="M518">
        <v>5</v>
      </c>
      <c r="N518" t="str">
        <f>HYPERLINK("Gene131-zp_tree_all.dnd", "Gene131-tree")</f>
        <v>Gene131-tree</v>
      </c>
      <c r="O518">
        <v>2</v>
      </c>
      <c r="P518">
        <v>2</v>
      </c>
      <c r="Q518">
        <v>2</v>
      </c>
      <c r="R518">
        <v>2</v>
      </c>
      <c r="S518">
        <v>0.5</v>
      </c>
      <c r="T518" t="s">
        <v>135</v>
      </c>
      <c r="U518" t="s">
        <v>135</v>
      </c>
      <c r="V518" t="s">
        <v>62</v>
      </c>
      <c r="W518" t="s">
        <v>62</v>
      </c>
      <c r="X518">
        <v>0</v>
      </c>
      <c r="Y518">
        <v>0</v>
      </c>
      <c r="Z518">
        <v>3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3</v>
      </c>
      <c r="AK518">
        <v>0</v>
      </c>
      <c r="AL518">
        <v>3</v>
      </c>
      <c r="AM518">
        <v>1</v>
      </c>
      <c r="AN518">
        <v>11</v>
      </c>
      <c r="AO518">
        <v>1</v>
      </c>
      <c r="AP518">
        <v>6</v>
      </c>
      <c r="AQ518">
        <v>2</v>
      </c>
      <c r="AR518" t="s">
        <v>516</v>
      </c>
      <c r="AS518" t="s">
        <v>517</v>
      </c>
      <c r="AT518">
        <v>2.0209999999999999</v>
      </c>
      <c r="AU518" t="s">
        <v>65</v>
      </c>
      <c r="AV518">
        <v>17</v>
      </c>
      <c r="AW518">
        <v>3</v>
      </c>
      <c r="AX518" t="s">
        <v>518</v>
      </c>
      <c r="AY518" t="s">
        <v>519</v>
      </c>
      <c r="AZ518" t="s">
        <v>520</v>
      </c>
      <c r="BA518">
        <v>6.028E-2</v>
      </c>
      <c r="BB518">
        <v>1</v>
      </c>
      <c r="BC518" t="s">
        <v>69</v>
      </c>
      <c r="BD518">
        <v>0</v>
      </c>
      <c r="BE518">
        <v>0</v>
      </c>
    </row>
    <row r="519" spans="1:57">
      <c r="A519">
        <v>0</v>
      </c>
      <c r="B519">
        <v>0</v>
      </c>
      <c r="C519">
        <v>0</v>
      </c>
      <c r="D519">
        <v>132</v>
      </c>
      <c r="E519" t="s">
        <v>521</v>
      </c>
      <c r="F519" t="s">
        <v>5762</v>
      </c>
      <c r="G519" t="s">
        <v>57</v>
      </c>
      <c r="H519">
        <v>142974</v>
      </c>
      <c r="I519">
        <v>143333</v>
      </c>
      <c r="J519" t="s">
        <v>522</v>
      </c>
      <c r="K519">
        <v>120</v>
      </c>
      <c r="L519" t="s">
        <v>59</v>
      </c>
      <c r="M519">
        <v>5</v>
      </c>
      <c r="N519" t="str">
        <f>HYPERLINK("Gene132-zp_tree_all.dnd", "Gene132-tree")</f>
        <v>Gene132-tree</v>
      </c>
    </row>
    <row r="520" spans="1:57">
      <c r="A520">
        <v>0</v>
      </c>
      <c r="B520">
        <v>0</v>
      </c>
      <c r="C520">
        <v>0</v>
      </c>
      <c r="D520">
        <v>133</v>
      </c>
      <c r="E520" t="s">
        <v>523</v>
      </c>
      <c r="F520" t="s">
        <v>5762</v>
      </c>
      <c r="G520" t="s">
        <v>57</v>
      </c>
      <c r="H520">
        <v>143361</v>
      </c>
      <c r="I520">
        <v>143858</v>
      </c>
      <c r="J520" t="s">
        <v>524</v>
      </c>
      <c r="K520">
        <v>166</v>
      </c>
      <c r="L520" t="s">
        <v>59</v>
      </c>
      <c r="M520">
        <v>5</v>
      </c>
      <c r="N520" t="str">
        <f>HYPERLINK("Gene133-zp_tree_all.dnd", "Gene133-tree")</f>
        <v>Gene133-tree</v>
      </c>
    </row>
    <row r="521" spans="1:57">
      <c r="A521">
        <v>0</v>
      </c>
      <c r="B521">
        <v>0</v>
      </c>
      <c r="C521">
        <v>0</v>
      </c>
      <c r="D521">
        <v>134</v>
      </c>
      <c r="E521" t="s">
        <v>525</v>
      </c>
      <c r="F521" t="s">
        <v>5762</v>
      </c>
      <c r="G521" t="s">
        <v>57</v>
      </c>
      <c r="H521">
        <v>143875</v>
      </c>
      <c r="I521">
        <v>144051</v>
      </c>
      <c r="J521" t="s">
        <v>526</v>
      </c>
      <c r="K521">
        <v>59</v>
      </c>
      <c r="L521" t="s">
        <v>59</v>
      </c>
      <c r="M521">
        <v>5</v>
      </c>
      <c r="N521" t="str">
        <f>HYPERLINK("Gene134-zp_tree_all.dnd", "Gene134-tree")</f>
        <v>Gene134-tree</v>
      </c>
      <c r="O521">
        <v>5</v>
      </c>
      <c r="P521">
        <v>0</v>
      </c>
      <c r="Q521">
        <v>5</v>
      </c>
      <c r="R521">
        <v>0</v>
      </c>
      <c r="S521">
        <v>0</v>
      </c>
      <c r="T521" t="s">
        <v>98</v>
      </c>
      <c r="U521" t="s">
        <v>62</v>
      </c>
      <c r="V521" t="s">
        <v>62</v>
      </c>
      <c r="W521" t="s">
        <v>62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3</v>
      </c>
      <c r="AM521">
        <v>1</v>
      </c>
      <c r="AN521">
        <v>3</v>
      </c>
      <c r="AO521">
        <v>0</v>
      </c>
      <c r="AP521">
        <v>2</v>
      </c>
      <c r="AQ521">
        <v>0</v>
      </c>
      <c r="AR521" t="s">
        <v>64</v>
      </c>
      <c r="AS521" t="s">
        <v>64</v>
      </c>
      <c r="AT521">
        <v>0</v>
      </c>
      <c r="AU521" t="s">
        <v>65</v>
      </c>
      <c r="AV521">
        <v>5</v>
      </c>
      <c r="AW521">
        <v>0</v>
      </c>
      <c r="AX521" t="s">
        <v>527</v>
      </c>
      <c r="AY521" t="s">
        <v>528</v>
      </c>
      <c r="AZ521" t="s">
        <v>64</v>
      </c>
      <c r="BA521">
        <v>0</v>
      </c>
      <c r="BB521">
        <v>1</v>
      </c>
      <c r="BC521" t="s">
        <v>69</v>
      </c>
      <c r="BD521">
        <v>0</v>
      </c>
      <c r="BE521">
        <v>0</v>
      </c>
    </row>
    <row r="522" spans="1:57">
      <c r="A522">
        <v>0</v>
      </c>
      <c r="B522">
        <v>0</v>
      </c>
      <c r="C522">
        <v>0</v>
      </c>
      <c r="D522">
        <v>135</v>
      </c>
      <c r="E522" t="s">
        <v>529</v>
      </c>
      <c r="F522" t="s">
        <v>5762</v>
      </c>
      <c r="G522" t="s">
        <v>57</v>
      </c>
      <c r="H522">
        <v>144085</v>
      </c>
      <c r="I522">
        <v>144522</v>
      </c>
      <c r="J522" t="s">
        <v>530</v>
      </c>
      <c r="K522">
        <v>146</v>
      </c>
      <c r="L522" t="s">
        <v>59</v>
      </c>
      <c r="M522">
        <v>5</v>
      </c>
      <c r="N522" t="str">
        <f>HYPERLINK("Gene135-zp_tree_all.dnd", "Gene135-tree")</f>
        <v>Gene135-tree</v>
      </c>
      <c r="O522">
        <v>4</v>
      </c>
      <c r="P522">
        <v>0</v>
      </c>
      <c r="Q522">
        <v>4</v>
      </c>
      <c r="R522">
        <v>0</v>
      </c>
      <c r="S522">
        <v>0</v>
      </c>
      <c r="T522" t="s">
        <v>60</v>
      </c>
      <c r="U522" t="s">
        <v>62</v>
      </c>
      <c r="V522" t="s">
        <v>62</v>
      </c>
      <c r="W522" t="s">
        <v>62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2</v>
      </c>
      <c r="AM522">
        <v>1</v>
      </c>
      <c r="AN522">
        <v>2</v>
      </c>
      <c r="AO522">
        <v>0</v>
      </c>
      <c r="AP522">
        <v>1</v>
      </c>
      <c r="AQ522">
        <v>0</v>
      </c>
      <c r="AR522" t="s">
        <v>64</v>
      </c>
      <c r="AS522" t="s">
        <v>64</v>
      </c>
      <c r="AT522">
        <v>0</v>
      </c>
      <c r="AU522" t="s">
        <v>65</v>
      </c>
      <c r="AV522">
        <v>3</v>
      </c>
      <c r="AW522">
        <v>0</v>
      </c>
      <c r="AX522" t="s">
        <v>531</v>
      </c>
      <c r="AY522" t="s">
        <v>532</v>
      </c>
      <c r="AZ522" t="s">
        <v>64</v>
      </c>
      <c r="BA522">
        <v>0</v>
      </c>
      <c r="BB522">
        <v>1</v>
      </c>
      <c r="BC522" t="s">
        <v>69</v>
      </c>
      <c r="BD522">
        <v>-0.17499999999999999</v>
      </c>
      <c r="BE522">
        <v>-0.17499999999999999</v>
      </c>
    </row>
    <row r="523" spans="1:57">
      <c r="A523">
        <v>0</v>
      </c>
      <c r="B523">
        <v>0</v>
      </c>
      <c r="C523">
        <v>0</v>
      </c>
      <c r="D523">
        <v>136</v>
      </c>
      <c r="E523" t="s">
        <v>533</v>
      </c>
      <c r="F523" t="s">
        <v>5762</v>
      </c>
      <c r="G523" t="s">
        <v>57</v>
      </c>
      <c r="H523">
        <v>144527</v>
      </c>
      <c r="I523">
        <v>145819</v>
      </c>
      <c r="J523" t="s">
        <v>390</v>
      </c>
      <c r="K523">
        <v>431</v>
      </c>
      <c r="L523" t="s">
        <v>59</v>
      </c>
      <c r="M523">
        <v>5</v>
      </c>
      <c r="N523" t="str">
        <f>HYPERLINK("Gene136-zp_tree_all.dnd", "Gene136-tree")</f>
        <v>Gene136-tree</v>
      </c>
      <c r="O523">
        <v>4</v>
      </c>
      <c r="P523">
        <v>1</v>
      </c>
      <c r="Q523">
        <v>4</v>
      </c>
      <c r="R523">
        <v>1</v>
      </c>
      <c r="S523">
        <v>0.2</v>
      </c>
      <c r="T523" t="s">
        <v>60</v>
      </c>
      <c r="U523" t="s">
        <v>61</v>
      </c>
      <c r="V523" t="s">
        <v>62</v>
      </c>
      <c r="W523" t="s">
        <v>62</v>
      </c>
      <c r="X523">
        <v>0</v>
      </c>
      <c r="Y523">
        <v>0</v>
      </c>
      <c r="Z523">
        <v>5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1</v>
      </c>
      <c r="AK523">
        <v>0</v>
      </c>
      <c r="AL523">
        <v>4</v>
      </c>
      <c r="AM523">
        <v>2</v>
      </c>
      <c r="AN523">
        <v>11</v>
      </c>
      <c r="AO523">
        <v>1</v>
      </c>
      <c r="AP523">
        <v>13</v>
      </c>
      <c r="AQ523">
        <v>4</v>
      </c>
      <c r="AR523" t="s">
        <v>534</v>
      </c>
      <c r="AS523" t="s">
        <v>535</v>
      </c>
      <c r="AT523">
        <v>0.58699999999999997</v>
      </c>
      <c r="AU523" t="s">
        <v>65</v>
      </c>
      <c r="AV523">
        <v>24</v>
      </c>
      <c r="AW523">
        <v>5</v>
      </c>
      <c r="AX523" t="s">
        <v>536</v>
      </c>
      <c r="AY523" t="s">
        <v>537</v>
      </c>
      <c r="AZ523" t="s">
        <v>538</v>
      </c>
      <c r="BA523">
        <v>7.1609999999999993E-2</v>
      </c>
      <c r="BB523">
        <v>1</v>
      </c>
      <c r="BC523" t="s">
        <v>69</v>
      </c>
      <c r="BD523">
        <v>0.7</v>
      </c>
      <c r="BE523">
        <v>0.42199999999999999</v>
      </c>
    </row>
    <row r="524" spans="1:57">
      <c r="A524">
        <v>0</v>
      </c>
      <c r="B524">
        <v>0</v>
      </c>
      <c r="C524">
        <v>0</v>
      </c>
      <c r="D524">
        <v>137</v>
      </c>
      <c r="E524" t="s">
        <v>539</v>
      </c>
      <c r="F524" t="s">
        <v>5762</v>
      </c>
      <c r="G524" t="s">
        <v>57</v>
      </c>
      <c r="H524">
        <v>145877</v>
      </c>
      <c r="I524">
        <v>146527</v>
      </c>
      <c r="J524" t="s">
        <v>540</v>
      </c>
      <c r="K524">
        <v>217</v>
      </c>
      <c r="L524" t="s">
        <v>59</v>
      </c>
      <c r="M524">
        <v>5</v>
      </c>
      <c r="N524" t="str">
        <f>HYPERLINK("Gene137-zp_tree_all.dnd", "Gene137-tree")</f>
        <v>Gene137-tree</v>
      </c>
      <c r="O524">
        <v>4</v>
      </c>
      <c r="P524">
        <v>1</v>
      </c>
      <c r="Q524">
        <v>4</v>
      </c>
      <c r="R524">
        <v>1</v>
      </c>
      <c r="S524">
        <v>0.2</v>
      </c>
      <c r="T524" t="s">
        <v>60</v>
      </c>
      <c r="U524" t="s">
        <v>61</v>
      </c>
      <c r="V524" t="s">
        <v>62</v>
      </c>
      <c r="W524" t="s">
        <v>62</v>
      </c>
      <c r="X524">
        <v>0</v>
      </c>
      <c r="Y524">
        <v>0</v>
      </c>
      <c r="Z524">
        <v>2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1</v>
      </c>
      <c r="AK524">
        <v>0</v>
      </c>
      <c r="AL524">
        <v>4</v>
      </c>
      <c r="AM524">
        <v>2</v>
      </c>
      <c r="AN524">
        <v>7</v>
      </c>
      <c r="AO524">
        <v>1</v>
      </c>
      <c r="AP524">
        <v>6</v>
      </c>
      <c r="AQ524">
        <v>1</v>
      </c>
      <c r="AR524" t="s">
        <v>541</v>
      </c>
      <c r="AS524" t="s">
        <v>542</v>
      </c>
      <c r="AT524">
        <v>7.6999999999999999E-2</v>
      </c>
      <c r="AU524" t="s">
        <v>65</v>
      </c>
      <c r="AV524">
        <v>13</v>
      </c>
      <c r="AW524">
        <v>2</v>
      </c>
      <c r="AX524" t="s">
        <v>543</v>
      </c>
      <c r="AY524" t="s">
        <v>544</v>
      </c>
      <c r="AZ524" t="s">
        <v>545</v>
      </c>
      <c r="BA524">
        <v>4.5100000000000001E-2</v>
      </c>
      <c r="BB524">
        <v>1</v>
      </c>
      <c r="BC524" t="s">
        <v>69</v>
      </c>
      <c r="BD524">
        <v>0.20300000000000001</v>
      </c>
      <c r="BE524">
        <v>0.20300000000000001</v>
      </c>
    </row>
    <row r="525" spans="1:57">
      <c r="A525">
        <v>0</v>
      </c>
      <c r="B525">
        <v>0</v>
      </c>
      <c r="C525">
        <v>0</v>
      </c>
      <c r="D525">
        <v>138</v>
      </c>
      <c r="E525" t="s">
        <v>546</v>
      </c>
      <c r="F525" t="s">
        <v>5762</v>
      </c>
      <c r="G525" t="s">
        <v>57</v>
      </c>
      <c r="H525">
        <v>146527</v>
      </c>
      <c r="I525">
        <v>147270</v>
      </c>
      <c r="J525" t="s">
        <v>547</v>
      </c>
      <c r="K525">
        <v>248</v>
      </c>
      <c r="L525" t="s">
        <v>59</v>
      </c>
      <c r="M525">
        <v>5</v>
      </c>
      <c r="N525" t="str">
        <f>HYPERLINK("Gene138-zp_tree_all.dnd", "Gene138-tree")</f>
        <v>Gene138-tree</v>
      </c>
    </row>
    <row r="526" spans="1:57">
      <c r="A526">
        <v>0</v>
      </c>
      <c r="B526">
        <v>0</v>
      </c>
      <c r="C526">
        <v>0</v>
      </c>
      <c r="D526">
        <v>140</v>
      </c>
      <c r="E526" t="s">
        <v>548</v>
      </c>
      <c r="F526" t="s">
        <v>5762</v>
      </c>
      <c r="G526" t="s">
        <v>57</v>
      </c>
      <c r="H526">
        <v>147585</v>
      </c>
      <c r="I526">
        <v>147800</v>
      </c>
      <c r="J526" t="s">
        <v>549</v>
      </c>
      <c r="K526">
        <v>72</v>
      </c>
      <c r="L526" t="s">
        <v>59</v>
      </c>
      <c r="M526">
        <v>5</v>
      </c>
      <c r="N526" t="str">
        <f>HYPERLINK("Gene140-zp_tree_all.dnd", "Gene140-tree")</f>
        <v>Gene140-tree</v>
      </c>
    </row>
    <row r="527" spans="1:57">
      <c r="A527">
        <v>0</v>
      </c>
      <c r="B527">
        <v>0</v>
      </c>
      <c r="C527">
        <v>0</v>
      </c>
      <c r="D527">
        <v>141</v>
      </c>
      <c r="E527" t="s">
        <v>550</v>
      </c>
      <c r="F527" t="s">
        <v>5762</v>
      </c>
      <c r="G527" t="s">
        <v>57</v>
      </c>
      <c r="H527">
        <v>147837</v>
      </c>
      <c r="I527">
        <v>147947</v>
      </c>
      <c r="J527" t="s">
        <v>551</v>
      </c>
      <c r="K527">
        <v>37</v>
      </c>
      <c r="L527" t="s">
        <v>59</v>
      </c>
      <c r="M527">
        <v>5</v>
      </c>
      <c r="N527" t="str">
        <f>HYPERLINK("Gene141-zp_tree_all.dnd", "Gene141-tree")</f>
        <v>Gene141-tree</v>
      </c>
    </row>
    <row r="528" spans="1:57">
      <c r="A528">
        <v>0</v>
      </c>
      <c r="B528">
        <v>0</v>
      </c>
      <c r="C528">
        <v>0</v>
      </c>
      <c r="D528">
        <v>142</v>
      </c>
      <c r="E528" t="s">
        <v>552</v>
      </c>
      <c r="F528" t="s">
        <v>5762</v>
      </c>
      <c r="G528" t="s">
        <v>57</v>
      </c>
      <c r="H528">
        <v>147973</v>
      </c>
      <c r="I528">
        <v>148335</v>
      </c>
      <c r="J528" t="s">
        <v>553</v>
      </c>
      <c r="K528">
        <v>121</v>
      </c>
      <c r="L528" t="s">
        <v>59</v>
      </c>
      <c r="M528">
        <v>5</v>
      </c>
      <c r="N528" t="str">
        <f>HYPERLINK("Gene142-zp_tree_all.dnd", "Gene142-tree")</f>
        <v>Gene142-tree</v>
      </c>
    </row>
    <row r="529" spans="1:57">
      <c r="A529">
        <v>0</v>
      </c>
      <c r="B529">
        <v>0</v>
      </c>
      <c r="C529">
        <v>0</v>
      </c>
      <c r="D529">
        <v>143</v>
      </c>
      <c r="E529" t="s">
        <v>554</v>
      </c>
      <c r="F529" t="s">
        <v>5762</v>
      </c>
      <c r="G529" t="s">
        <v>57</v>
      </c>
      <c r="H529">
        <v>148359</v>
      </c>
      <c r="I529">
        <v>148751</v>
      </c>
      <c r="J529" t="s">
        <v>555</v>
      </c>
      <c r="K529">
        <v>131</v>
      </c>
      <c r="L529" t="s">
        <v>59</v>
      </c>
      <c r="M529">
        <v>5</v>
      </c>
      <c r="N529" t="str">
        <f>HYPERLINK("Gene143-zp_tree_all.dnd", "Gene143-tree")</f>
        <v>Gene143-tree</v>
      </c>
    </row>
    <row r="530" spans="1:57">
      <c r="A530">
        <v>0</v>
      </c>
      <c r="B530">
        <v>0</v>
      </c>
      <c r="C530">
        <v>0</v>
      </c>
      <c r="D530">
        <v>144</v>
      </c>
      <c r="E530" t="s">
        <v>556</v>
      </c>
      <c r="F530" t="s">
        <v>5762</v>
      </c>
      <c r="G530" t="s">
        <v>57</v>
      </c>
      <c r="H530">
        <v>148931</v>
      </c>
      <c r="I530">
        <v>149872</v>
      </c>
      <c r="J530" t="s">
        <v>557</v>
      </c>
      <c r="K530">
        <v>314</v>
      </c>
      <c r="L530" t="s">
        <v>59</v>
      </c>
      <c r="M530">
        <v>5</v>
      </c>
      <c r="N530" t="str">
        <f>HYPERLINK("Gene144-zp_tree_all.dnd", "Gene144-tree")</f>
        <v>Gene144-tree</v>
      </c>
      <c r="O530">
        <v>4</v>
      </c>
      <c r="P530">
        <v>0</v>
      </c>
      <c r="Q530">
        <v>4</v>
      </c>
      <c r="R530">
        <v>0</v>
      </c>
      <c r="S530">
        <v>0</v>
      </c>
      <c r="T530" t="s">
        <v>60</v>
      </c>
      <c r="U530" t="s">
        <v>62</v>
      </c>
      <c r="V530" t="s">
        <v>62</v>
      </c>
      <c r="W530" t="s">
        <v>62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2</v>
      </c>
      <c r="AM530">
        <v>1</v>
      </c>
      <c r="AN530">
        <v>7</v>
      </c>
      <c r="AO530">
        <v>0</v>
      </c>
      <c r="AP530">
        <v>4</v>
      </c>
      <c r="AQ530">
        <v>0</v>
      </c>
      <c r="AR530" t="s">
        <v>64</v>
      </c>
      <c r="AS530" t="s">
        <v>64</v>
      </c>
      <c r="AT530">
        <v>0</v>
      </c>
      <c r="AU530" t="s">
        <v>65</v>
      </c>
      <c r="AV530">
        <v>11</v>
      </c>
      <c r="AW530">
        <v>0</v>
      </c>
      <c r="AX530" t="s">
        <v>558</v>
      </c>
      <c r="AY530" t="s">
        <v>559</v>
      </c>
      <c r="AZ530" t="s">
        <v>64</v>
      </c>
      <c r="BA530">
        <v>0</v>
      </c>
      <c r="BB530">
        <v>1</v>
      </c>
      <c r="BC530" t="s">
        <v>69</v>
      </c>
      <c r="BD530">
        <v>-0.109</v>
      </c>
      <c r="BE530">
        <v>-0.109</v>
      </c>
    </row>
    <row r="531" spans="1:57">
      <c r="A531">
        <v>0</v>
      </c>
      <c r="B531">
        <v>0</v>
      </c>
      <c r="C531">
        <v>0</v>
      </c>
      <c r="D531">
        <v>145</v>
      </c>
      <c r="E531" t="s">
        <v>560</v>
      </c>
      <c r="F531" t="s">
        <v>5762</v>
      </c>
      <c r="G531" t="s">
        <v>57</v>
      </c>
      <c r="H531">
        <v>149953</v>
      </c>
      <c r="I531">
        <v>150312</v>
      </c>
      <c r="J531" t="s">
        <v>561</v>
      </c>
      <c r="K531">
        <v>120</v>
      </c>
      <c r="L531" t="s">
        <v>59</v>
      </c>
      <c r="M531">
        <v>5</v>
      </c>
      <c r="N531" t="str">
        <f>HYPERLINK("Gene145-zp_tree_all.dnd", "Gene145-tree")</f>
        <v>Gene145-tree</v>
      </c>
      <c r="O531">
        <v>4</v>
      </c>
      <c r="P531">
        <v>0</v>
      </c>
      <c r="Q531">
        <v>4</v>
      </c>
      <c r="R531">
        <v>0</v>
      </c>
      <c r="S531">
        <v>0</v>
      </c>
      <c r="T531" t="s">
        <v>60</v>
      </c>
      <c r="U531" t="s">
        <v>62</v>
      </c>
      <c r="V531" t="s">
        <v>62</v>
      </c>
      <c r="W531" t="s">
        <v>62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3</v>
      </c>
      <c r="AM531">
        <v>1</v>
      </c>
      <c r="AN531">
        <v>3</v>
      </c>
      <c r="AO531">
        <v>0</v>
      </c>
      <c r="AP531">
        <v>1</v>
      </c>
      <c r="AQ531">
        <v>0</v>
      </c>
      <c r="AR531" t="s">
        <v>64</v>
      </c>
      <c r="AS531" t="s">
        <v>64</v>
      </c>
      <c r="AT531">
        <v>0</v>
      </c>
      <c r="AU531" t="s">
        <v>65</v>
      </c>
      <c r="AV531">
        <v>4</v>
      </c>
      <c r="AW531">
        <v>0</v>
      </c>
      <c r="AX531" t="s">
        <v>562</v>
      </c>
      <c r="AY531" t="s">
        <v>563</v>
      </c>
      <c r="AZ531" t="s">
        <v>64</v>
      </c>
      <c r="BA531">
        <v>0</v>
      </c>
      <c r="BB531">
        <v>1</v>
      </c>
      <c r="BC531" t="s">
        <v>69</v>
      </c>
      <c r="BD531">
        <v>0.27300000000000002</v>
      </c>
      <c r="BE531">
        <v>0.27300000000000002</v>
      </c>
    </row>
    <row r="532" spans="1:57">
      <c r="A532">
        <v>0</v>
      </c>
      <c r="B532">
        <v>0</v>
      </c>
      <c r="C532">
        <v>0</v>
      </c>
      <c r="D532">
        <v>146</v>
      </c>
      <c r="E532" t="s">
        <v>564</v>
      </c>
      <c r="F532" t="s">
        <v>5762</v>
      </c>
      <c r="G532" t="s">
        <v>57</v>
      </c>
      <c r="H532">
        <v>150443</v>
      </c>
      <c r="I532">
        <v>151285</v>
      </c>
      <c r="J532" t="s">
        <v>565</v>
      </c>
      <c r="K532">
        <v>281</v>
      </c>
      <c r="L532" t="s">
        <v>59</v>
      </c>
      <c r="M532">
        <v>5</v>
      </c>
      <c r="N532" t="str">
        <f>HYPERLINK("Gene146-zp_tree_all.dnd", "Gene146-tree")</f>
        <v>Gene146-tree</v>
      </c>
      <c r="O532">
        <v>3</v>
      </c>
      <c r="P532">
        <v>2</v>
      </c>
      <c r="Q532">
        <v>3</v>
      </c>
      <c r="R532">
        <v>2</v>
      </c>
      <c r="S532">
        <v>0.4</v>
      </c>
      <c r="T532" t="s">
        <v>84</v>
      </c>
      <c r="U532" t="s">
        <v>135</v>
      </c>
      <c r="V532" t="s">
        <v>62</v>
      </c>
      <c r="W532" t="s">
        <v>62</v>
      </c>
      <c r="X532">
        <v>0</v>
      </c>
      <c r="Y532">
        <v>0</v>
      </c>
      <c r="Z532">
        <v>4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3</v>
      </c>
      <c r="AK532">
        <v>0</v>
      </c>
      <c r="AL532">
        <v>4</v>
      </c>
      <c r="AM532">
        <v>1</v>
      </c>
      <c r="AN532">
        <v>11</v>
      </c>
      <c r="AO532">
        <v>3</v>
      </c>
      <c r="AP532">
        <v>17</v>
      </c>
      <c r="AQ532">
        <v>1</v>
      </c>
      <c r="AR532" t="s">
        <v>566</v>
      </c>
      <c r="AS532" t="s">
        <v>567</v>
      </c>
      <c r="AT532">
        <v>0.88900000000000001</v>
      </c>
      <c r="AU532" t="s">
        <v>65</v>
      </c>
      <c r="AV532">
        <v>28</v>
      </c>
      <c r="AW532">
        <v>4</v>
      </c>
      <c r="AX532" t="s">
        <v>568</v>
      </c>
      <c r="AY532" t="s">
        <v>569</v>
      </c>
      <c r="AZ532" t="s">
        <v>570</v>
      </c>
      <c r="BA532">
        <v>3.3590000000000002E-2</v>
      </c>
      <c r="BB532">
        <v>1</v>
      </c>
      <c r="BC532" t="s">
        <v>69</v>
      </c>
      <c r="BD532">
        <v>0.66400000000000003</v>
      </c>
      <c r="BE532">
        <v>0.66400000000000003</v>
      </c>
    </row>
    <row r="533" spans="1:57">
      <c r="A533">
        <v>0</v>
      </c>
      <c r="B533">
        <v>0</v>
      </c>
      <c r="C533">
        <v>0</v>
      </c>
      <c r="D533">
        <v>149</v>
      </c>
      <c r="E533" t="s">
        <v>571</v>
      </c>
      <c r="F533" t="s">
        <v>5762</v>
      </c>
      <c r="G533" t="s">
        <v>57</v>
      </c>
      <c r="H533">
        <v>152937</v>
      </c>
      <c r="I533">
        <v>153677</v>
      </c>
      <c r="J533" t="s">
        <v>572</v>
      </c>
      <c r="K533">
        <v>247</v>
      </c>
      <c r="L533" t="s">
        <v>59</v>
      </c>
      <c r="M533">
        <v>5</v>
      </c>
      <c r="N533" t="str">
        <f>HYPERLINK("Gene149-zp_tree_all.dnd", "Gene149-tree")</f>
        <v>Gene149-tree</v>
      </c>
      <c r="O533">
        <v>3</v>
      </c>
      <c r="P533">
        <v>2</v>
      </c>
      <c r="Q533">
        <v>3</v>
      </c>
      <c r="R533">
        <v>2</v>
      </c>
      <c r="S533">
        <v>0.4</v>
      </c>
      <c r="T533" t="s">
        <v>84</v>
      </c>
      <c r="U533" t="s">
        <v>135</v>
      </c>
      <c r="V533" t="s">
        <v>62</v>
      </c>
      <c r="W533" t="s">
        <v>62</v>
      </c>
      <c r="X533">
        <v>0</v>
      </c>
      <c r="Y533">
        <v>0</v>
      </c>
      <c r="Z533">
        <v>12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7</v>
      </c>
      <c r="AK533">
        <v>0</v>
      </c>
      <c r="AL533">
        <v>4</v>
      </c>
      <c r="AM533">
        <v>2</v>
      </c>
      <c r="AN533">
        <v>23</v>
      </c>
      <c r="AO533">
        <v>7</v>
      </c>
      <c r="AP533">
        <v>11</v>
      </c>
      <c r="AQ533">
        <v>5</v>
      </c>
      <c r="AR533" t="s">
        <v>573</v>
      </c>
      <c r="AS533" t="s">
        <v>574</v>
      </c>
      <c r="AT533">
        <v>0.45500000000000002</v>
      </c>
      <c r="AU533" t="s">
        <v>65</v>
      </c>
      <c r="AV533">
        <v>34</v>
      </c>
      <c r="AW533">
        <v>12</v>
      </c>
      <c r="AX533" t="s">
        <v>575</v>
      </c>
      <c r="AY533" t="s">
        <v>576</v>
      </c>
      <c r="AZ533" t="s">
        <v>577</v>
      </c>
      <c r="BA533">
        <v>0.10604</v>
      </c>
      <c r="BB533">
        <v>1</v>
      </c>
      <c r="BC533" t="s">
        <v>69</v>
      </c>
      <c r="BD533">
        <v>-0.105</v>
      </c>
      <c r="BE533">
        <v>-0.27900000000000003</v>
      </c>
    </row>
    <row r="534" spans="1:57">
      <c r="A534">
        <v>0</v>
      </c>
      <c r="B534">
        <v>0</v>
      </c>
      <c r="C534">
        <v>0</v>
      </c>
      <c r="D534">
        <v>150</v>
      </c>
      <c r="E534" t="s">
        <v>578</v>
      </c>
      <c r="F534" t="s">
        <v>5762</v>
      </c>
      <c r="G534" t="s">
        <v>57</v>
      </c>
      <c r="H534">
        <v>153842</v>
      </c>
      <c r="I534">
        <v>154276</v>
      </c>
      <c r="J534" t="s">
        <v>579</v>
      </c>
      <c r="K534">
        <v>145</v>
      </c>
      <c r="L534" t="s">
        <v>59</v>
      </c>
      <c r="M534">
        <v>5</v>
      </c>
      <c r="N534" t="str">
        <f>HYPERLINK("Gene150-zp_tree_all.dnd", "Gene150-tree")</f>
        <v>Gene150-tree</v>
      </c>
    </row>
    <row r="535" spans="1:57">
      <c r="A535">
        <v>0</v>
      </c>
      <c r="B535">
        <v>0</v>
      </c>
      <c r="C535">
        <v>0</v>
      </c>
      <c r="D535">
        <v>151</v>
      </c>
      <c r="E535" t="s">
        <v>580</v>
      </c>
      <c r="F535" t="s">
        <v>5762</v>
      </c>
      <c r="G535" t="s">
        <v>57</v>
      </c>
      <c r="H535">
        <v>154300</v>
      </c>
      <c r="I535">
        <v>154689</v>
      </c>
      <c r="J535" t="s">
        <v>581</v>
      </c>
      <c r="K535">
        <v>130</v>
      </c>
      <c r="L535" t="s">
        <v>59</v>
      </c>
      <c r="M535">
        <v>5</v>
      </c>
      <c r="N535" t="str">
        <f>HYPERLINK("Gene151-zp_tree_all.dnd", "Gene151-tree")</f>
        <v>Gene151-tree</v>
      </c>
      <c r="O535">
        <v>3</v>
      </c>
      <c r="P535">
        <v>2</v>
      </c>
      <c r="Q535">
        <v>3</v>
      </c>
      <c r="R535">
        <v>2</v>
      </c>
      <c r="S535">
        <v>0.4</v>
      </c>
      <c r="T535" t="s">
        <v>84</v>
      </c>
      <c r="U535" t="s">
        <v>135</v>
      </c>
      <c r="V535" t="s">
        <v>62</v>
      </c>
      <c r="W535" t="s">
        <v>62</v>
      </c>
      <c r="X535">
        <v>0</v>
      </c>
      <c r="Y535">
        <v>0</v>
      </c>
      <c r="Z535">
        <v>3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3</v>
      </c>
      <c r="AK535">
        <v>0</v>
      </c>
      <c r="AL535">
        <v>3</v>
      </c>
      <c r="AM535">
        <v>1</v>
      </c>
      <c r="AN535">
        <v>7</v>
      </c>
      <c r="AO535">
        <v>3</v>
      </c>
      <c r="AP535">
        <v>3</v>
      </c>
      <c r="AQ535">
        <v>0</v>
      </c>
      <c r="AR535" t="s">
        <v>582</v>
      </c>
      <c r="AS535" t="s">
        <v>64</v>
      </c>
      <c r="AT535">
        <v>0.88800000000000001</v>
      </c>
      <c r="AU535" t="s">
        <v>65</v>
      </c>
      <c r="AV535">
        <v>10</v>
      </c>
      <c r="AW535">
        <v>3</v>
      </c>
      <c r="AX535" t="s">
        <v>583</v>
      </c>
      <c r="AY535" t="s">
        <v>584</v>
      </c>
      <c r="AZ535" t="s">
        <v>585</v>
      </c>
      <c r="BA535">
        <v>8.838E-2</v>
      </c>
      <c r="BB535">
        <v>1</v>
      </c>
      <c r="BC535" t="s">
        <v>69</v>
      </c>
      <c r="BD535">
        <v>-0.51200000000000001</v>
      </c>
      <c r="BE535">
        <v>-0.51200000000000001</v>
      </c>
    </row>
    <row r="536" spans="1:57">
      <c r="A536">
        <v>0</v>
      </c>
      <c r="B536">
        <v>0</v>
      </c>
      <c r="C536">
        <v>2</v>
      </c>
      <c r="D536">
        <v>153</v>
      </c>
      <c r="E536" t="s">
        <v>586</v>
      </c>
      <c r="F536" t="s">
        <v>5762</v>
      </c>
      <c r="G536" t="s">
        <v>57</v>
      </c>
      <c r="H536">
        <v>156109</v>
      </c>
      <c r="I536">
        <v>156549</v>
      </c>
      <c r="J536" t="s">
        <v>118</v>
      </c>
      <c r="K536">
        <v>147</v>
      </c>
      <c r="L536" t="s">
        <v>59</v>
      </c>
      <c r="M536">
        <v>5</v>
      </c>
      <c r="N536" t="str">
        <f>HYPERLINK("Gene153-zp_tree_all.dnd", "Gene153-tree")</f>
        <v>Gene153-tree</v>
      </c>
      <c r="O536">
        <v>1</v>
      </c>
      <c r="P536">
        <v>4</v>
      </c>
      <c r="Q536">
        <v>1</v>
      </c>
      <c r="R536">
        <v>4</v>
      </c>
      <c r="S536">
        <v>0.8</v>
      </c>
      <c r="T536" t="s">
        <v>61</v>
      </c>
      <c r="U536" t="s">
        <v>60</v>
      </c>
      <c r="V536" t="s">
        <v>62</v>
      </c>
      <c r="W536" t="s">
        <v>62</v>
      </c>
      <c r="X536">
        <v>1</v>
      </c>
      <c r="Y536">
        <v>2</v>
      </c>
      <c r="Z536">
        <v>7</v>
      </c>
      <c r="AA536">
        <v>0.22222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2</v>
      </c>
      <c r="AI536">
        <v>2</v>
      </c>
      <c r="AJ536">
        <v>5</v>
      </c>
      <c r="AK536">
        <v>0.28571000000000002</v>
      </c>
      <c r="AL536">
        <v>5</v>
      </c>
      <c r="AM536">
        <v>2</v>
      </c>
      <c r="AN536">
        <v>15</v>
      </c>
      <c r="AO536">
        <v>7</v>
      </c>
      <c r="AP536">
        <v>9</v>
      </c>
      <c r="AQ536">
        <v>2</v>
      </c>
      <c r="AR536" t="s">
        <v>587</v>
      </c>
      <c r="AS536" t="s">
        <v>588</v>
      </c>
      <c r="AT536">
        <v>1.123</v>
      </c>
      <c r="AU536" t="s">
        <v>65</v>
      </c>
      <c r="AV536">
        <v>24</v>
      </c>
      <c r="AW536">
        <v>9</v>
      </c>
      <c r="AX536" t="s">
        <v>589</v>
      </c>
      <c r="AY536" t="s">
        <v>590</v>
      </c>
      <c r="AZ536" t="s">
        <v>591</v>
      </c>
      <c r="BA536">
        <v>8.5610000000000006E-2</v>
      </c>
      <c r="BB536">
        <v>1</v>
      </c>
      <c r="BC536" t="s">
        <v>69</v>
      </c>
      <c r="BD536">
        <v>0.311</v>
      </c>
      <c r="BE536">
        <v>-0.49399999999999999</v>
      </c>
    </row>
    <row r="537" spans="1:57">
      <c r="A537">
        <v>0</v>
      </c>
      <c r="B537">
        <v>0</v>
      </c>
      <c r="C537">
        <v>0</v>
      </c>
      <c r="D537">
        <v>157</v>
      </c>
      <c r="E537" t="s">
        <v>599</v>
      </c>
      <c r="F537" t="s">
        <v>5762</v>
      </c>
      <c r="G537" t="s">
        <v>57</v>
      </c>
      <c r="H537">
        <v>159182</v>
      </c>
      <c r="I537">
        <v>159775</v>
      </c>
      <c r="J537" t="s">
        <v>600</v>
      </c>
      <c r="K537">
        <v>198</v>
      </c>
      <c r="L537" t="s">
        <v>59</v>
      </c>
      <c r="M537">
        <v>5</v>
      </c>
      <c r="N537" t="str">
        <f>HYPERLINK("Gene157-zp_tree_all.dnd", "Gene157-tree")</f>
        <v>Gene157-tree</v>
      </c>
      <c r="O537">
        <v>4</v>
      </c>
      <c r="P537">
        <v>1</v>
      </c>
      <c r="Q537">
        <v>3</v>
      </c>
      <c r="R537">
        <v>1</v>
      </c>
      <c r="S537">
        <v>0.25</v>
      </c>
      <c r="T537" t="s">
        <v>119</v>
      </c>
      <c r="U537" t="s">
        <v>61</v>
      </c>
      <c r="V537" t="s">
        <v>62</v>
      </c>
      <c r="W537" t="s">
        <v>62</v>
      </c>
      <c r="X537">
        <v>0</v>
      </c>
      <c r="Y537">
        <v>0</v>
      </c>
      <c r="Z537">
        <v>3</v>
      </c>
      <c r="AA537">
        <v>0</v>
      </c>
      <c r="AB537">
        <v>0</v>
      </c>
      <c r="AC537">
        <v>0</v>
      </c>
      <c r="AD537">
        <v>0</v>
      </c>
      <c r="AE537">
        <v>2</v>
      </c>
      <c r="AF537">
        <v>0</v>
      </c>
      <c r="AG537">
        <v>0</v>
      </c>
      <c r="AH537">
        <v>0</v>
      </c>
      <c r="AI537">
        <v>0</v>
      </c>
      <c r="AJ537">
        <v>1</v>
      </c>
      <c r="AK537">
        <v>0</v>
      </c>
      <c r="AL537">
        <v>4</v>
      </c>
      <c r="AM537">
        <v>1</v>
      </c>
      <c r="AN537">
        <v>14</v>
      </c>
      <c r="AO537">
        <v>1</v>
      </c>
      <c r="AP537">
        <v>15</v>
      </c>
      <c r="AQ537">
        <v>2</v>
      </c>
      <c r="AR537" t="s">
        <v>601</v>
      </c>
      <c r="AS537" t="s">
        <v>602</v>
      </c>
      <c r="AT537">
        <v>0.47199999999999998</v>
      </c>
      <c r="AU537" t="s">
        <v>65</v>
      </c>
      <c r="AV537">
        <v>29</v>
      </c>
      <c r="AW537">
        <v>3</v>
      </c>
      <c r="AX537" t="s">
        <v>603</v>
      </c>
      <c r="AY537" t="s">
        <v>604</v>
      </c>
      <c r="AZ537" t="s">
        <v>605</v>
      </c>
      <c r="BA537">
        <v>2.9680000000000002E-2</v>
      </c>
      <c r="BB537">
        <v>1</v>
      </c>
      <c r="BC537" t="s">
        <v>69</v>
      </c>
      <c r="BD537">
        <v>1.2769999999999999</v>
      </c>
      <c r="BE537">
        <v>0.79400000000000004</v>
      </c>
    </row>
    <row r="538" spans="1:57">
      <c r="A538">
        <v>0</v>
      </c>
      <c r="B538">
        <v>0</v>
      </c>
      <c r="C538">
        <v>0</v>
      </c>
      <c r="D538">
        <v>174</v>
      </c>
      <c r="E538" t="s">
        <v>612</v>
      </c>
      <c r="F538" t="s">
        <v>5762</v>
      </c>
      <c r="G538" t="s">
        <v>57</v>
      </c>
      <c r="H538">
        <v>194849</v>
      </c>
      <c r="I538">
        <v>195409</v>
      </c>
      <c r="J538" t="s">
        <v>613</v>
      </c>
      <c r="K538">
        <v>187</v>
      </c>
      <c r="L538" t="s">
        <v>59</v>
      </c>
      <c r="M538">
        <v>5</v>
      </c>
      <c r="N538" t="str">
        <f>HYPERLINK("Gene174-zp_tree_all.dnd", "Gene174-tree")</f>
        <v>Gene174-tree</v>
      </c>
      <c r="O538">
        <v>3</v>
      </c>
      <c r="P538">
        <v>2</v>
      </c>
      <c r="Q538">
        <v>3</v>
      </c>
      <c r="R538">
        <v>2</v>
      </c>
      <c r="S538">
        <v>0.4</v>
      </c>
      <c r="T538" t="s">
        <v>84</v>
      </c>
      <c r="U538" t="s">
        <v>135</v>
      </c>
      <c r="V538" t="s">
        <v>62</v>
      </c>
      <c r="W538" t="s">
        <v>62</v>
      </c>
      <c r="X538">
        <v>0</v>
      </c>
      <c r="Y538">
        <v>0</v>
      </c>
      <c r="Z538">
        <v>2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2</v>
      </c>
      <c r="AK538">
        <v>0</v>
      </c>
      <c r="AL538">
        <v>4</v>
      </c>
      <c r="AM538">
        <v>1</v>
      </c>
      <c r="AN538">
        <v>12</v>
      </c>
      <c r="AO538">
        <v>2</v>
      </c>
      <c r="AP538">
        <v>13</v>
      </c>
      <c r="AQ538">
        <v>0</v>
      </c>
      <c r="AR538" t="s">
        <v>614</v>
      </c>
      <c r="AS538" t="s">
        <v>64</v>
      </c>
      <c r="AT538">
        <v>1.2789999999999999</v>
      </c>
      <c r="AU538" t="s">
        <v>65</v>
      </c>
      <c r="AV538">
        <v>25</v>
      </c>
      <c r="AW538">
        <v>2</v>
      </c>
      <c r="AX538" t="s">
        <v>615</v>
      </c>
      <c r="AY538" t="s">
        <v>616</v>
      </c>
      <c r="AZ538" t="s">
        <v>617</v>
      </c>
      <c r="BA538">
        <v>1.6879999999999999E-2</v>
      </c>
      <c r="BB538">
        <v>1</v>
      </c>
      <c r="BC538" t="s">
        <v>69</v>
      </c>
      <c r="BD538">
        <v>0.43</v>
      </c>
      <c r="BE538">
        <v>0.43</v>
      </c>
    </row>
    <row r="539" spans="1:57">
      <c r="A539">
        <v>0</v>
      </c>
      <c r="B539">
        <v>0</v>
      </c>
      <c r="C539">
        <v>0</v>
      </c>
      <c r="D539">
        <v>175</v>
      </c>
      <c r="E539" t="s">
        <v>618</v>
      </c>
      <c r="F539" t="s">
        <v>5762</v>
      </c>
      <c r="G539" t="s">
        <v>57</v>
      </c>
      <c r="H539">
        <v>195426</v>
      </c>
      <c r="I539">
        <v>196049</v>
      </c>
      <c r="J539" t="s">
        <v>619</v>
      </c>
      <c r="K539">
        <v>208</v>
      </c>
      <c r="L539" t="s">
        <v>59</v>
      </c>
      <c r="M539">
        <v>5</v>
      </c>
      <c r="N539" t="str">
        <f>HYPERLINK("Gene175-zp_tree_all.dnd", "Gene175-tree")</f>
        <v>Gene175-tree</v>
      </c>
      <c r="O539">
        <v>3</v>
      </c>
      <c r="P539">
        <v>2</v>
      </c>
      <c r="Q539">
        <v>3</v>
      </c>
      <c r="R539">
        <v>2</v>
      </c>
      <c r="S539">
        <v>0.4</v>
      </c>
      <c r="T539" t="s">
        <v>84</v>
      </c>
      <c r="U539" t="s">
        <v>135</v>
      </c>
      <c r="V539" t="s">
        <v>62</v>
      </c>
      <c r="W539" t="s">
        <v>62</v>
      </c>
      <c r="X539">
        <v>0</v>
      </c>
      <c r="Y539">
        <v>0</v>
      </c>
      <c r="Z539">
        <v>8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2</v>
      </c>
      <c r="AK539">
        <v>0</v>
      </c>
      <c r="AL539">
        <v>4</v>
      </c>
      <c r="AM539">
        <v>2</v>
      </c>
      <c r="AN539">
        <v>11</v>
      </c>
      <c r="AO539">
        <v>2</v>
      </c>
      <c r="AP539">
        <v>14</v>
      </c>
      <c r="AQ539">
        <v>6</v>
      </c>
      <c r="AR539" t="s">
        <v>620</v>
      </c>
      <c r="AS539" t="s">
        <v>621</v>
      </c>
      <c r="AT539">
        <v>0.66800000000000004</v>
      </c>
      <c r="AU539" t="s">
        <v>65</v>
      </c>
      <c r="AV539">
        <v>25</v>
      </c>
      <c r="AW539">
        <v>8</v>
      </c>
      <c r="AX539" t="s">
        <v>622</v>
      </c>
      <c r="AY539" t="s">
        <v>623</v>
      </c>
      <c r="AZ539" t="s">
        <v>624</v>
      </c>
      <c r="BA539">
        <v>9.1920000000000002E-2</v>
      </c>
      <c r="BB539">
        <v>1</v>
      </c>
      <c r="BC539" t="s">
        <v>69</v>
      </c>
      <c r="BD539">
        <v>0.88300000000000001</v>
      </c>
      <c r="BE539">
        <v>0.41499999999999998</v>
      </c>
    </row>
    <row r="540" spans="1:57">
      <c r="A540">
        <v>0</v>
      </c>
      <c r="B540">
        <v>0</v>
      </c>
      <c r="C540">
        <v>0</v>
      </c>
      <c r="D540">
        <v>176</v>
      </c>
      <c r="E540" t="s">
        <v>625</v>
      </c>
      <c r="F540" t="s">
        <v>5762</v>
      </c>
      <c r="G540" t="s">
        <v>57</v>
      </c>
      <c r="H540">
        <v>196213</v>
      </c>
      <c r="I540">
        <v>197031</v>
      </c>
      <c r="J540" t="s">
        <v>626</v>
      </c>
      <c r="K540">
        <v>273</v>
      </c>
      <c r="L540" t="s">
        <v>59</v>
      </c>
      <c r="M540">
        <v>5</v>
      </c>
      <c r="N540" t="str">
        <f>HYPERLINK("Gene176-zp_tree_all.dnd", "Gene176-tree")</f>
        <v>Gene176-tree</v>
      </c>
      <c r="O540">
        <v>5</v>
      </c>
      <c r="P540">
        <v>0</v>
      </c>
      <c r="Q540">
        <v>5</v>
      </c>
      <c r="R540">
        <v>0</v>
      </c>
      <c r="S540">
        <v>0</v>
      </c>
      <c r="T540" t="s">
        <v>98</v>
      </c>
      <c r="U540" t="s">
        <v>62</v>
      </c>
      <c r="V540" t="s">
        <v>62</v>
      </c>
      <c r="W540" t="s">
        <v>62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5</v>
      </c>
      <c r="AM540">
        <v>2</v>
      </c>
      <c r="AN540">
        <v>19</v>
      </c>
      <c r="AO540">
        <v>0</v>
      </c>
      <c r="AP540">
        <v>26</v>
      </c>
      <c r="AQ540">
        <v>0</v>
      </c>
      <c r="AR540" t="s">
        <v>64</v>
      </c>
      <c r="AS540" t="s">
        <v>64</v>
      </c>
      <c r="AT540">
        <v>0</v>
      </c>
      <c r="AU540" t="s">
        <v>65</v>
      </c>
      <c r="AV540">
        <v>45</v>
      </c>
      <c r="AW540">
        <v>0</v>
      </c>
      <c r="AX540" t="s">
        <v>627</v>
      </c>
      <c r="AY540" t="s">
        <v>628</v>
      </c>
      <c r="AZ540" t="s">
        <v>629</v>
      </c>
      <c r="BA540">
        <v>2.5400000000000002E-3</v>
      </c>
      <c r="BB540">
        <v>1</v>
      </c>
      <c r="BC540" t="s">
        <v>69</v>
      </c>
      <c r="BD540">
        <v>0.88700000000000001</v>
      </c>
      <c r="BE540">
        <v>0.58099999999999996</v>
      </c>
    </row>
    <row r="541" spans="1:57">
      <c r="A541">
        <v>0</v>
      </c>
      <c r="B541">
        <v>0</v>
      </c>
      <c r="C541">
        <v>0</v>
      </c>
      <c r="D541">
        <v>178</v>
      </c>
      <c r="E541" t="s">
        <v>630</v>
      </c>
      <c r="F541" t="s">
        <v>5762</v>
      </c>
      <c r="G541" t="s">
        <v>57</v>
      </c>
      <c r="H541">
        <v>198497</v>
      </c>
      <c r="I541">
        <v>199840</v>
      </c>
      <c r="J541" t="s">
        <v>631</v>
      </c>
      <c r="K541">
        <v>448</v>
      </c>
      <c r="L541" t="s">
        <v>83</v>
      </c>
      <c r="M541">
        <v>4</v>
      </c>
      <c r="N541" t="str">
        <f>HYPERLINK("Gene178-zp_tree_all.dnd", "Gene178-tree")</f>
        <v>Gene178-tree</v>
      </c>
      <c r="O541">
        <v>3</v>
      </c>
      <c r="P541">
        <v>1</v>
      </c>
      <c r="Q541">
        <v>3</v>
      </c>
      <c r="R541">
        <v>1</v>
      </c>
      <c r="S541">
        <v>0.25</v>
      </c>
      <c r="T541" t="s">
        <v>84</v>
      </c>
      <c r="U541" t="s">
        <v>61</v>
      </c>
      <c r="V541" t="s">
        <v>62</v>
      </c>
      <c r="W541" t="s">
        <v>62</v>
      </c>
      <c r="X541">
        <v>0</v>
      </c>
      <c r="Y541">
        <v>0</v>
      </c>
      <c r="Z541">
        <v>1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1</v>
      </c>
      <c r="AK541">
        <v>0</v>
      </c>
      <c r="AL541">
        <v>4</v>
      </c>
      <c r="AM541">
        <v>1</v>
      </c>
      <c r="AN541">
        <v>73</v>
      </c>
      <c r="AO541">
        <v>1</v>
      </c>
      <c r="AP541">
        <v>0</v>
      </c>
      <c r="AQ541">
        <v>1</v>
      </c>
      <c r="AR541" t="s">
        <v>632</v>
      </c>
      <c r="AS541" t="s">
        <v>64</v>
      </c>
      <c r="AT541">
        <v>0.39800000000000002</v>
      </c>
      <c r="AU541" t="s">
        <v>65</v>
      </c>
      <c r="AV541">
        <v>73</v>
      </c>
      <c r="AW541">
        <v>2</v>
      </c>
      <c r="AX541" t="s">
        <v>633</v>
      </c>
      <c r="AY541" t="s">
        <v>634</v>
      </c>
      <c r="AZ541" t="s">
        <v>635</v>
      </c>
      <c r="BA541">
        <v>8.6800000000000002E-3</v>
      </c>
      <c r="BB541">
        <v>1</v>
      </c>
      <c r="BC541" t="s">
        <v>69</v>
      </c>
      <c r="BD541">
        <v>-0.78400000000000003</v>
      </c>
      <c r="BE541">
        <v>-0.78400000000000003</v>
      </c>
    </row>
    <row r="542" spans="1:57">
      <c r="A542">
        <v>0</v>
      </c>
      <c r="B542">
        <v>0</v>
      </c>
      <c r="C542">
        <v>0</v>
      </c>
      <c r="D542">
        <v>179</v>
      </c>
      <c r="E542" t="s">
        <v>636</v>
      </c>
      <c r="F542" t="s">
        <v>5762</v>
      </c>
      <c r="G542" t="s">
        <v>57</v>
      </c>
      <c r="H542">
        <v>200277</v>
      </c>
      <c r="I542">
        <v>202076</v>
      </c>
      <c r="J542" t="s">
        <v>637</v>
      </c>
      <c r="K542">
        <v>600</v>
      </c>
      <c r="L542" t="s">
        <v>59</v>
      </c>
      <c r="M542">
        <v>5</v>
      </c>
      <c r="N542" t="str">
        <f>HYPERLINK("Gene179-zp_tree_all.dnd", "Gene179-tree")</f>
        <v>Gene179-tree</v>
      </c>
      <c r="O542">
        <v>2</v>
      </c>
      <c r="P542">
        <v>3</v>
      </c>
      <c r="Q542">
        <v>2</v>
      </c>
      <c r="R542">
        <v>3</v>
      </c>
      <c r="S542">
        <v>0.6</v>
      </c>
      <c r="T542" t="s">
        <v>135</v>
      </c>
      <c r="U542" t="s">
        <v>84</v>
      </c>
      <c r="V542" t="s">
        <v>62</v>
      </c>
      <c r="W542" t="s">
        <v>62</v>
      </c>
      <c r="X542">
        <v>0</v>
      </c>
      <c r="Y542">
        <v>0</v>
      </c>
      <c r="Z542">
        <v>8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4</v>
      </c>
      <c r="AK542">
        <v>0</v>
      </c>
      <c r="AL542">
        <v>5</v>
      </c>
      <c r="AM542">
        <v>2</v>
      </c>
      <c r="AN542">
        <v>65</v>
      </c>
      <c r="AO542">
        <v>4</v>
      </c>
      <c r="AP542">
        <v>50</v>
      </c>
      <c r="AQ542">
        <v>4</v>
      </c>
      <c r="AR542" t="s">
        <v>638</v>
      </c>
      <c r="AS542" t="s">
        <v>639</v>
      </c>
      <c r="AT542">
        <v>0.17499999999999999</v>
      </c>
      <c r="AU542" t="s">
        <v>65</v>
      </c>
      <c r="AV542">
        <v>115</v>
      </c>
      <c r="AW542">
        <v>8</v>
      </c>
      <c r="AX542" t="s">
        <v>640</v>
      </c>
      <c r="AY542" t="s">
        <v>641</v>
      </c>
      <c r="AZ542" t="s">
        <v>642</v>
      </c>
      <c r="BA542">
        <v>2.1729999999999999E-2</v>
      </c>
      <c r="BB542">
        <v>1</v>
      </c>
      <c r="BC542" t="s">
        <v>69</v>
      </c>
      <c r="BD542">
        <v>0.502</v>
      </c>
      <c r="BE542">
        <v>4.5999999999999999E-2</v>
      </c>
    </row>
    <row r="543" spans="1:57">
      <c r="A543">
        <v>0</v>
      </c>
      <c r="B543">
        <v>0</v>
      </c>
      <c r="C543">
        <v>0</v>
      </c>
      <c r="D543">
        <v>187</v>
      </c>
      <c r="E543" t="s">
        <v>643</v>
      </c>
      <c r="F543" t="s">
        <v>5762</v>
      </c>
      <c r="G543" t="s">
        <v>57</v>
      </c>
      <c r="H543">
        <v>210572</v>
      </c>
      <c r="I543">
        <v>210943</v>
      </c>
      <c r="J543" t="s">
        <v>644</v>
      </c>
      <c r="K543">
        <v>124</v>
      </c>
      <c r="L543" t="s">
        <v>83</v>
      </c>
      <c r="M543">
        <v>4</v>
      </c>
      <c r="N543" t="str">
        <f>HYPERLINK("Gene187-zp_tree_all.dnd", "Gene187-tree")</f>
        <v>Gene187-tree</v>
      </c>
    </row>
    <row r="544" spans="1:57">
      <c r="A544">
        <v>0</v>
      </c>
      <c r="B544">
        <v>0</v>
      </c>
      <c r="C544">
        <v>0</v>
      </c>
      <c r="D544">
        <v>188</v>
      </c>
      <c r="E544" t="s">
        <v>645</v>
      </c>
      <c r="F544" t="s">
        <v>5762</v>
      </c>
      <c r="G544" t="s">
        <v>57</v>
      </c>
      <c r="H544">
        <v>211429</v>
      </c>
      <c r="I544">
        <v>211728</v>
      </c>
      <c r="J544" t="s">
        <v>646</v>
      </c>
      <c r="K544">
        <v>100</v>
      </c>
      <c r="L544" t="s">
        <v>83</v>
      </c>
      <c r="M544">
        <v>4</v>
      </c>
      <c r="N544" t="str">
        <f>HYPERLINK("Gene188-zp_tree_all.dnd", "Gene188-tree")</f>
        <v>Gene188-tree</v>
      </c>
      <c r="O544">
        <v>2</v>
      </c>
      <c r="P544">
        <v>2</v>
      </c>
      <c r="Q544">
        <v>2</v>
      </c>
      <c r="R544">
        <v>2</v>
      </c>
      <c r="S544">
        <v>0.5</v>
      </c>
      <c r="T544" t="s">
        <v>135</v>
      </c>
      <c r="U544" t="s">
        <v>135</v>
      </c>
      <c r="V544" t="s">
        <v>62</v>
      </c>
      <c r="W544" t="s">
        <v>62</v>
      </c>
      <c r="X544">
        <v>0</v>
      </c>
      <c r="Y544">
        <v>0</v>
      </c>
      <c r="Z544">
        <v>2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2</v>
      </c>
      <c r="AK544">
        <v>0</v>
      </c>
      <c r="AL544">
        <v>4</v>
      </c>
      <c r="AM544">
        <v>1</v>
      </c>
      <c r="AN544">
        <v>7</v>
      </c>
      <c r="AO544">
        <v>2</v>
      </c>
      <c r="AP544">
        <v>7</v>
      </c>
      <c r="AQ544">
        <v>0</v>
      </c>
      <c r="AR544" t="s">
        <v>647</v>
      </c>
      <c r="AS544" t="s">
        <v>64</v>
      </c>
      <c r="AT544">
        <v>1.6220000000000001</v>
      </c>
      <c r="AU544" t="s">
        <v>65</v>
      </c>
      <c r="AV544">
        <v>14</v>
      </c>
      <c r="AW544">
        <v>2</v>
      </c>
      <c r="AX544" t="s">
        <v>648</v>
      </c>
      <c r="AY544" t="s">
        <v>649</v>
      </c>
      <c r="AZ544" t="s">
        <v>650</v>
      </c>
      <c r="BA544">
        <v>4.045E-2</v>
      </c>
      <c r="BB544">
        <v>1</v>
      </c>
      <c r="BC544" t="s">
        <v>69</v>
      </c>
      <c r="BD544">
        <v>1.369</v>
      </c>
      <c r="BE544">
        <v>0.04</v>
      </c>
    </row>
    <row r="545" spans="1:57">
      <c r="A545">
        <v>0</v>
      </c>
      <c r="B545">
        <v>0</v>
      </c>
      <c r="C545">
        <v>0</v>
      </c>
      <c r="D545">
        <v>189</v>
      </c>
      <c r="E545" t="s">
        <v>651</v>
      </c>
      <c r="F545" t="s">
        <v>5762</v>
      </c>
      <c r="G545" t="s">
        <v>57</v>
      </c>
      <c r="H545">
        <v>211859</v>
      </c>
      <c r="I545">
        <v>213028</v>
      </c>
      <c r="J545" t="s">
        <v>652</v>
      </c>
      <c r="K545">
        <v>390</v>
      </c>
      <c r="L545" t="s">
        <v>83</v>
      </c>
      <c r="M545">
        <v>4</v>
      </c>
      <c r="N545" t="str">
        <f>HYPERLINK("Gene189-zp_tree_all.dnd", "Gene189-tree")</f>
        <v>Gene189-tree</v>
      </c>
      <c r="O545">
        <v>1</v>
      </c>
      <c r="P545">
        <v>3</v>
      </c>
      <c r="Q545">
        <v>1</v>
      </c>
      <c r="R545">
        <v>3</v>
      </c>
      <c r="S545">
        <v>0.75</v>
      </c>
      <c r="T545" t="s">
        <v>61</v>
      </c>
      <c r="U545" t="s">
        <v>84</v>
      </c>
      <c r="V545" t="s">
        <v>62</v>
      </c>
      <c r="W545" t="s">
        <v>62</v>
      </c>
      <c r="X545">
        <v>0</v>
      </c>
      <c r="Y545">
        <v>0</v>
      </c>
      <c r="Z545">
        <v>16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14</v>
      </c>
      <c r="AK545">
        <v>0</v>
      </c>
      <c r="AL545">
        <v>4</v>
      </c>
      <c r="AM545">
        <v>1</v>
      </c>
      <c r="AN545">
        <v>55</v>
      </c>
      <c r="AO545">
        <v>14</v>
      </c>
      <c r="AP545">
        <v>11</v>
      </c>
      <c r="AQ545">
        <v>2</v>
      </c>
      <c r="AR545" t="s">
        <v>653</v>
      </c>
      <c r="AS545" t="s">
        <v>654</v>
      </c>
      <c r="AT545">
        <v>1.038</v>
      </c>
      <c r="AU545" t="s">
        <v>65</v>
      </c>
      <c r="AV545">
        <v>66</v>
      </c>
      <c r="AW545">
        <v>16</v>
      </c>
      <c r="AX545" t="s">
        <v>655</v>
      </c>
      <c r="AY545" t="s">
        <v>656</v>
      </c>
      <c r="AZ545" t="s">
        <v>657</v>
      </c>
      <c r="BA545">
        <v>7.8450000000000006E-2</v>
      </c>
      <c r="BB545">
        <v>1</v>
      </c>
      <c r="BC545" t="s">
        <v>69</v>
      </c>
      <c r="BD545">
        <v>2.3E-2</v>
      </c>
      <c r="BE545">
        <v>-0.23200000000000001</v>
      </c>
    </row>
    <row r="546" spans="1:57">
      <c r="A546">
        <v>0</v>
      </c>
      <c r="B546">
        <v>0</v>
      </c>
      <c r="C546">
        <v>0</v>
      </c>
      <c r="D546">
        <v>206</v>
      </c>
      <c r="E546" t="s">
        <v>658</v>
      </c>
      <c r="F546" t="s">
        <v>5762</v>
      </c>
      <c r="G546" t="s">
        <v>57</v>
      </c>
      <c r="H546">
        <v>228066</v>
      </c>
      <c r="I546">
        <v>228311</v>
      </c>
      <c r="J546" t="s">
        <v>659</v>
      </c>
      <c r="K546">
        <v>82</v>
      </c>
      <c r="L546" t="s">
        <v>59</v>
      </c>
      <c r="M546">
        <v>5</v>
      </c>
      <c r="N546" t="str">
        <f>HYPERLINK("Gene206-zp_tree_all.dnd", "Gene206-tree")</f>
        <v>Gene206-tree</v>
      </c>
      <c r="O546">
        <v>2</v>
      </c>
      <c r="P546">
        <v>3</v>
      </c>
      <c r="Q546">
        <v>1</v>
      </c>
      <c r="R546">
        <v>3</v>
      </c>
      <c r="S546">
        <v>0.75</v>
      </c>
      <c r="T546" t="s">
        <v>61</v>
      </c>
      <c r="U546" t="s">
        <v>84</v>
      </c>
      <c r="V546" t="s">
        <v>62</v>
      </c>
      <c r="W546" t="s">
        <v>62</v>
      </c>
      <c r="X546">
        <v>0</v>
      </c>
      <c r="Y546">
        <v>0</v>
      </c>
      <c r="Z546">
        <v>4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3</v>
      </c>
      <c r="AK546">
        <v>0</v>
      </c>
      <c r="AL546">
        <v>4</v>
      </c>
      <c r="AM546">
        <v>1</v>
      </c>
      <c r="AN546">
        <v>6</v>
      </c>
      <c r="AO546">
        <v>3</v>
      </c>
      <c r="AP546">
        <v>4</v>
      </c>
      <c r="AQ546">
        <v>1</v>
      </c>
      <c r="AR546" t="s">
        <v>660</v>
      </c>
      <c r="AS546" t="s">
        <v>661</v>
      </c>
      <c r="AT546">
        <v>1.4990000000000001</v>
      </c>
      <c r="AU546" t="s">
        <v>65</v>
      </c>
      <c r="AV546">
        <v>10</v>
      </c>
      <c r="AW546">
        <v>4</v>
      </c>
      <c r="AX546" t="s">
        <v>662</v>
      </c>
      <c r="AY546" t="s">
        <v>663</v>
      </c>
      <c r="AZ546" t="s">
        <v>664</v>
      </c>
      <c r="BA546">
        <v>8.5279999999999995E-2</v>
      </c>
      <c r="BB546">
        <v>1</v>
      </c>
      <c r="BC546" t="s">
        <v>69</v>
      </c>
      <c r="BD546">
        <v>8.6999999999999994E-2</v>
      </c>
      <c r="BE546">
        <v>8.6999999999999994E-2</v>
      </c>
    </row>
    <row r="547" spans="1:57">
      <c r="A547">
        <v>0</v>
      </c>
      <c r="B547">
        <v>0</v>
      </c>
      <c r="C547">
        <v>0</v>
      </c>
      <c r="D547">
        <v>207</v>
      </c>
      <c r="E547" t="s">
        <v>665</v>
      </c>
      <c r="F547" t="s">
        <v>5762</v>
      </c>
      <c r="G547" t="s">
        <v>57</v>
      </c>
      <c r="H547">
        <v>228331</v>
      </c>
      <c r="I547">
        <v>228519</v>
      </c>
      <c r="J547" t="s">
        <v>118</v>
      </c>
      <c r="K547">
        <v>63</v>
      </c>
      <c r="L547" t="s">
        <v>59</v>
      </c>
      <c r="M547">
        <v>5</v>
      </c>
      <c r="N547" t="str">
        <f>HYPERLINK("Gene207-zp_tree_all.dnd", "Gene207-tree")</f>
        <v>Gene207-tree</v>
      </c>
      <c r="O547">
        <v>3</v>
      </c>
      <c r="P547">
        <v>2</v>
      </c>
      <c r="Q547">
        <v>3</v>
      </c>
      <c r="R547">
        <v>2</v>
      </c>
      <c r="S547">
        <v>0.4</v>
      </c>
      <c r="T547" t="s">
        <v>84</v>
      </c>
      <c r="U547" t="s">
        <v>135</v>
      </c>
      <c r="V547" t="s">
        <v>62</v>
      </c>
      <c r="W547" t="s">
        <v>62</v>
      </c>
      <c r="X547">
        <v>0</v>
      </c>
      <c r="Y547">
        <v>0</v>
      </c>
      <c r="Z547">
        <v>4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2</v>
      </c>
      <c r="AK547">
        <v>0</v>
      </c>
      <c r="AL547">
        <v>4</v>
      </c>
      <c r="AM547">
        <v>1</v>
      </c>
      <c r="AN547">
        <v>5</v>
      </c>
      <c r="AO547">
        <v>2</v>
      </c>
      <c r="AP547">
        <v>4</v>
      </c>
      <c r="AQ547">
        <v>2</v>
      </c>
      <c r="AR547" t="s">
        <v>666</v>
      </c>
      <c r="AS547" t="s">
        <v>667</v>
      </c>
      <c r="AT547">
        <v>0.23699999999999999</v>
      </c>
      <c r="AU547" t="s">
        <v>65</v>
      </c>
      <c r="AV547">
        <v>9</v>
      </c>
      <c r="AW547">
        <v>4</v>
      </c>
      <c r="AX547" t="s">
        <v>668</v>
      </c>
      <c r="AY547" t="s">
        <v>669</v>
      </c>
      <c r="AZ547" t="s">
        <v>670</v>
      </c>
      <c r="BA547">
        <v>0.10631</v>
      </c>
      <c r="BB547">
        <v>1</v>
      </c>
      <c r="BC547" t="s">
        <v>69</v>
      </c>
      <c r="BD547">
        <v>0.55200000000000005</v>
      </c>
      <c r="BE547">
        <v>0.55200000000000005</v>
      </c>
    </row>
    <row r="548" spans="1:57">
      <c r="A548">
        <v>0</v>
      </c>
      <c r="B548">
        <v>0</v>
      </c>
      <c r="C548">
        <v>0</v>
      </c>
      <c r="D548">
        <v>233</v>
      </c>
      <c r="E548" t="s">
        <v>676</v>
      </c>
      <c r="F548" t="s">
        <v>5762</v>
      </c>
      <c r="G548" t="s">
        <v>57</v>
      </c>
      <c r="H548">
        <v>252514</v>
      </c>
      <c r="I548">
        <v>253479</v>
      </c>
      <c r="J548" t="s">
        <v>677</v>
      </c>
      <c r="K548">
        <v>322</v>
      </c>
      <c r="L548" t="s">
        <v>59</v>
      </c>
      <c r="M548">
        <v>5</v>
      </c>
      <c r="N548" t="str">
        <f>HYPERLINK("Gene233-zp_tree_all.dnd", "Gene233-tree")</f>
        <v>Gene233-tree</v>
      </c>
      <c r="O548">
        <v>4</v>
      </c>
      <c r="P548">
        <v>1</v>
      </c>
      <c r="Q548">
        <v>4</v>
      </c>
      <c r="R548">
        <v>1</v>
      </c>
      <c r="S548">
        <v>0.2</v>
      </c>
      <c r="T548" t="s">
        <v>60</v>
      </c>
      <c r="U548" t="s">
        <v>61</v>
      </c>
      <c r="V548" t="s">
        <v>62</v>
      </c>
      <c r="W548" t="s">
        <v>62</v>
      </c>
      <c r="X548">
        <v>0</v>
      </c>
      <c r="Y548">
        <v>0</v>
      </c>
      <c r="Z548">
        <v>6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1</v>
      </c>
      <c r="AK548">
        <v>0</v>
      </c>
      <c r="AL548">
        <v>5</v>
      </c>
      <c r="AM548">
        <v>2</v>
      </c>
      <c r="AN548">
        <v>18</v>
      </c>
      <c r="AO548">
        <v>1</v>
      </c>
      <c r="AP548">
        <v>28</v>
      </c>
      <c r="AQ548">
        <v>6</v>
      </c>
      <c r="AR548" t="s">
        <v>678</v>
      </c>
      <c r="AS548" t="s">
        <v>679</v>
      </c>
      <c r="AT548">
        <v>0.53900000000000003</v>
      </c>
      <c r="AU548" t="s">
        <v>65</v>
      </c>
      <c r="AV548">
        <v>46</v>
      </c>
      <c r="AW548">
        <v>7</v>
      </c>
      <c r="AX548" t="s">
        <v>680</v>
      </c>
      <c r="AY548" t="s">
        <v>681</v>
      </c>
      <c r="AZ548" t="s">
        <v>682</v>
      </c>
      <c r="BA548">
        <v>4.1369999999999997E-2</v>
      </c>
      <c r="BB548">
        <v>1</v>
      </c>
      <c r="BC548" t="s">
        <v>69</v>
      </c>
      <c r="BD548">
        <v>0.85899999999999999</v>
      </c>
      <c r="BE548">
        <v>0.73799999999999999</v>
      </c>
    </row>
    <row r="549" spans="1:57">
      <c r="A549">
        <v>0</v>
      </c>
      <c r="B549">
        <v>0</v>
      </c>
      <c r="C549">
        <v>0</v>
      </c>
      <c r="D549">
        <v>237</v>
      </c>
      <c r="E549" t="s">
        <v>683</v>
      </c>
      <c r="F549" t="s">
        <v>5762</v>
      </c>
      <c r="G549" t="s">
        <v>57</v>
      </c>
      <c r="H549">
        <v>257791</v>
      </c>
      <c r="I549">
        <v>258495</v>
      </c>
      <c r="J549" t="s">
        <v>684</v>
      </c>
      <c r="K549">
        <v>235</v>
      </c>
      <c r="L549" t="s">
        <v>83</v>
      </c>
      <c r="M549">
        <v>4</v>
      </c>
      <c r="N549" t="str">
        <f>HYPERLINK("Gene237-zp_tree_all.dnd", "Gene237-tree")</f>
        <v>Gene237-tree</v>
      </c>
    </row>
    <row r="550" spans="1:57">
      <c r="A550">
        <v>0</v>
      </c>
      <c r="B550">
        <v>0</v>
      </c>
      <c r="C550">
        <v>0</v>
      </c>
      <c r="D550">
        <v>260</v>
      </c>
      <c r="E550" t="s">
        <v>685</v>
      </c>
      <c r="F550" t="s">
        <v>5762</v>
      </c>
      <c r="G550" t="s">
        <v>57</v>
      </c>
      <c r="H550">
        <v>282469</v>
      </c>
      <c r="I550">
        <v>282894</v>
      </c>
      <c r="J550" t="s">
        <v>686</v>
      </c>
      <c r="K550">
        <v>142</v>
      </c>
      <c r="L550" t="s">
        <v>83</v>
      </c>
      <c r="M550">
        <v>4</v>
      </c>
      <c r="N550" t="str">
        <f>HYPERLINK("Gene260-zp_tree_all.dnd", "Gene260-tree")</f>
        <v>Gene260-tree</v>
      </c>
      <c r="O550">
        <v>1</v>
      </c>
      <c r="P550">
        <v>3</v>
      </c>
      <c r="Q550">
        <v>1</v>
      </c>
      <c r="R550">
        <v>3</v>
      </c>
      <c r="S550">
        <v>0.75</v>
      </c>
      <c r="T550" t="s">
        <v>61</v>
      </c>
      <c r="U550" t="s">
        <v>84</v>
      </c>
      <c r="V550" t="s">
        <v>62</v>
      </c>
      <c r="W550" t="s">
        <v>62</v>
      </c>
      <c r="X550">
        <v>0</v>
      </c>
      <c r="Y550">
        <v>0</v>
      </c>
      <c r="Z550">
        <v>6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6</v>
      </c>
      <c r="AK550">
        <v>0</v>
      </c>
      <c r="AL550">
        <v>4</v>
      </c>
      <c r="AM550">
        <v>1</v>
      </c>
      <c r="AN550">
        <v>22</v>
      </c>
      <c r="AO550">
        <v>6</v>
      </c>
      <c r="AP550">
        <v>4</v>
      </c>
      <c r="AQ550">
        <v>0</v>
      </c>
      <c r="AR550" t="s">
        <v>687</v>
      </c>
      <c r="AS550" t="s">
        <v>64</v>
      </c>
      <c r="AT550">
        <v>1.8879999999999999</v>
      </c>
      <c r="AU550" t="s">
        <v>65</v>
      </c>
      <c r="AV550">
        <v>26</v>
      </c>
      <c r="AW550">
        <v>6</v>
      </c>
      <c r="AX550" t="s">
        <v>688</v>
      </c>
      <c r="AY550" t="s">
        <v>689</v>
      </c>
      <c r="AZ550" t="s">
        <v>690</v>
      </c>
      <c r="BA550">
        <v>6.1429999999999998E-2</v>
      </c>
      <c r="BB550">
        <v>1</v>
      </c>
      <c r="BC550" t="s">
        <v>69</v>
      </c>
      <c r="BD550">
        <v>-0.23</v>
      </c>
      <c r="BE550">
        <v>-0.23</v>
      </c>
    </row>
    <row r="551" spans="1:57">
      <c r="A551">
        <v>0</v>
      </c>
      <c r="B551">
        <v>0</v>
      </c>
      <c r="C551">
        <v>0</v>
      </c>
      <c r="D551">
        <v>264</v>
      </c>
      <c r="E551" t="s">
        <v>691</v>
      </c>
      <c r="F551" t="s">
        <v>5762</v>
      </c>
      <c r="G551" t="s">
        <v>57</v>
      </c>
      <c r="H551">
        <v>285775</v>
      </c>
      <c r="I551">
        <v>285984</v>
      </c>
      <c r="J551" t="s">
        <v>692</v>
      </c>
      <c r="K551">
        <v>70</v>
      </c>
      <c r="L551" t="s">
        <v>59</v>
      </c>
      <c r="M551">
        <v>5</v>
      </c>
      <c r="N551" t="str">
        <f>HYPERLINK("Gene264-zp_tree_all.dnd", "Gene264-tree")</f>
        <v>Gene264-tree</v>
      </c>
      <c r="O551">
        <v>5</v>
      </c>
      <c r="P551">
        <v>0</v>
      </c>
      <c r="Q551">
        <v>5</v>
      </c>
      <c r="R551">
        <v>0</v>
      </c>
      <c r="S551">
        <v>0</v>
      </c>
      <c r="T551" t="s">
        <v>98</v>
      </c>
      <c r="U551" t="s">
        <v>62</v>
      </c>
      <c r="V551" t="s">
        <v>62</v>
      </c>
      <c r="W551" t="s">
        <v>62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5</v>
      </c>
      <c r="AM551">
        <v>1</v>
      </c>
      <c r="AN551">
        <v>10</v>
      </c>
      <c r="AO551">
        <v>0</v>
      </c>
      <c r="AP551">
        <v>2</v>
      </c>
      <c r="AQ551">
        <v>0</v>
      </c>
      <c r="AR551" t="s">
        <v>64</v>
      </c>
      <c r="AS551" t="s">
        <v>64</v>
      </c>
      <c r="AT551">
        <v>0</v>
      </c>
      <c r="AU551" t="s">
        <v>65</v>
      </c>
      <c r="AV551">
        <v>12</v>
      </c>
      <c r="AW551">
        <v>0</v>
      </c>
      <c r="AX551" t="s">
        <v>693</v>
      </c>
      <c r="AY551" t="s">
        <v>694</v>
      </c>
      <c r="AZ551" t="s">
        <v>64</v>
      </c>
      <c r="BA551">
        <v>0</v>
      </c>
      <c r="BB551">
        <v>1</v>
      </c>
      <c r="BC551" t="s">
        <v>69</v>
      </c>
      <c r="BD551">
        <v>-0.70299999999999996</v>
      </c>
      <c r="BE551">
        <v>-0.70299999999999996</v>
      </c>
    </row>
    <row r="552" spans="1:57">
      <c r="A552">
        <v>0</v>
      </c>
      <c r="B552">
        <v>0</v>
      </c>
      <c r="C552">
        <v>0</v>
      </c>
      <c r="D552">
        <v>276</v>
      </c>
      <c r="E552" t="s">
        <v>695</v>
      </c>
      <c r="F552" t="s">
        <v>5762</v>
      </c>
      <c r="G552" t="s">
        <v>57</v>
      </c>
      <c r="H552">
        <v>296429</v>
      </c>
      <c r="I552">
        <v>297166</v>
      </c>
      <c r="J552" t="s">
        <v>696</v>
      </c>
      <c r="K552">
        <v>246</v>
      </c>
      <c r="L552" t="s">
        <v>83</v>
      </c>
      <c r="M552">
        <v>4</v>
      </c>
      <c r="N552" t="str">
        <f>HYPERLINK("Gene276-zp_tree_all.dnd", "Gene276-tree")</f>
        <v>Gene276-tree</v>
      </c>
      <c r="O552">
        <v>0</v>
      </c>
      <c r="P552">
        <v>4</v>
      </c>
      <c r="Q552">
        <v>0</v>
      </c>
      <c r="R552">
        <v>4</v>
      </c>
      <c r="S552">
        <v>1</v>
      </c>
      <c r="T552" t="s">
        <v>62</v>
      </c>
      <c r="U552" t="s">
        <v>60</v>
      </c>
      <c r="V552" t="s">
        <v>62</v>
      </c>
      <c r="W552" t="s">
        <v>62</v>
      </c>
      <c r="X552">
        <v>0</v>
      </c>
      <c r="Y552">
        <v>0</v>
      </c>
      <c r="Z552">
        <v>10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10</v>
      </c>
      <c r="AK552">
        <v>0</v>
      </c>
      <c r="AL552">
        <v>4</v>
      </c>
      <c r="AM552">
        <v>0</v>
      </c>
      <c r="AN552">
        <v>18</v>
      </c>
      <c r="AO552">
        <v>11</v>
      </c>
      <c r="AP552">
        <v>0</v>
      </c>
      <c r="AQ552">
        <v>0</v>
      </c>
      <c r="AR552" t="s">
        <v>697</v>
      </c>
      <c r="AS552" t="s">
        <v>64</v>
      </c>
      <c r="AT552">
        <v>1.0760000000000001</v>
      </c>
      <c r="AU552" t="s">
        <v>65</v>
      </c>
      <c r="AV552">
        <v>18</v>
      </c>
      <c r="AW552">
        <v>11</v>
      </c>
      <c r="AX552" t="s">
        <v>698</v>
      </c>
      <c r="AY552" t="s">
        <v>699</v>
      </c>
      <c r="AZ552" t="s">
        <v>700</v>
      </c>
      <c r="BA552">
        <v>0.16929</v>
      </c>
      <c r="BB552">
        <v>1</v>
      </c>
      <c r="BC552" t="s">
        <v>69</v>
      </c>
      <c r="BD552">
        <v>-0.86099999999999999</v>
      </c>
      <c r="BE552">
        <v>-0.86099999999999999</v>
      </c>
    </row>
    <row r="553" spans="1:57">
      <c r="A553">
        <v>0</v>
      </c>
      <c r="B553">
        <v>0</v>
      </c>
      <c r="C553">
        <v>0</v>
      </c>
      <c r="D553">
        <v>277</v>
      </c>
      <c r="E553" t="s">
        <v>701</v>
      </c>
      <c r="F553" t="s">
        <v>5762</v>
      </c>
      <c r="G553" t="s">
        <v>57</v>
      </c>
      <c r="H553">
        <v>297170</v>
      </c>
      <c r="I553">
        <v>298327</v>
      </c>
      <c r="J553" t="s">
        <v>702</v>
      </c>
      <c r="K553">
        <v>386</v>
      </c>
      <c r="L553" t="s">
        <v>83</v>
      </c>
      <c r="M553">
        <v>4</v>
      </c>
      <c r="N553" t="str">
        <f>HYPERLINK("Gene277-zp_tree_all.dnd", "Gene277-tree")</f>
        <v>Gene277-tree</v>
      </c>
      <c r="O553">
        <v>0</v>
      </c>
      <c r="P553">
        <v>4</v>
      </c>
      <c r="Q553">
        <v>0</v>
      </c>
      <c r="R553">
        <v>4</v>
      </c>
      <c r="S553">
        <v>1</v>
      </c>
      <c r="T553" t="s">
        <v>62</v>
      </c>
      <c r="U553" t="s">
        <v>60</v>
      </c>
      <c r="V553" t="s">
        <v>62</v>
      </c>
      <c r="W553" t="s">
        <v>62</v>
      </c>
      <c r="X553">
        <v>0</v>
      </c>
      <c r="Y553">
        <v>0</v>
      </c>
      <c r="Z553">
        <v>20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18</v>
      </c>
      <c r="AK553">
        <v>0</v>
      </c>
      <c r="AL553">
        <v>4</v>
      </c>
      <c r="AM553">
        <v>1</v>
      </c>
      <c r="AN553">
        <v>46</v>
      </c>
      <c r="AO553">
        <v>18</v>
      </c>
      <c r="AP553">
        <v>5</v>
      </c>
      <c r="AQ553">
        <v>2</v>
      </c>
      <c r="AR553" t="s">
        <v>703</v>
      </c>
      <c r="AS553" t="s">
        <v>704</v>
      </c>
      <c r="AT553">
        <v>6.8000000000000005E-2</v>
      </c>
      <c r="AU553" t="s">
        <v>65</v>
      </c>
      <c r="AV553">
        <v>51</v>
      </c>
      <c r="AW553">
        <v>20</v>
      </c>
      <c r="AX553" t="s">
        <v>705</v>
      </c>
      <c r="AY553" t="s">
        <v>706</v>
      </c>
      <c r="AZ553" t="s">
        <v>707</v>
      </c>
      <c r="BA553">
        <v>0.10920000000000001</v>
      </c>
      <c r="BB553">
        <v>1</v>
      </c>
      <c r="BC553" t="s">
        <v>69</v>
      </c>
      <c r="BD553">
        <v>-0.505</v>
      </c>
      <c r="BE553">
        <v>-0.505</v>
      </c>
    </row>
    <row r="554" spans="1:57">
      <c r="A554">
        <v>0</v>
      </c>
      <c r="B554">
        <v>0</v>
      </c>
      <c r="C554">
        <v>0</v>
      </c>
      <c r="D554">
        <v>292</v>
      </c>
      <c r="E554" t="s">
        <v>710</v>
      </c>
      <c r="F554" t="s">
        <v>5762</v>
      </c>
      <c r="G554" t="s">
        <v>57</v>
      </c>
      <c r="H554">
        <v>313396</v>
      </c>
      <c r="I554">
        <v>313971</v>
      </c>
      <c r="J554" t="s">
        <v>711</v>
      </c>
      <c r="K554">
        <v>192</v>
      </c>
      <c r="L554" t="s">
        <v>59</v>
      </c>
      <c r="M554">
        <v>5</v>
      </c>
      <c r="N554" t="str">
        <f>HYPERLINK("Gene292-zp_tree_all.dnd", "Gene292-tree")</f>
        <v>Gene292-tree</v>
      </c>
      <c r="O554">
        <v>4</v>
      </c>
      <c r="P554">
        <v>1</v>
      </c>
      <c r="Q554">
        <v>4</v>
      </c>
      <c r="R554">
        <v>1</v>
      </c>
      <c r="S554">
        <v>0.2</v>
      </c>
      <c r="T554" t="s">
        <v>60</v>
      </c>
      <c r="U554" t="s">
        <v>61</v>
      </c>
      <c r="V554" t="s">
        <v>62</v>
      </c>
      <c r="W554" t="s">
        <v>62</v>
      </c>
      <c r="X554">
        <v>0</v>
      </c>
      <c r="Y554">
        <v>0</v>
      </c>
      <c r="Z554">
        <v>2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>
        <v>4</v>
      </c>
      <c r="AM554">
        <v>2</v>
      </c>
      <c r="AN554">
        <v>13</v>
      </c>
      <c r="AO554">
        <v>1</v>
      </c>
      <c r="AP554">
        <v>15</v>
      </c>
      <c r="AQ554">
        <v>1</v>
      </c>
      <c r="AR554" t="s">
        <v>712</v>
      </c>
      <c r="AS554" t="s">
        <v>713</v>
      </c>
      <c r="AT554">
        <v>7.5999999999999998E-2</v>
      </c>
      <c r="AU554" t="s">
        <v>65</v>
      </c>
      <c r="AV554">
        <v>28</v>
      </c>
      <c r="AW554">
        <v>2</v>
      </c>
      <c r="AX554" t="s">
        <v>714</v>
      </c>
      <c r="AY554" t="s">
        <v>715</v>
      </c>
      <c r="AZ554" t="s">
        <v>716</v>
      </c>
      <c r="BA554">
        <v>1.976E-2</v>
      </c>
      <c r="BB554">
        <v>1</v>
      </c>
      <c r="BC554" t="s">
        <v>69</v>
      </c>
      <c r="BD554">
        <v>0.53300000000000003</v>
      </c>
      <c r="BE554">
        <v>0.53300000000000003</v>
      </c>
    </row>
    <row r="555" spans="1:57">
      <c r="A555">
        <v>0</v>
      </c>
      <c r="B555">
        <v>2</v>
      </c>
      <c r="C555">
        <v>0</v>
      </c>
      <c r="D555">
        <v>293</v>
      </c>
      <c r="E555" t="s">
        <v>717</v>
      </c>
      <c r="F555" t="s">
        <v>5762</v>
      </c>
      <c r="G555" t="s">
        <v>57</v>
      </c>
      <c r="H555">
        <v>314025</v>
      </c>
      <c r="I555">
        <v>314795</v>
      </c>
      <c r="J555" t="s">
        <v>718</v>
      </c>
      <c r="K555">
        <v>257</v>
      </c>
      <c r="L555" t="s">
        <v>83</v>
      </c>
      <c r="M555">
        <v>4</v>
      </c>
      <c r="N555" t="str">
        <f>HYPERLINK("Gene293-zp_tree_all.dnd", "Gene293-tree")</f>
        <v>Gene293-tree</v>
      </c>
      <c r="O555">
        <v>2</v>
      </c>
      <c r="P555">
        <v>2</v>
      </c>
      <c r="Q555">
        <v>2</v>
      </c>
      <c r="R555">
        <v>2</v>
      </c>
      <c r="S555">
        <v>0.5</v>
      </c>
      <c r="T555" t="s">
        <v>135</v>
      </c>
      <c r="U555" t="s">
        <v>135</v>
      </c>
      <c r="V555" t="s">
        <v>62</v>
      </c>
      <c r="W555" t="s">
        <v>62</v>
      </c>
      <c r="X555">
        <v>1</v>
      </c>
      <c r="Y555">
        <v>2</v>
      </c>
      <c r="Z555">
        <v>6</v>
      </c>
      <c r="AA555">
        <v>0.25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2</v>
      </c>
      <c r="AH555">
        <v>0</v>
      </c>
      <c r="AI555">
        <v>2</v>
      </c>
      <c r="AJ555">
        <v>6</v>
      </c>
      <c r="AK555">
        <v>0.25</v>
      </c>
      <c r="AL555">
        <v>4</v>
      </c>
      <c r="AM555">
        <v>1</v>
      </c>
      <c r="AN555">
        <v>35</v>
      </c>
      <c r="AO555">
        <v>8</v>
      </c>
      <c r="AP555">
        <v>4</v>
      </c>
      <c r="AQ555">
        <v>0</v>
      </c>
      <c r="AR555" t="s">
        <v>719</v>
      </c>
      <c r="AS555" t="s">
        <v>64</v>
      </c>
      <c r="AT555">
        <v>0.54200000000000004</v>
      </c>
      <c r="AU555" t="s">
        <v>65</v>
      </c>
      <c r="AV555">
        <v>39</v>
      </c>
      <c r="AW555">
        <v>8</v>
      </c>
      <c r="AX555" t="s">
        <v>720</v>
      </c>
      <c r="AY555" t="s">
        <v>721</v>
      </c>
      <c r="AZ555" t="s">
        <v>722</v>
      </c>
      <c r="BA555">
        <v>4.9639999999999997E-2</v>
      </c>
      <c r="BB555">
        <v>1</v>
      </c>
      <c r="BC555" t="s">
        <v>69</v>
      </c>
      <c r="BD555">
        <v>-0.36099999999999999</v>
      </c>
      <c r="BE555">
        <v>-0.57699999999999996</v>
      </c>
    </row>
    <row r="556" spans="1:57">
      <c r="A556">
        <v>0</v>
      </c>
      <c r="B556">
        <v>0</v>
      </c>
      <c r="C556">
        <v>0</v>
      </c>
      <c r="D556">
        <v>295</v>
      </c>
      <c r="E556" t="s">
        <v>723</v>
      </c>
      <c r="F556" t="s">
        <v>5762</v>
      </c>
      <c r="G556" t="s">
        <v>57</v>
      </c>
      <c r="H556">
        <v>316512</v>
      </c>
      <c r="I556">
        <v>317600</v>
      </c>
      <c r="J556" t="s">
        <v>724</v>
      </c>
      <c r="K556">
        <v>363</v>
      </c>
      <c r="L556" t="s">
        <v>83</v>
      </c>
      <c r="M556">
        <v>4</v>
      </c>
      <c r="N556" t="str">
        <f>HYPERLINK("Gene295-zp_tree_all.dnd", "Gene295-tree")</f>
        <v>Gene295-tree</v>
      </c>
      <c r="O556">
        <v>3</v>
      </c>
      <c r="P556">
        <v>1</v>
      </c>
      <c r="Q556">
        <v>3</v>
      </c>
      <c r="R556">
        <v>1</v>
      </c>
      <c r="S556">
        <v>0.25</v>
      </c>
      <c r="T556" t="s">
        <v>84</v>
      </c>
      <c r="U556" t="s">
        <v>61</v>
      </c>
      <c r="V556" t="s">
        <v>62</v>
      </c>
      <c r="W556" t="s">
        <v>62</v>
      </c>
      <c r="X556">
        <v>0</v>
      </c>
      <c r="Y556">
        <v>0</v>
      </c>
      <c r="Z556">
        <v>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3</v>
      </c>
      <c r="AK556">
        <v>0</v>
      </c>
      <c r="AL556">
        <v>4</v>
      </c>
      <c r="AM556">
        <v>1</v>
      </c>
      <c r="AN556">
        <v>61</v>
      </c>
      <c r="AO556">
        <v>3</v>
      </c>
      <c r="AP556">
        <v>2</v>
      </c>
      <c r="AQ556">
        <v>0</v>
      </c>
      <c r="AR556" t="s">
        <v>725</v>
      </c>
      <c r="AS556" t="s">
        <v>64</v>
      </c>
      <c r="AT556">
        <v>0.47299999999999998</v>
      </c>
      <c r="AU556" t="s">
        <v>65</v>
      </c>
      <c r="AV556">
        <v>63</v>
      </c>
      <c r="AW556">
        <v>3</v>
      </c>
      <c r="AX556" t="s">
        <v>726</v>
      </c>
      <c r="AY556" t="s">
        <v>727</v>
      </c>
      <c r="AZ556" t="s">
        <v>728</v>
      </c>
      <c r="BA556">
        <v>1.1379999999999999E-2</v>
      </c>
      <c r="BB556">
        <v>1</v>
      </c>
      <c r="BC556" t="s">
        <v>69</v>
      </c>
      <c r="BD556">
        <v>-0.50900000000000001</v>
      </c>
      <c r="BE556">
        <v>-0.66300000000000003</v>
      </c>
    </row>
    <row r="557" spans="1:57">
      <c r="A557">
        <v>0</v>
      </c>
      <c r="B557">
        <v>2</v>
      </c>
      <c r="C557">
        <v>0</v>
      </c>
      <c r="D557">
        <v>300</v>
      </c>
      <c r="E557" t="s">
        <v>731</v>
      </c>
      <c r="F557" t="s">
        <v>5762</v>
      </c>
      <c r="G557" t="s">
        <v>57</v>
      </c>
      <c r="H557">
        <v>322271</v>
      </c>
      <c r="I557">
        <v>323116</v>
      </c>
      <c r="J557" t="s">
        <v>732</v>
      </c>
      <c r="K557">
        <v>282</v>
      </c>
      <c r="L557" t="s">
        <v>59</v>
      </c>
      <c r="M557">
        <v>5</v>
      </c>
      <c r="N557" t="str">
        <f>HYPERLINK("Gene300-zp_tree_all.dnd", "Gene300-tree")</f>
        <v>Gene300-tree</v>
      </c>
      <c r="O557">
        <v>2</v>
      </c>
      <c r="P557">
        <v>3</v>
      </c>
      <c r="Q557">
        <v>2</v>
      </c>
      <c r="R557">
        <v>3</v>
      </c>
      <c r="S557">
        <v>0.6</v>
      </c>
      <c r="T557" t="s">
        <v>135</v>
      </c>
      <c r="U557" t="s">
        <v>84</v>
      </c>
      <c r="V557" t="s">
        <v>62</v>
      </c>
      <c r="W557" t="s">
        <v>62</v>
      </c>
      <c r="X557">
        <v>1</v>
      </c>
      <c r="Y557">
        <v>2</v>
      </c>
      <c r="Z557">
        <v>4</v>
      </c>
      <c r="AA557">
        <v>0.33333000000000002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4</v>
      </c>
      <c r="AK557">
        <v>0</v>
      </c>
      <c r="AL557">
        <v>5</v>
      </c>
      <c r="AM557">
        <v>2</v>
      </c>
      <c r="AN557">
        <v>32</v>
      </c>
      <c r="AO557">
        <v>4</v>
      </c>
      <c r="AP557">
        <v>19</v>
      </c>
      <c r="AQ557">
        <v>2</v>
      </c>
      <c r="AR557" t="s">
        <v>733</v>
      </c>
      <c r="AS557" t="s">
        <v>734</v>
      </c>
      <c r="AT557">
        <v>0.189</v>
      </c>
      <c r="AU557" t="s">
        <v>65</v>
      </c>
      <c r="AV557">
        <v>51</v>
      </c>
      <c r="AW557">
        <v>6</v>
      </c>
      <c r="AX557" t="s">
        <v>735</v>
      </c>
      <c r="AY557" t="s">
        <v>736</v>
      </c>
      <c r="AZ557" t="s">
        <v>737</v>
      </c>
      <c r="BA557">
        <v>3.3020000000000001E-2</v>
      </c>
      <c r="BB557">
        <v>1</v>
      </c>
      <c r="BC557" t="s">
        <v>69</v>
      </c>
      <c r="BD557">
        <v>0.22</v>
      </c>
      <c r="BE557">
        <v>-6.3E-2</v>
      </c>
    </row>
    <row r="558" spans="1:57">
      <c r="A558">
        <v>0</v>
      </c>
      <c r="B558">
        <v>0</v>
      </c>
      <c r="C558">
        <v>0</v>
      </c>
      <c r="D558">
        <v>306</v>
      </c>
      <c r="E558" t="s">
        <v>738</v>
      </c>
      <c r="F558" t="s">
        <v>5762</v>
      </c>
      <c r="G558" t="s">
        <v>57</v>
      </c>
      <c r="H558">
        <v>329774</v>
      </c>
      <c r="I558">
        <v>330736</v>
      </c>
      <c r="J558" t="s">
        <v>739</v>
      </c>
      <c r="K558">
        <v>321</v>
      </c>
      <c r="L558" t="s">
        <v>83</v>
      </c>
      <c r="M558">
        <v>4</v>
      </c>
      <c r="N558" t="str">
        <f>HYPERLINK("Gene306-zp_tree_all.dnd", "Gene306-tree")</f>
        <v>Gene306-tree</v>
      </c>
    </row>
    <row r="559" spans="1:57">
      <c r="A559">
        <v>0</v>
      </c>
      <c r="B559">
        <v>0</v>
      </c>
      <c r="C559">
        <v>0</v>
      </c>
      <c r="D559">
        <v>316</v>
      </c>
      <c r="E559" t="s">
        <v>742</v>
      </c>
      <c r="F559" t="s">
        <v>5762</v>
      </c>
      <c r="G559" t="s">
        <v>57</v>
      </c>
      <c r="H559">
        <v>340025</v>
      </c>
      <c r="I559">
        <v>340582</v>
      </c>
      <c r="J559" t="s">
        <v>743</v>
      </c>
      <c r="K559">
        <v>186</v>
      </c>
      <c r="L559" t="s">
        <v>59</v>
      </c>
      <c r="M559">
        <v>5</v>
      </c>
      <c r="N559" t="str">
        <f>HYPERLINK("Gene316-zp_tree_all.dnd", "Gene316-tree")</f>
        <v>Gene316-tree</v>
      </c>
      <c r="O559">
        <v>5</v>
      </c>
      <c r="P559">
        <v>0</v>
      </c>
      <c r="Q559">
        <v>5</v>
      </c>
      <c r="R559">
        <v>0</v>
      </c>
      <c r="S559">
        <v>0</v>
      </c>
      <c r="T559" t="s">
        <v>98</v>
      </c>
      <c r="U559" t="s">
        <v>62</v>
      </c>
      <c r="V559" t="s">
        <v>62</v>
      </c>
      <c r="W559" t="s">
        <v>62</v>
      </c>
      <c r="X559">
        <v>0</v>
      </c>
      <c r="Y559">
        <v>0</v>
      </c>
      <c r="Z559">
        <v>5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5</v>
      </c>
      <c r="AM559">
        <v>2</v>
      </c>
      <c r="AN559">
        <v>17</v>
      </c>
      <c r="AO559">
        <v>0</v>
      </c>
      <c r="AP559">
        <v>17</v>
      </c>
      <c r="AQ559">
        <v>5</v>
      </c>
      <c r="AR559" t="s">
        <v>64</v>
      </c>
      <c r="AS559" t="s">
        <v>744</v>
      </c>
      <c r="AT559">
        <v>1.0389999999999999</v>
      </c>
      <c r="AU559" t="s">
        <v>65</v>
      </c>
      <c r="AV559">
        <v>34</v>
      </c>
      <c r="AW559">
        <v>5</v>
      </c>
      <c r="AX559" t="s">
        <v>745</v>
      </c>
      <c r="AY559" t="s">
        <v>746</v>
      </c>
      <c r="AZ559" t="s">
        <v>747</v>
      </c>
      <c r="BA559">
        <v>4.2360000000000002E-2</v>
      </c>
      <c r="BB559">
        <v>1</v>
      </c>
      <c r="BC559" t="s">
        <v>69</v>
      </c>
      <c r="BD559">
        <v>0.93799999999999994</v>
      </c>
      <c r="BE559">
        <v>0.26800000000000002</v>
      </c>
    </row>
    <row r="560" spans="1:57">
      <c r="A560">
        <v>0</v>
      </c>
      <c r="B560">
        <v>2</v>
      </c>
      <c r="C560">
        <v>0</v>
      </c>
      <c r="D560">
        <v>321</v>
      </c>
      <c r="E560" t="s">
        <v>748</v>
      </c>
      <c r="F560" t="s">
        <v>5762</v>
      </c>
      <c r="G560" t="s">
        <v>57</v>
      </c>
      <c r="H560">
        <v>344551</v>
      </c>
      <c r="I560">
        <v>345459</v>
      </c>
      <c r="J560" t="s">
        <v>749</v>
      </c>
      <c r="K560">
        <v>303</v>
      </c>
      <c r="L560" t="s">
        <v>59</v>
      </c>
      <c r="M560">
        <v>5</v>
      </c>
      <c r="N560" t="str">
        <f>HYPERLINK("Gene321-zp_tree_all.dnd", "Gene321-tree")</f>
        <v>Gene321-tree</v>
      </c>
      <c r="O560">
        <v>3</v>
      </c>
      <c r="P560">
        <v>2</v>
      </c>
      <c r="Q560">
        <v>3</v>
      </c>
      <c r="R560">
        <v>2</v>
      </c>
      <c r="S560">
        <v>0.4</v>
      </c>
      <c r="T560" t="s">
        <v>84</v>
      </c>
      <c r="U560" t="s">
        <v>135</v>
      </c>
      <c r="V560" t="s">
        <v>62</v>
      </c>
      <c r="W560" t="s">
        <v>62</v>
      </c>
      <c r="X560">
        <v>1</v>
      </c>
      <c r="Y560">
        <v>2</v>
      </c>
      <c r="Z560">
        <v>12</v>
      </c>
      <c r="AA560">
        <v>0.14285999999999999</v>
      </c>
      <c r="AB560">
        <v>0</v>
      </c>
      <c r="AC560">
        <v>0</v>
      </c>
      <c r="AD560">
        <v>0</v>
      </c>
      <c r="AE560">
        <v>4</v>
      </c>
      <c r="AF560">
        <v>0</v>
      </c>
      <c r="AG560">
        <v>0</v>
      </c>
      <c r="AH560">
        <v>0</v>
      </c>
      <c r="AI560">
        <v>0</v>
      </c>
      <c r="AJ560">
        <v>6</v>
      </c>
      <c r="AK560">
        <v>0</v>
      </c>
      <c r="AL560">
        <v>5</v>
      </c>
      <c r="AM560">
        <v>2</v>
      </c>
      <c r="AN560">
        <v>27</v>
      </c>
      <c r="AO560">
        <v>6</v>
      </c>
      <c r="AP560">
        <v>16</v>
      </c>
      <c r="AQ560">
        <v>8</v>
      </c>
      <c r="AR560" t="s">
        <v>750</v>
      </c>
      <c r="AS560" t="s">
        <v>751</v>
      </c>
      <c r="AT560">
        <v>1.2689999999999999</v>
      </c>
      <c r="AU560" t="s">
        <v>65</v>
      </c>
      <c r="AV560">
        <v>43</v>
      </c>
      <c r="AW560">
        <v>14</v>
      </c>
      <c r="AX560" t="s">
        <v>752</v>
      </c>
      <c r="AY560" t="s">
        <v>753</v>
      </c>
      <c r="AZ560" t="s">
        <v>754</v>
      </c>
      <c r="BA560">
        <v>8.695E-2</v>
      </c>
      <c r="BB560">
        <v>1</v>
      </c>
      <c r="BC560" t="s">
        <v>69</v>
      </c>
      <c r="BD560">
        <v>0.19800000000000001</v>
      </c>
      <c r="BE560">
        <v>0.19800000000000001</v>
      </c>
    </row>
    <row r="561" spans="1:57">
      <c r="A561">
        <v>0</v>
      </c>
      <c r="B561">
        <v>0</v>
      </c>
      <c r="C561">
        <v>0</v>
      </c>
      <c r="D561">
        <v>324</v>
      </c>
      <c r="E561" t="s">
        <v>755</v>
      </c>
      <c r="F561" t="s">
        <v>5762</v>
      </c>
      <c r="G561" t="s">
        <v>57</v>
      </c>
      <c r="H561">
        <v>348724</v>
      </c>
      <c r="I561">
        <v>349956</v>
      </c>
      <c r="J561" t="s">
        <v>756</v>
      </c>
      <c r="K561">
        <v>411</v>
      </c>
      <c r="L561" t="s">
        <v>59</v>
      </c>
      <c r="M561">
        <v>5</v>
      </c>
      <c r="N561" t="str">
        <f>HYPERLINK("Gene324-zp_tree_all.dnd", "Gene324-tree")</f>
        <v>Gene324-tree</v>
      </c>
      <c r="O561">
        <v>5</v>
      </c>
      <c r="P561">
        <v>0</v>
      </c>
      <c r="Q561">
        <v>5</v>
      </c>
      <c r="R561">
        <v>0</v>
      </c>
      <c r="S561">
        <v>0</v>
      </c>
      <c r="T561" t="s">
        <v>98</v>
      </c>
      <c r="U561" t="s">
        <v>62</v>
      </c>
      <c r="V561" t="s">
        <v>62</v>
      </c>
      <c r="W561" t="s">
        <v>62</v>
      </c>
      <c r="X561">
        <v>0</v>
      </c>
      <c r="Y561">
        <v>0</v>
      </c>
      <c r="Z561">
        <v>5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5</v>
      </c>
      <c r="AM561">
        <v>2</v>
      </c>
      <c r="AN561">
        <v>32</v>
      </c>
      <c r="AO561">
        <v>0</v>
      </c>
      <c r="AP561">
        <v>40</v>
      </c>
      <c r="AQ561">
        <v>5</v>
      </c>
      <c r="AR561" t="s">
        <v>64</v>
      </c>
      <c r="AS561" t="s">
        <v>757</v>
      </c>
      <c r="AT561">
        <v>0.77400000000000002</v>
      </c>
      <c r="AU561" t="s">
        <v>65</v>
      </c>
      <c r="AV561">
        <v>72</v>
      </c>
      <c r="AW561">
        <v>5</v>
      </c>
      <c r="AX561" t="s">
        <v>758</v>
      </c>
      <c r="AY561" t="s">
        <v>759</v>
      </c>
      <c r="AZ561" t="s">
        <v>760</v>
      </c>
      <c r="BA561">
        <v>1.9519999999999999E-2</v>
      </c>
      <c r="BB561">
        <v>1</v>
      </c>
      <c r="BC561" t="s">
        <v>69</v>
      </c>
      <c r="BD561">
        <v>0.67400000000000004</v>
      </c>
      <c r="BE561">
        <v>0.46300000000000002</v>
      </c>
    </row>
    <row r="562" spans="1:57">
      <c r="A562">
        <v>0</v>
      </c>
      <c r="B562">
        <v>0</v>
      </c>
      <c r="C562">
        <v>0</v>
      </c>
      <c r="D562">
        <v>349</v>
      </c>
      <c r="E562" t="s">
        <v>780</v>
      </c>
      <c r="F562" t="s">
        <v>5762</v>
      </c>
      <c r="G562" t="s">
        <v>57</v>
      </c>
      <c r="H562">
        <v>376032</v>
      </c>
      <c r="I562">
        <v>376391</v>
      </c>
      <c r="J562" t="s">
        <v>781</v>
      </c>
      <c r="K562">
        <v>120</v>
      </c>
      <c r="L562" t="s">
        <v>59</v>
      </c>
      <c r="M562">
        <v>5</v>
      </c>
      <c r="N562" t="str">
        <f>HYPERLINK("Gene349-zp_tree_all.dnd", "Gene349-tree")</f>
        <v>Gene349-tree</v>
      </c>
      <c r="O562">
        <v>3</v>
      </c>
      <c r="P562">
        <v>2</v>
      </c>
      <c r="Q562">
        <v>2</v>
      </c>
      <c r="R562">
        <v>2</v>
      </c>
      <c r="S562">
        <v>0.5</v>
      </c>
      <c r="T562" t="s">
        <v>217</v>
      </c>
      <c r="U562" t="s">
        <v>135</v>
      </c>
      <c r="V562" t="s">
        <v>62</v>
      </c>
      <c r="W562" t="s">
        <v>62</v>
      </c>
      <c r="X562">
        <v>0</v>
      </c>
      <c r="Y562">
        <v>0</v>
      </c>
      <c r="Z562">
        <v>6</v>
      </c>
      <c r="AA562">
        <v>0</v>
      </c>
      <c r="AB562">
        <v>0</v>
      </c>
      <c r="AC562">
        <v>0</v>
      </c>
      <c r="AD562">
        <v>0</v>
      </c>
      <c r="AE562">
        <v>3</v>
      </c>
      <c r="AF562">
        <v>0</v>
      </c>
      <c r="AG562">
        <v>0</v>
      </c>
      <c r="AH562">
        <v>0</v>
      </c>
      <c r="AI562">
        <v>0</v>
      </c>
      <c r="AJ562">
        <v>3</v>
      </c>
      <c r="AK562">
        <v>0</v>
      </c>
      <c r="AL562">
        <v>4</v>
      </c>
      <c r="AM562">
        <v>1</v>
      </c>
      <c r="AN562">
        <v>15</v>
      </c>
      <c r="AO562">
        <v>3</v>
      </c>
      <c r="AP562">
        <v>4</v>
      </c>
      <c r="AQ562">
        <v>3</v>
      </c>
      <c r="AR562" t="s">
        <v>782</v>
      </c>
      <c r="AS562" t="s">
        <v>783</v>
      </c>
      <c r="AT562">
        <v>3.7269999999999999</v>
      </c>
      <c r="AU562" t="s">
        <v>65</v>
      </c>
      <c r="AV562">
        <v>19</v>
      </c>
      <c r="AW562">
        <v>6</v>
      </c>
      <c r="AX562" t="s">
        <v>784</v>
      </c>
      <c r="AY562" t="s">
        <v>785</v>
      </c>
      <c r="AZ562" t="s">
        <v>786</v>
      </c>
      <c r="BA562">
        <v>8.4779999999999994E-2</v>
      </c>
      <c r="BB562">
        <v>1</v>
      </c>
      <c r="BC562" t="s">
        <v>69</v>
      </c>
      <c r="BD562">
        <v>0.309</v>
      </c>
      <c r="BE562">
        <v>-0.29599999999999999</v>
      </c>
    </row>
    <row r="563" spans="1:57">
      <c r="A563">
        <v>0</v>
      </c>
      <c r="B563">
        <v>0</v>
      </c>
      <c r="C563">
        <v>0</v>
      </c>
      <c r="D563">
        <v>352</v>
      </c>
      <c r="E563" t="s">
        <v>787</v>
      </c>
      <c r="F563" t="s">
        <v>5762</v>
      </c>
      <c r="G563" t="s">
        <v>57</v>
      </c>
      <c r="H563">
        <v>390880</v>
      </c>
      <c r="I563">
        <v>391017</v>
      </c>
      <c r="J563" t="s">
        <v>788</v>
      </c>
      <c r="K563">
        <v>46</v>
      </c>
      <c r="L563" t="s">
        <v>59</v>
      </c>
      <c r="M563">
        <v>5</v>
      </c>
      <c r="N563" t="str">
        <f>HYPERLINK("Gene352-zp_tree_all.dnd", "Gene352-tree")</f>
        <v>Gene352-tree</v>
      </c>
      <c r="O563">
        <v>3</v>
      </c>
      <c r="P563">
        <v>2</v>
      </c>
      <c r="Q563">
        <v>2</v>
      </c>
      <c r="R563">
        <v>2</v>
      </c>
      <c r="S563">
        <v>0.5</v>
      </c>
      <c r="T563" t="s">
        <v>217</v>
      </c>
      <c r="U563" t="s">
        <v>135</v>
      </c>
      <c r="V563" t="s">
        <v>62</v>
      </c>
      <c r="W563" t="s">
        <v>62</v>
      </c>
      <c r="X563">
        <v>0</v>
      </c>
      <c r="Y563">
        <v>0</v>
      </c>
      <c r="Z563">
        <v>2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2</v>
      </c>
      <c r="AK563">
        <v>0</v>
      </c>
      <c r="AL563">
        <v>3</v>
      </c>
      <c r="AM563">
        <v>1</v>
      </c>
      <c r="AN563">
        <v>1</v>
      </c>
      <c r="AO563">
        <v>2</v>
      </c>
      <c r="AP563">
        <v>1</v>
      </c>
      <c r="AQ563">
        <v>0</v>
      </c>
      <c r="AR563" t="s">
        <v>789</v>
      </c>
      <c r="AS563" t="s">
        <v>64</v>
      </c>
      <c r="AT563">
        <v>0.69299999999999995</v>
      </c>
      <c r="AU563" t="s">
        <v>65</v>
      </c>
      <c r="AV563">
        <v>2</v>
      </c>
      <c r="AW563">
        <v>2</v>
      </c>
      <c r="AX563" t="s">
        <v>790</v>
      </c>
      <c r="AY563" t="s">
        <v>791</v>
      </c>
      <c r="AZ563" t="s">
        <v>792</v>
      </c>
      <c r="BA563">
        <v>0.24440999999999999</v>
      </c>
      <c r="BB563">
        <v>0.8</v>
      </c>
      <c r="BC563" t="s">
        <v>793</v>
      </c>
      <c r="BD563">
        <v>0.27300000000000002</v>
      </c>
      <c r="BE563">
        <v>0.27300000000000002</v>
      </c>
    </row>
    <row r="564" spans="1:57">
      <c r="A564">
        <v>0</v>
      </c>
      <c r="B564">
        <v>0</v>
      </c>
      <c r="C564">
        <v>2</v>
      </c>
      <c r="D564">
        <v>366</v>
      </c>
      <c r="E564" t="s">
        <v>814</v>
      </c>
      <c r="F564" t="s">
        <v>5762</v>
      </c>
      <c r="G564" t="s">
        <v>57</v>
      </c>
      <c r="H564">
        <v>412540</v>
      </c>
      <c r="I564">
        <v>413151</v>
      </c>
      <c r="J564" t="s">
        <v>815</v>
      </c>
      <c r="K564">
        <v>204</v>
      </c>
      <c r="L564" t="s">
        <v>83</v>
      </c>
      <c r="M564">
        <v>4</v>
      </c>
      <c r="N564" t="str">
        <f>HYPERLINK("Gene366-zp_tree_all.dnd", "Gene366-tree")</f>
        <v>Gene366-tree</v>
      </c>
      <c r="O564">
        <v>1</v>
      </c>
      <c r="P564">
        <v>3</v>
      </c>
      <c r="Q564">
        <v>1</v>
      </c>
      <c r="R564">
        <v>3</v>
      </c>
      <c r="S564">
        <v>0.75</v>
      </c>
      <c r="T564" t="s">
        <v>61</v>
      </c>
      <c r="U564" t="s">
        <v>84</v>
      </c>
      <c r="V564" t="s">
        <v>62</v>
      </c>
      <c r="W564" t="s">
        <v>62</v>
      </c>
      <c r="X564">
        <v>1</v>
      </c>
      <c r="Y564">
        <v>2</v>
      </c>
      <c r="Z564">
        <v>5</v>
      </c>
      <c r="AA564">
        <v>0.28571000000000002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5</v>
      </c>
      <c r="AK564">
        <v>0</v>
      </c>
      <c r="AL564">
        <v>4</v>
      </c>
      <c r="AM564">
        <v>1</v>
      </c>
      <c r="AN564">
        <v>26</v>
      </c>
      <c r="AO564">
        <v>5</v>
      </c>
      <c r="AP564">
        <v>2</v>
      </c>
      <c r="AQ564">
        <v>2</v>
      </c>
      <c r="AR564" t="s">
        <v>816</v>
      </c>
      <c r="AS564" t="s">
        <v>817</v>
      </c>
      <c r="AT564">
        <v>7.093</v>
      </c>
      <c r="AU564" t="s">
        <v>65</v>
      </c>
      <c r="AV564">
        <v>28</v>
      </c>
      <c r="AW564">
        <v>7</v>
      </c>
      <c r="AX564" t="s">
        <v>818</v>
      </c>
      <c r="AY564" t="s">
        <v>819</v>
      </c>
      <c r="AZ564" t="s">
        <v>820</v>
      </c>
      <c r="BA564">
        <v>7.578E-2</v>
      </c>
      <c r="BB564">
        <v>1</v>
      </c>
      <c r="BC564" t="s">
        <v>69</v>
      </c>
      <c r="BD564">
        <v>-0.30499999999999999</v>
      </c>
      <c r="BE564">
        <v>-0.58399999999999996</v>
      </c>
    </row>
    <row r="565" spans="1:57">
      <c r="A565">
        <v>0</v>
      </c>
      <c r="B565">
        <v>0</v>
      </c>
      <c r="C565">
        <v>0</v>
      </c>
      <c r="D565">
        <v>379</v>
      </c>
      <c r="E565" t="s">
        <v>821</v>
      </c>
      <c r="F565" t="s">
        <v>5762</v>
      </c>
      <c r="G565" t="s">
        <v>57</v>
      </c>
      <c r="H565">
        <v>426577</v>
      </c>
      <c r="I565">
        <v>427257</v>
      </c>
      <c r="J565" t="s">
        <v>822</v>
      </c>
      <c r="K565">
        <v>227</v>
      </c>
      <c r="L565" t="s">
        <v>83</v>
      </c>
      <c r="M565">
        <v>4</v>
      </c>
      <c r="N565" t="str">
        <f>HYPERLINK("Gene379-zp_tree_all.dnd", "Gene379-tree")</f>
        <v>Gene379-tree</v>
      </c>
      <c r="O565">
        <v>2</v>
      </c>
      <c r="P565">
        <v>2</v>
      </c>
      <c r="Q565">
        <v>2</v>
      </c>
      <c r="R565">
        <v>2</v>
      </c>
      <c r="S565">
        <v>0.5</v>
      </c>
      <c r="T565" t="s">
        <v>135</v>
      </c>
      <c r="U565" t="s">
        <v>135</v>
      </c>
      <c r="V565" t="s">
        <v>62</v>
      </c>
      <c r="W565" t="s">
        <v>62</v>
      </c>
      <c r="X565">
        <v>0</v>
      </c>
      <c r="Y565">
        <v>0</v>
      </c>
      <c r="Z565">
        <v>6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6</v>
      </c>
      <c r="AK565">
        <v>0</v>
      </c>
      <c r="AL565">
        <v>4</v>
      </c>
      <c r="AM565">
        <v>1</v>
      </c>
      <c r="AN565">
        <v>31</v>
      </c>
      <c r="AO565">
        <v>6</v>
      </c>
      <c r="AP565">
        <v>2</v>
      </c>
      <c r="AQ565">
        <v>0</v>
      </c>
      <c r="AR565" t="s">
        <v>823</v>
      </c>
      <c r="AS565" t="s">
        <v>64</v>
      </c>
      <c r="AT565">
        <v>0.71099999999999997</v>
      </c>
      <c r="AU565" t="s">
        <v>65</v>
      </c>
      <c r="AV565">
        <v>33</v>
      </c>
      <c r="AW565">
        <v>6</v>
      </c>
      <c r="AX565" t="s">
        <v>824</v>
      </c>
      <c r="AY565" t="s">
        <v>825</v>
      </c>
      <c r="AZ565" t="s">
        <v>826</v>
      </c>
      <c r="BA565">
        <v>4.5069999999999999E-2</v>
      </c>
      <c r="BB565">
        <v>1</v>
      </c>
      <c r="BC565" t="s">
        <v>69</v>
      </c>
      <c r="BD565">
        <v>-0.61399999999999999</v>
      </c>
      <c r="BE565">
        <v>-0.61399999999999999</v>
      </c>
    </row>
    <row r="566" spans="1:57">
      <c r="A566">
        <v>0</v>
      </c>
      <c r="B566">
        <v>0</v>
      </c>
      <c r="C566">
        <v>0</v>
      </c>
      <c r="D566">
        <v>381</v>
      </c>
      <c r="E566" t="s">
        <v>827</v>
      </c>
      <c r="F566" t="s">
        <v>5762</v>
      </c>
      <c r="G566" t="s">
        <v>57</v>
      </c>
      <c r="H566">
        <v>428831</v>
      </c>
      <c r="I566">
        <v>429976</v>
      </c>
      <c r="J566" t="s">
        <v>828</v>
      </c>
      <c r="K566">
        <v>382</v>
      </c>
      <c r="L566" t="s">
        <v>59</v>
      </c>
      <c r="M566">
        <v>5</v>
      </c>
      <c r="N566" t="str">
        <f>HYPERLINK("Gene381-zp_tree_all.dnd", "Gene381-tree")</f>
        <v>Gene381-tree</v>
      </c>
      <c r="O566">
        <v>2</v>
      </c>
      <c r="P566">
        <v>3</v>
      </c>
      <c r="Q566">
        <v>2</v>
      </c>
      <c r="R566">
        <v>3</v>
      </c>
      <c r="S566">
        <v>0.6</v>
      </c>
      <c r="T566" t="s">
        <v>135</v>
      </c>
      <c r="U566" t="s">
        <v>84</v>
      </c>
      <c r="V566" t="s">
        <v>62</v>
      </c>
      <c r="W566" t="s">
        <v>62</v>
      </c>
      <c r="X566">
        <v>0</v>
      </c>
      <c r="Y566">
        <v>0</v>
      </c>
      <c r="Z566">
        <v>9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3</v>
      </c>
      <c r="AK566">
        <v>0</v>
      </c>
      <c r="AL566">
        <v>4</v>
      </c>
      <c r="AM566">
        <v>2</v>
      </c>
      <c r="AN566">
        <v>21</v>
      </c>
      <c r="AO566">
        <v>3</v>
      </c>
      <c r="AP566">
        <v>30</v>
      </c>
      <c r="AQ566">
        <v>6</v>
      </c>
      <c r="AR566" t="s">
        <v>829</v>
      </c>
      <c r="AS566" t="s">
        <v>830</v>
      </c>
      <c r="AT566">
        <v>0.19400000000000001</v>
      </c>
      <c r="AU566" t="s">
        <v>65</v>
      </c>
      <c r="AV566">
        <v>51</v>
      </c>
      <c r="AW566">
        <v>9</v>
      </c>
      <c r="AX566" t="s">
        <v>831</v>
      </c>
      <c r="AY566" t="s">
        <v>832</v>
      </c>
      <c r="AZ566" t="s">
        <v>833</v>
      </c>
      <c r="BA566">
        <v>4.6309999999999997E-2</v>
      </c>
      <c r="BB566">
        <v>1</v>
      </c>
      <c r="BC566" t="s">
        <v>69</v>
      </c>
      <c r="BD566">
        <v>0.66200000000000003</v>
      </c>
      <c r="BE566">
        <v>0.66200000000000003</v>
      </c>
    </row>
    <row r="567" spans="1:57">
      <c r="A567">
        <v>0</v>
      </c>
      <c r="B567">
        <v>0</v>
      </c>
      <c r="C567">
        <v>0</v>
      </c>
      <c r="D567">
        <v>382</v>
      </c>
      <c r="E567" t="s">
        <v>834</v>
      </c>
      <c r="F567" t="s">
        <v>5762</v>
      </c>
      <c r="G567" t="s">
        <v>57</v>
      </c>
      <c r="H567">
        <v>429963</v>
      </c>
      <c r="I567">
        <v>430082</v>
      </c>
      <c r="J567" t="s">
        <v>835</v>
      </c>
      <c r="K567">
        <v>40</v>
      </c>
      <c r="L567" t="s">
        <v>59</v>
      </c>
      <c r="M567">
        <v>5</v>
      </c>
      <c r="N567" t="str">
        <f>HYPERLINK("Gene382-zp_tree_all.dnd", "Gene382-tree")</f>
        <v>Gene382-tree</v>
      </c>
    </row>
    <row r="568" spans="1:57">
      <c r="A568">
        <v>0</v>
      </c>
      <c r="B568">
        <v>0</v>
      </c>
      <c r="C568">
        <v>0</v>
      </c>
      <c r="D568">
        <v>386</v>
      </c>
      <c r="E568" t="s">
        <v>836</v>
      </c>
      <c r="F568" t="s">
        <v>5762</v>
      </c>
      <c r="G568" t="s">
        <v>57</v>
      </c>
      <c r="H568">
        <v>432372</v>
      </c>
      <c r="I568">
        <v>433319</v>
      </c>
      <c r="J568" t="s">
        <v>837</v>
      </c>
      <c r="K568">
        <v>316</v>
      </c>
      <c r="L568" t="s">
        <v>59</v>
      </c>
      <c r="M568">
        <v>5</v>
      </c>
      <c r="N568" t="str">
        <f>HYPERLINK("Gene386-zp_tree_all.dnd", "Gene386-tree")</f>
        <v>Gene386-tree</v>
      </c>
      <c r="O568">
        <v>2</v>
      </c>
      <c r="P568">
        <v>3</v>
      </c>
      <c r="Q568">
        <v>2</v>
      </c>
      <c r="R568">
        <v>3</v>
      </c>
      <c r="S568">
        <v>0.6</v>
      </c>
      <c r="T568" t="s">
        <v>135</v>
      </c>
      <c r="U568" t="s">
        <v>84</v>
      </c>
      <c r="V568" t="s">
        <v>62</v>
      </c>
      <c r="W568" t="s">
        <v>62</v>
      </c>
      <c r="X568">
        <v>0</v>
      </c>
      <c r="Y568">
        <v>0</v>
      </c>
      <c r="Z568">
        <v>6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4</v>
      </c>
      <c r="AK568">
        <v>0</v>
      </c>
      <c r="AL568">
        <v>5</v>
      </c>
      <c r="AM568">
        <v>2</v>
      </c>
      <c r="AN568">
        <v>32</v>
      </c>
      <c r="AO568">
        <v>4</v>
      </c>
      <c r="AP568">
        <v>16</v>
      </c>
      <c r="AQ568">
        <v>2</v>
      </c>
      <c r="AR568" t="s">
        <v>838</v>
      </c>
      <c r="AS568" t="s">
        <v>839</v>
      </c>
      <c r="AT568">
        <v>1.0999999999999999E-2</v>
      </c>
      <c r="AU568" t="s">
        <v>65</v>
      </c>
      <c r="AV568">
        <v>48</v>
      </c>
      <c r="AW568">
        <v>6</v>
      </c>
      <c r="AX568" t="s">
        <v>840</v>
      </c>
      <c r="AY568" t="s">
        <v>841</v>
      </c>
      <c r="AZ568" t="s">
        <v>842</v>
      </c>
      <c r="BA568">
        <v>4.0750000000000001E-2</v>
      </c>
      <c r="BB568">
        <v>1</v>
      </c>
      <c r="BC568" t="s">
        <v>69</v>
      </c>
      <c r="BD568">
        <v>9.4E-2</v>
      </c>
      <c r="BE568">
        <v>-6.3E-2</v>
      </c>
    </row>
    <row r="569" spans="1:57">
      <c r="A569">
        <v>0</v>
      </c>
      <c r="B569">
        <v>0</v>
      </c>
      <c r="C569">
        <v>0</v>
      </c>
      <c r="D569">
        <v>387</v>
      </c>
      <c r="E569" t="s">
        <v>843</v>
      </c>
      <c r="F569" t="s">
        <v>5762</v>
      </c>
      <c r="G569" t="s">
        <v>57</v>
      </c>
      <c r="H569">
        <v>433315</v>
      </c>
      <c r="I569">
        <v>434259</v>
      </c>
      <c r="J569" t="s">
        <v>837</v>
      </c>
      <c r="K569">
        <v>315</v>
      </c>
      <c r="L569" t="s">
        <v>59</v>
      </c>
      <c r="M569">
        <v>5</v>
      </c>
      <c r="N569" t="str">
        <f>HYPERLINK("Gene387-zp_tree_all.dnd", "Gene387-tree")</f>
        <v>Gene387-tree</v>
      </c>
      <c r="O569">
        <v>3</v>
      </c>
      <c r="P569">
        <v>2</v>
      </c>
      <c r="Q569">
        <v>3</v>
      </c>
      <c r="R569">
        <v>2</v>
      </c>
      <c r="S569">
        <v>0.4</v>
      </c>
      <c r="T569" t="s">
        <v>84</v>
      </c>
      <c r="U569" t="s">
        <v>135</v>
      </c>
      <c r="V569" t="s">
        <v>62</v>
      </c>
      <c r="W569" t="s">
        <v>62</v>
      </c>
      <c r="X569">
        <v>0</v>
      </c>
      <c r="Y569">
        <v>0</v>
      </c>
      <c r="Z569">
        <v>7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3</v>
      </c>
      <c r="AK569">
        <v>0</v>
      </c>
      <c r="AL569">
        <v>5</v>
      </c>
      <c r="AM569">
        <v>2</v>
      </c>
      <c r="AN569">
        <v>20</v>
      </c>
      <c r="AO569">
        <v>3</v>
      </c>
      <c r="AP569">
        <v>25</v>
      </c>
      <c r="AQ569">
        <v>5</v>
      </c>
      <c r="AR569" t="s">
        <v>844</v>
      </c>
      <c r="AS569" t="s">
        <v>845</v>
      </c>
      <c r="AT569">
        <v>0.13900000000000001</v>
      </c>
      <c r="AU569" t="s">
        <v>65</v>
      </c>
      <c r="AV569">
        <v>45</v>
      </c>
      <c r="AW569">
        <v>8</v>
      </c>
      <c r="AX569" t="s">
        <v>846</v>
      </c>
      <c r="AY569" t="s">
        <v>847</v>
      </c>
      <c r="AZ569" t="s">
        <v>848</v>
      </c>
      <c r="BA569">
        <v>5.2979999999999999E-2</v>
      </c>
      <c r="BB569">
        <v>1</v>
      </c>
      <c r="BC569" t="s">
        <v>69</v>
      </c>
      <c r="BD569">
        <v>0.84899999999999998</v>
      </c>
      <c r="BE569">
        <v>0.69199999999999995</v>
      </c>
    </row>
    <row r="570" spans="1:57">
      <c r="A570">
        <v>0</v>
      </c>
      <c r="B570">
        <v>2</v>
      </c>
      <c r="C570">
        <v>0</v>
      </c>
      <c r="D570">
        <v>413</v>
      </c>
      <c r="E570" t="s">
        <v>863</v>
      </c>
      <c r="F570" t="s">
        <v>5762</v>
      </c>
      <c r="G570" t="s">
        <v>57</v>
      </c>
      <c r="H570">
        <v>457023</v>
      </c>
      <c r="I570">
        <v>457793</v>
      </c>
      <c r="J570" t="s">
        <v>864</v>
      </c>
      <c r="K570">
        <v>257</v>
      </c>
      <c r="L570" t="s">
        <v>83</v>
      </c>
      <c r="M570">
        <v>4</v>
      </c>
      <c r="N570" t="str">
        <f>HYPERLINK("Gene413-zp_tree_all.dnd", "Gene413-tree")</f>
        <v>Gene413-tree</v>
      </c>
      <c r="O570">
        <v>0</v>
      </c>
      <c r="P570">
        <v>4</v>
      </c>
      <c r="Q570">
        <v>0</v>
      </c>
      <c r="R570">
        <v>4</v>
      </c>
      <c r="S570">
        <v>1</v>
      </c>
      <c r="T570" t="s">
        <v>62</v>
      </c>
      <c r="U570" t="s">
        <v>60</v>
      </c>
      <c r="V570" t="s">
        <v>62</v>
      </c>
      <c r="W570" t="s">
        <v>62</v>
      </c>
      <c r="X570">
        <v>1</v>
      </c>
      <c r="Y570">
        <v>2</v>
      </c>
      <c r="Z570">
        <v>9</v>
      </c>
      <c r="AA570">
        <v>0.18182000000000001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2</v>
      </c>
      <c r="AH570">
        <v>0</v>
      </c>
      <c r="AI570">
        <v>2</v>
      </c>
      <c r="AJ570">
        <v>7</v>
      </c>
      <c r="AK570">
        <v>0.22222</v>
      </c>
      <c r="AL570">
        <v>4</v>
      </c>
      <c r="AM570">
        <v>1</v>
      </c>
      <c r="AN570">
        <v>40</v>
      </c>
      <c r="AO570">
        <v>9</v>
      </c>
      <c r="AP570">
        <v>0</v>
      </c>
      <c r="AQ570">
        <v>2</v>
      </c>
      <c r="AR570" t="s">
        <v>865</v>
      </c>
      <c r="AS570" t="s">
        <v>64</v>
      </c>
      <c r="AT570">
        <v>1.0029999999999999</v>
      </c>
      <c r="AU570" t="s">
        <v>65</v>
      </c>
      <c r="AV570">
        <v>40</v>
      </c>
      <c r="AW570">
        <v>11</v>
      </c>
      <c r="AX570" t="s">
        <v>866</v>
      </c>
      <c r="AY570" t="s">
        <v>867</v>
      </c>
      <c r="AZ570" t="s">
        <v>868</v>
      </c>
      <c r="BA570">
        <v>8.1049999999999997E-2</v>
      </c>
      <c r="BB570">
        <v>1</v>
      </c>
      <c r="BC570" t="s">
        <v>69</v>
      </c>
      <c r="BD570">
        <v>-0.39300000000000002</v>
      </c>
      <c r="BE570">
        <v>-0.59599999999999997</v>
      </c>
    </row>
    <row r="571" spans="1:57">
      <c r="A571">
        <v>0</v>
      </c>
      <c r="B571">
        <v>0</v>
      </c>
      <c r="C571">
        <v>0</v>
      </c>
      <c r="D571">
        <v>420</v>
      </c>
      <c r="E571" t="s">
        <v>869</v>
      </c>
      <c r="F571" t="s">
        <v>5762</v>
      </c>
      <c r="G571" t="s">
        <v>57</v>
      </c>
      <c r="H571">
        <v>463245</v>
      </c>
      <c r="I571">
        <v>463487</v>
      </c>
      <c r="J571" t="s">
        <v>118</v>
      </c>
      <c r="K571">
        <v>81</v>
      </c>
      <c r="L571" t="s">
        <v>83</v>
      </c>
      <c r="M571">
        <v>4</v>
      </c>
      <c r="N571" t="str">
        <f>HYPERLINK("Gene420-zp_tree_all.dnd", "Gene420-tree")</f>
        <v>Gene420-tree</v>
      </c>
    </row>
    <row r="572" spans="1:57">
      <c r="A572">
        <v>0</v>
      </c>
      <c r="B572">
        <v>0</v>
      </c>
      <c r="C572">
        <v>2</v>
      </c>
      <c r="D572">
        <v>430</v>
      </c>
      <c r="E572" t="s">
        <v>876</v>
      </c>
      <c r="F572" t="s">
        <v>5762</v>
      </c>
      <c r="G572" t="s">
        <v>57</v>
      </c>
      <c r="H572">
        <v>473803</v>
      </c>
      <c r="I572">
        <v>474222</v>
      </c>
      <c r="J572" t="s">
        <v>877</v>
      </c>
      <c r="K572">
        <v>140</v>
      </c>
      <c r="L572" t="s">
        <v>59</v>
      </c>
      <c r="M572">
        <v>5</v>
      </c>
      <c r="N572" t="str">
        <f>HYPERLINK("Gene430-zp_tree_all.dnd", "Gene430-tree")</f>
        <v>Gene430-tree</v>
      </c>
      <c r="O572">
        <v>3</v>
      </c>
      <c r="P572">
        <v>2</v>
      </c>
      <c r="Q572">
        <v>3</v>
      </c>
      <c r="R572">
        <v>2</v>
      </c>
      <c r="S572">
        <v>0.4</v>
      </c>
      <c r="T572" t="s">
        <v>84</v>
      </c>
      <c r="U572" t="s">
        <v>135</v>
      </c>
      <c r="V572" t="s">
        <v>62</v>
      </c>
      <c r="W572" t="s">
        <v>62</v>
      </c>
      <c r="X572">
        <v>1</v>
      </c>
      <c r="Y572">
        <v>2</v>
      </c>
      <c r="Z572">
        <v>3</v>
      </c>
      <c r="AA572">
        <v>0.4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2</v>
      </c>
      <c r="AI572">
        <v>2</v>
      </c>
      <c r="AJ572">
        <v>3</v>
      </c>
      <c r="AK572">
        <v>0.4</v>
      </c>
      <c r="AL572">
        <v>5</v>
      </c>
      <c r="AM572">
        <v>2</v>
      </c>
      <c r="AN572">
        <v>20</v>
      </c>
      <c r="AO572">
        <v>5</v>
      </c>
      <c r="AP572">
        <v>6</v>
      </c>
      <c r="AQ572">
        <v>0</v>
      </c>
      <c r="AR572" t="s">
        <v>878</v>
      </c>
      <c r="AS572" t="s">
        <v>64</v>
      </c>
      <c r="AT572">
        <v>1.107</v>
      </c>
      <c r="AU572" t="s">
        <v>65</v>
      </c>
      <c r="AV572">
        <v>26</v>
      </c>
      <c r="AW572">
        <v>5</v>
      </c>
      <c r="AX572" t="s">
        <v>879</v>
      </c>
      <c r="AY572" t="s">
        <v>880</v>
      </c>
      <c r="AZ572" t="s">
        <v>881</v>
      </c>
      <c r="BA572">
        <v>4.1689999999999998E-2</v>
      </c>
      <c r="BB572">
        <v>1</v>
      </c>
      <c r="BC572" t="s">
        <v>69</v>
      </c>
      <c r="BD572">
        <v>-0.629</v>
      </c>
      <c r="BE572">
        <v>-0.66300000000000003</v>
      </c>
    </row>
    <row r="573" spans="1:57">
      <c r="A573">
        <v>0</v>
      </c>
      <c r="B573">
        <v>0</v>
      </c>
      <c r="C573">
        <v>0</v>
      </c>
      <c r="D573">
        <v>433</v>
      </c>
      <c r="E573" t="s">
        <v>887</v>
      </c>
      <c r="F573" t="s">
        <v>5762</v>
      </c>
      <c r="G573" t="s">
        <v>57</v>
      </c>
      <c r="H573">
        <v>476059</v>
      </c>
      <c r="I573">
        <v>476490</v>
      </c>
      <c r="J573" t="s">
        <v>888</v>
      </c>
      <c r="K573">
        <v>144</v>
      </c>
      <c r="L573" t="s">
        <v>59</v>
      </c>
      <c r="M573">
        <v>5</v>
      </c>
      <c r="N573" t="str">
        <f>HYPERLINK("Gene433-zp_tree_all.dnd", "Gene433-tree")</f>
        <v>Gene433-tree</v>
      </c>
      <c r="O573">
        <v>3</v>
      </c>
      <c r="P573">
        <v>2</v>
      </c>
      <c r="Q573">
        <v>3</v>
      </c>
      <c r="R573">
        <v>2</v>
      </c>
      <c r="S573">
        <v>0.4</v>
      </c>
      <c r="T573" t="s">
        <v>84</v>
      </c>
      <c r="U573" t="s">
        <v>135</v>
      </c>
      <c r="V573" t="s">
        <v>62</v>
      </c>
      <c r="W573" t="s">
        <v>62</v>
      </c>
      <c r="X573">
        <v>0</v>
      </c>
      <c r="Y573">
        <v>0</v>
      </c>
      <c r="Z573">
        <v>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3</v>
      </c>
      <c r="AK573">
        <v>0</v>
      </c>
      <c r="AL573">
        <v>4</v>
      </c>
      <c r="AM573">
        <v>2</v>
      </c>
      <c r="AN573">
        <v>7</v>
      </c>
      <c r="AO573">
        <v>3</v>
      </c>
      <c r="AP573">
        <v>17</v>
      </c>
      <c r="AQ573">
        <v>0</v>
      </c>
      <c r="AR573" t="s">
        <v>889</v>
      </c>
      <c r="AS573" t="s">
        <v>64</v>
      </c>
      <c r="AT573">
        <v>1.3759999999999999</v>
      </c>
      <c r="AU573" t="s">
        <v>65</v>
      </c>
      <c r="AV573">
        <v>24</v>
      </c>
      <c r="AW573">
        <v>3</v>
      </c>
      <c r="AX573" t="s">
        <v>890</v>
      </c>
      <c r="AY573" t="s">
        <v>891</v>
      </c>
      <c r="AZ573" t="s">
        <v>892</v>
      </c>
      <c r="BA573">
        <v>2.349E-2</v>
      </c>
      <c r="BB573">
        <v>1</v>
      </c>
      <c r="BC573" t="s">
        <v>69</v>
      </c>
      <c r="BD573">
        <v>0.71399999999999997</v>
      </c>
      <c r="BE573">
        <v>0.71399999999999997</v>
      </c>
    </row>
    <row r="574" spans="1:57">
      <c r="A574">
        <v>0</v>
      </c>
      <c r="B574">
        <v>0</v>
      </c>
      <c r="C574">
        <v>0</v>
      </c>
      <c r="D574">
        <v>438</v>
      </c>
      <c r="E574" t="s">
        <v>893</v>
      </c>
      <c r="F574" t="s">
        <v>5762</v>
      </c>
      <c r="G574" t="s">
        <v>57</v>
      </c>
      <c r="H574">
        <v>482577</v>
      </c>
      <c r="I574">
        <v>483836</v>
      </c>
      <c r="J574" t="s">
        <v>894</v>
      </c>
      <c r="K574">
        <v>420</v>
      </c>
      <c r="L574" t="s">
        <v>83</v>
      </c>
      <c r="M574">
        <v>4</v>
      </c>
      <c r="N574" t="str">
        <f>HYPERLINK("Gene438-zp_tree_all.dnd", "Gene438-tree")</f>
        <v>Gene438-tree</v>
      </c>
    </row>
    <row r="575" spans="1:57">
      <c r="A575">
        <v>0</v>
      </c>
      <c r="B575">
        <v>2</v>
      </c>
      <c r="C575">
        <v>2</v>
      </c>
      <c r="D575">
        <v>448</v>
      </c>
      <c r="E575" t="s">
        <v>895</v>
      </c>
      <c r="F575" t="s">
        <v>5762</v>
      </c>
      <c r="G575" t="s">
        <v>57</v>
      </c>
      <c r="H575">
        <v>494506</v>
      </c>
      <c r="I575">
        <v>494874</v>
      </c>
      <c r="J575" t="s">
        <v>896</v>
      </c>
      <c r="K575">
        <v>123</v>
      </c>
      <c r="L575" t="s">
        <v>59</v>
      </c>
      <c r="M575">
        <v>5</v>
      </c>
      <c r="N575" t="str">
        <f>HYPERLINK("Gene448-zp_tree_all.dnd", "Gene448-tree")</f>
        <v>Gene448-tree</v>
      </c>
      <c r="O575">
        <v>1</v>
      </c>
      <c r="P575">
        <v>4</v>
      </c>
      <c r="Q575">
        <v>1</v>
      </c>
      <c r="R575">
        <v>4</v>
      </c>
      <c r="S575">
        <v>0.8</v>
      </c>
      <c r="T575" t="s">
        <v>61</v>
      </c>
      <c r="U575" t="s">
        <v>60</v>
      </c>
      <c r="V575" t="s">
        <v>62</v>
      </c>
      <c r="W575" t="s">
        <v>62</v>
      </c>
      <c r="X575">
        <v>2</v>
      </c>
      <c r="Y575">
        <v>4</v>
      </c>
      <c r="Z575">
        <v>2</v>
      </c>
      <c r="AA575">
        <v>0.66666999999999998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2</v>
      </c>
      <c r="AI575">
        <v>2</v>
      </c>
      <c r="AJ575">
        <v>3</v>
      </c>
      <c r="AK575">
        <v>0.4</v>
      </c>
      <c r="AL575">
        <v>5</v>
      </c>
      <c r="AM575">
        <v>2</v>
      </c>
      <c r="AN575">
        <v>16</v>
      </c>
      <c r="AO575">
        <v>5</v>
      </c>
      <c r="AP575">
        <v>7</v>
      </c>
      <c r="AQ575">
        <v>1</v>
      </c>
      <c r="AR575" t="s">
        <v>897</v>
      </c>
      <c r="AS575" t="s">
        <v>898</v>
      </c>
      <c r="AT575">
        <v>1.216</v>
      </c>
      <c r="AU575" t="s">
        <v>65</v>
      </c>
      <c r="AV575">
        <v>23</v>
      </c>
      <c r="AW575">
        <v>6</v>
      </c>
      <c r="AX575" t="s">
        <v>899</v>
      </c>
      <c r="AY575" t="s">
        <v>900</v>
      </c>
      <c r="AZ575" t="s">
        <v>901</v>
      </c>
      <c r="BA575">
        <v>4.666E-2</v>
      </c>
      <c r="BB575">
        <v>1</v>
      </c>
      <c r="BC575" t="s">
        <v>69</v>
      </c>
      <c r="BD575">
        <v>0.24199999999999999</v>
      </c>
      <c r="BE575">
        <v>-0.43</v>
      </c>
    </row>
    <row r="576" spans="1:57">
      <c r="A576">
        <v>0</v>
      </c>
      <c r="B576">
        <v>2</v>
      </c>
      <c r="C576">
        <v>0</v>
      </c>
      <c r="D576">
        <v>455</v>
      </c>
      <c r="E576" t="s">
        <v>902</v>
      </c>
      <c r="F576" t="s">
        <v>5762</v>
      </c>
      <c r="G576" t="s">
        <v>57</v>
      </c>
      <c r="H576">
        <v>500166</v>
      </c>
      <c r="I576">
        <v>501428</v>
      </c>
      <c r="J576" t="s">
        <v>903</v>
      </c>
      <c r="K576">
        <v>421</v>
      </c>
      <c r="L576" t="s">
        <v>59</v>
      </c>
      <c r="M576">
        <v>5</v>
      </c>
      <c r="N576" t="str">
        <f>HYPERLINK("Gene455-zp_tree_all.dnd", "Gene455-tree")</f>
        <v>Gene455-tree</v>
      </c>
      <c r="O576">
        <v>2</v>
      </c>
      <c r="P576">
        <v>3</v>
      </c>
      <c r="Q576">
        <v>2</v>
      </c>
      <c r="R576">
        <v>3</v>
      </c>
      <c r="S576">
        <v>0.6</v>
      </c>
      <c r="T576" t="s">
        <v>135</v>
      </c>
      <c r="U576" t="s">
        <v>84</v>
      </c>
      <c r="V576" t="s">
        <v>62</v>
      </c>
      <c r="W576" t="s">
        <v>62</v>
      </c>
      <c r="X576">
        <v>1</v>
      </c>
      <c r="Y576">
        <v>2</v>
      </c>
      <c r="Z576">
        <v>4</v>
      </c>
      <c r="AA576">
        <v>0.33333000000000002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3</v>
      </c>
      <c r="AK576">
        <v>0</v>
      </c>
      <c r="AL576">
        <v>5</v>
      </c>
      <c r="AM576">
        <v>2</v>
      </c>
      <c r="AN576">
        <v>34</v>
      </c>
      <c r="AO576">
        <v>3</v>
      </c>
      <c r="AP576">
        <v>40</v>
      </c>
      <c r="AQ576">
        <v>3</v>
      </c>
      <c r="AR576" t="s">
        <v>904</v>
      </c>
      <c r="AS576" t="s">
        <v>905</v>
      </c>
      <c r="AT576">
        <v>0.19800000000000001</v>
      </c>
      <c r="AU576" t="s">
        <v>65</v>
      </c>
      <c r="AV576">
        <v>74</v>
      </c>
      <c r="AW576">
        <v>6</v>
      </c>
      <c r="AX576" t="s">
        <v>906</v>
      </c>
      <c r="AY576" t="s">
        <v>907</v>
      </c>
      <c r="AZ576" t="s">
        <v>908</v>
      </c>
      <c r="BA576">
        <v>1.9970000000000002E-2</v>
      </c>
      <c r="BB576">
        <v>1</v>
      </c>
      <c r="BC576" t="s">
        <v>69</v>
      </c>
      <c r="BD576">
        <v>0.63200000000000001</v>
      </c>
      <c r="BE576">
        <v>0.33700000000000002</v>
      </c>
    </row>
    <row r="577" spans="1:57">
      <c r="A577">
        <v>0</v>
      </c>
      <c r="B577">
        <v>0</v>
      </c>
      <c r="C577">
        <v>0</v>
      </c>
      <c r="D577">
        <v>459</v>
      </c>
      <c r="E577" t="s">
        <v>909</v>
      </c>
      <c r="F577" t="s">
        <v>5762</v>
      </c>
      <c r="G577" t="s">
        <v>57</v>
      </c>
      <c r="H577">
        <v>504689</v>
      </c>
      <c r="I577">
        <v>505021</v>
      </c>
      <c r="J577" t="s">
        <v>910</v>
      </c>
      <c r="K577">
        <v>111</v>
      </c>
      <c r="L577" t="s">
        <v>59</v>
      </c>
      <c r="M577">
        <v>5</v>
      </c>
      <c r="N577" t="str">
        <f>HYPERLINK("Gene459-zp_tree_all.dnd", "Gene459-tree")</f>
        <v>Gene459-tree</v>
      </c>
      <c r="O577">
        <v>4</v>
      </c>
      <c r="P577">
        <v>1</v>
      </c>
      <c r="Q577">
        <v>3</v>
      </c>
      <c r="R577">
        <v>1</v>
      </c>
      <c r="S577">
        <v>0.25</v>
      </c>
      <c r="T577" t="s">
        <v>119</v>
      </c>
      <c r="U577" t="s">
        <v>61</v>
      </c>
      <c r="V577" t="s">
        <v>62</v>
      </c>
      <c r="W577" t="s">
        <v>62</v>
      </c>
      <c r="X577">
        <v>0</v>
      </c>
      <c r="Y577">
        <v>0</v>
      </c>
      <c r="Z577">
        <v>1</v>
      </c>
      <c r="AA577">
        <v>0</v>
      </c>
      <c r="AB577">
        <v>0</v>
      </c>
      <c r="AC577">
        <v>0</v>
      </c>
      <c r="AD577">
        <v>0</v>
      </c>
      <c r="AE577">
        <v>2</v>
      </c>
      <c r="AF577">
        <v>0</v>
      </c>
      <c r="AG577">
        <v>0</v>
      </c>
      <c r="AH577">
        <v>0</v>
      </c>
      <c r="AI577">
        <v>0</v>
      </c>
      <c r="AJ577">
        <v>1</v>
      </c>
      <c r="AK577">
        <v>0</v>
      </c>
      <c r="AL577">
        <v>4</v>
      </c>
      <c r="AM577">
        <v>1</v>
      </c>
      <c r="AN577">
        <v>9</v>
      </c>
      <c r="AO577">
        <v>1</v>
      </c>
      <c r="AP577">
        <v>7</v>
      </c>
      <c r="AQ577">
        <v>1</v>
      </c>
      <c r="AR577" t="s">
        <v>911</v>
      </c>
      <c r="AS577" t="s">
        <v>912</v>
      </c>
      <c r="AT577">
        <v>0.15</v>
      </c>
      <c r="AU577" t="s">
        <v>65</v>
      </c>
      <c r="AV577">
        <v>16</v>
      </c>
      <c r="AW577">
        <v>2</v>
      </c>
      <c r="AX577" t="s">
        <v>913</v>
      </c>
      <c r="AY577" t="s">
        <v>914</v>
      </c>
      <c r="AZ577" t="s">
        <v>915</v>
      </c>
      <c r="BA577">
        <v>3.8699999999999998E-2</v>
      </c>
      <c r="BB577">
        <v>1</v>
      </c>
      <c r="BC577" t="s">
        <v>69</v>
      </c>
      <c r="BD577">
        <v>0.66600000000000004</v>
      </c>
      <c r="BE577">
        <v>0.216</v>
      </c>
    </row>
    <row r="578" spans="1:57">
      <c r="A578">
        <v>0</v>
      </c>
      <c r="B578">
        <v>0</v>
      </c>
      <c r="C578">
        <v>0</v>
      </c>
      <c r="D578">
        <v>465</v>
      </c>
      <c r="E578" t="s">
        <v>933</v>
      </c>
      <c r="F578" t="s">
        <v>5762</v>
      </c>
      <c r="G578" t="s">
        <v>57</v>
      </c>
      <c r="H578">
        <v>508248</v>
      </c>
      <c r="I578">
        <v>509309</v>
      </c>
      <c r="J578" t="s">
        <v>934</v>
      </c>
      <c r="K578">
        <v>354</v>
      </c>
      <c r="L578" t="s">
        <v>59</v>
      </c>
      <c r="M578">
        <v>5</v>
      </c>
      <c r="N578" t="str">
        <f>HYPERLINK("Gene465-zp_tree_all.dnd", "Gene465-tree")</f>
        <v>Gene465-tree</v>
      </c>
      <c r="O578">
        <v>2</v>
      </c>
      <c r="P578">
        <v>3</v>
      </c>
      <c r="Q578">
        <v>2</v>
      </c>
      <c r="R578">
        <v>3</v>
      </c>
      <c r="S578">
        <v>0.6</v>
      </c>
      <c r="T578" t="s">
        <v>135</v>
      </c>
      <c r="U578" t="s">
        <v>84</v>
      </c>
      <c r="V578" t="s">
        <v>62</v>
      </c>
      <c r="W578" t="s">
        <v>62</v>
      </c>
      <c r="X578">
        <v>0</v>
      </c>
      <c r="Y578">
        <v>0</v>
      </c>
      <c r="Z578">
        <v>8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6</v>
      </c>
      <c r="AK578">
        <v>0</v>
      </c>
      <c r="AL578">
        <v>5</v>
      </c>
      <c r="AM578">
        <v>2</v>
      </c>
      <c r="AN578">
        <v>40</v>
      </c>
      <c r="AO578">
        <v>7</v>
      </c>
      <c r="AP578">
        <v>22</v>
      </c>
      <c r="AQ578">
        <v>2</v>
      </c>
      <c r="AR578" t="s">
        <v>935</v>
      </c>
      <c r="AS578" t="s">
        <v>936</v>
      </c>
      <c r="AT578">
        <v>0.505</v>
      </c>
      <c r="AU578" t="s">
        <v>65</v>
      </c>
      <c r="AV578">
        <v>62</v>
      </c>
      <c r="AW578">
        <v>9</v>
      </c>
      <c r="AX578" t="s">
        <v>937</v>
      </c>
      <c r="AY578" t="s">
        <v>938</v>
      </c>
      <c r="AZ578" t="s">
        <v>939</v>
      </c>
      <c r="BA578">
        <v>3.9879999999999999E-2</v>
      </c>
      <c r="BB578">
        <v>1</v>
      </c>
      <c r="BC578" t="s">
        <v>69</v>
      </c>
      <c r="BD578">
        <v>5.0000000000000001E-3</v>
      </c>
      <c r="BE578">
        <v>-0.115</v>
      </c>
    </row>
    <row r="579" spans="1:57">
      <c r="A579">
        <v>0</v>
      </c>
      <c r="B579">
        <v>0</v>
      </c>
      <c r="C579">
        <v>0</v>
      </c>
      <c r="D579">
        <v>467</v>
      </c>
      <c r="E579" t="s">
        <v>940</v>
      </c>
      <c r="F579" t="s">
        <v>5762</v>
      </c>
      <c r="G579" t="s">
        <v>57</v>
      </c>
      <c r="H579">
        <v>511157</v>
      </c>
      <c r="I579">
        <v>512638</v>
      </c>
      <c r="J579" t="s">
        <v>941</v>
      </c>
      <c r="K579">
        <v>494</v>
      </c>
      <c r="L579" t="s">
        <v>59</v>
      </c>
      <c r="M579">
        <v>5</v>
      </c>
      <c r="N579" t="str">
        <f>HYPERLINK("Gene467-zp_tree_all.dnd", "Gene467-tree")</f>
        <v>Gene467-tree</v>
      </c>
      <c r="O579">
        <v>3</v>
      </c>
      <c r="P579">
        <v>2</v>
      </c>
      <c r="Q579">
        <v>2</v>
      </c>
      <c r="R579">
        <v>2</v>
      </c>
      <c r="S579">
        <v>0.5</v>
      </c>
      <c r="T579" t="s">
        <v>217</v>
      </c>
      <c r="U579" t="s">
        <v>135</v>
      </c>
      <c r="V579" t="s">
        <v>62</v>
      </c>
      <c r="W579" t="s">
        <v>62</v>
      </c>
      <c r="X579">
        <v>0</v>
      </c>
      <c r="Y579">
        <v>0</v>
      </c>
      <c r="Z579">
        <v>6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4</v>
      </c>
      <c r="AK579">
        <v>0</v>
      </c>
      <c r="AL579">
        <v>4</v>
      </c>
      <c r="AM579">
        <v>1</v>
      </c>
      <c r="AN579">
        <v>62</v>
      </c>
      <c r="AO579">
        <v>4</v>
      </c>
      <c r="AP579">
        <v>22</v>
      </c>
      <c r="AQ579">
        <v>2</v>
      </c>
      <c r="AR579" t="s">
        <v>942</v>
      </c>
      <c r="AS579" t="s">
        <v>943</v>
      </c>
      <c r="AT579">
        <v>0.36399999999999999</v>
      </c>
      <c r="AU579" t="s">
        <v>65</v>
      </c>
      <c r="AV579">
        <v>84</v>
      </c>
      <c r="AW579">
        <v>6</v>
      </c>
      <c r="AX579" t="s">
        <v>944</v>
      </c>
      <c r="AY579" t="s">
        <v>945</v>
      </c>
      <c r="AZ579" t="s">
        <v>946</v>
      </c>
      <c r="BA579">
        <v>2.138E-2</v>
      </c>
      <c r="BB579">
        <v>1</v>
      </c>
      <c r="BC579" t="s">
        <v>69</v>
      </c>
      <c r="BD579">
        <v>-1.2E-2</v>
      </c>
      <c r="BE579">
        <v>-0.30099999999999999</v>
      </c>
    </row>
    <row r="580" spans="1:57">
      <c r="A580">
        <v>0</v>
      </c>
      <c r="B580">
        <v>0</v>
      </c>
      <c r="C580">
        <v>0</v>
      </c>
      <c r="D580">
        <v>474</v>
      </c>
      <c r="E580" t="s">
        <v>947</v>
      </c>
      <c r="F580" t="s">
        <v>5762</v>
      </c>
      <c r="G580" t="s">
        <v>57</v>
      </c>
      <c r="H580">
        <v>518657</v>
      </c>
      <c r="I580">
        <v>518935</v>
      </c>
      <c r="J580" t="s">
        <v>948</v>
      </c>
      <c r="K580">
        <v>93</v>
      </c>
      <c r="L580" t="s">
        <v>59</v>
      </c>
      <c r="M580">
        <v>5</v>
      </c>
      <c r="N580" t="str">
        <f>HYPERLINK("Gene474-zp_tree_all.dnd", "Gene474-tree")</f>
        <v>Gene474-tree</v>
      </c>
    </row>
    <row r="581" spans="1:57">
      <c r="A581">
        <v>0</v>
      </c>
      <c r="B581">
        <v>0</v>
      </c>
      <c r="C581">
        <v>0</v>
      </c>
      <c r="D581">
        <v>475</v>
      </c>
      <c r="E581" t="s">
        <v>949</v>
      </c>
      <c r="F581" t="s">
        <v>5762</v>
      </c>
      <c r="G581" t="s">
        <v>57</v>
      </c>
      <c r="H581">
        <v>518943</v>
      </c>
      <c r="I581">
        <v>519290</v>
      </c>
      <c r="J581" t="s">
        <v>950</v>
      </c>
      <c r="K581">
        <v>116</v>
      </c>
      <c r="L581" t="s">
        <v>59</v>
      </c>
      <c r="M581">
        <v>5</v>
      </c>
      <c r="N581" t="str">
        <f>HYPERLINK("Gene475-zp_tree_all.dnd", "Gene475-tree")</f>
        <v>Gene475-tree</v>
      </c>
    </row>
    <row r="582" spans="1:57">
      <c r="A582">
        <v>0</v>
      </c>
      <c r="B582">
        <v>0</v>
      </c>
      <c r="C582">
        <v>0</v>
      </c>
      <c r="D582">
        <v>478</v>
      </c>
      <c r="E582" t="s">
        <v>951</v>
      </c>
      <c r="F582" t="s">
        <v>5762</v>
      </c>
      <c r="G582" t="s">
        <v>57</v>
      </c>
      <c r="H582">
        <v>520606</v>
      </c>
      <c r="I582">
        <v>521004</v>
      </c>
      <c r="J582" t="s">
        <v>952</v>
      </c>
      <c r="K582">
        <v>133</v>
      </c>
      <c r="L582" t="s">
        <v>112</v>
      </c>
      <c r="M582">
        <v>4</v>
      </c>
      <c r="N582" t="str">
        <f>HYPERLINK("Gene478-zp_tree_all.dnd", "Gene478-tree")</f>
        <v>Gene478-tree</v>
      </c>
    </row>
    <row r="583" spans="1:57">
      <c r="A583">
        <v>0</v>
      </c>
      <c r="B583">
        <v>0</v>
      </c>
      <c r="C583">
        <v>0</v>
      </c>
      <c r="D583">
        <v>479</v>
      </c>
      <c r="E583" t="s">
        <v>953</v>
      </c>
      <c r="F583" t="s">
        <v>5762</v>
      </c>
      <c r="G583" t="s">
        <v>57</v>
      </c>
      <c r="H583">
        <v>521019</v>
      </c>
      <c r="I583">
        <v>522023</v>
      </c>
      <c r="J583" t="s">
        <v>954</v>
      </c>
      <c r="K583">
        <v>335</v>
      </c>
      <c r="L583" t="s">
        <v>59</v>
      </c>
      <c r="M583">
        <v>5</v>
      </c>
      <c r="N583" t="str">
        <f>HYPERLINK("Gene479-zp_tree_all.dnd", "Gene479-tree")</f>
        <v>Gene479-tree</v>
      </c>
      <c r="O583">
        <v>3</v>
      </c>
      <c r="P583">
        <v>2</v>
      </c>
      <c r="Q583">
        <v>3</v>
      </c>
      <c r="R583">
        <v>2</v>
      </c>
      <c r="S583">
        <v>0.4</v>
      </c>
      <c r="T583" t="s">
        <v>84</v>
      </c>
      <c r="U583" t="s">
        <v>135</v>
      </c>
      <c r="V583" t="s">
        <v>62</v>
      </c>
      <c r="W583" t="s">
        <v>62</v>
      </c>
      <c r="X583">
        <v>0</v>
      </c>
      <c r="Y583">
        <v>0</v>
      </c>
      <c r="Z583">
        <v>4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2</v>
      </c>
      <c r="AK583">
        <v>0</v>
      </c>
      <c r="AL583">
        <v>4</v>
      </c>
      <c r="AM583">
        <v>2</v>
      </c>
      <c r="AN583">
        <v>30</v>
      </c>
      <c r="AO583">
        <v>2</v>
      </c>
      <c r="AP583">
        <v>35</v>
      </c>
      <c r="AQ583">
        <v>3</v>
      </c>
      <c r="AR583" t="s">
        <v>955</v>
      </c>
      <c r="AS583" t="s">
        <v>956</v>
      </c>
      <c r="AT583">
        <v>0.34899999999999998</v>
      </c>
      <c r="AU583" t="s">
        <v>65</v>
      </c>
      <c r="AV583">
        <v>65</v>
      </c>
      <c r="AW583">
        <v>5</v>
      </c>
      <c r="AX583" t="s">
        <v>957</v>
      </c>
      <c r="AY583" t="s">
        <v>958</v>
      </c>
      <c r="AZ583" t="s">
        <v>959</v>
      </c>
      <c r="BA583">
        <v>2.0109999999999999E-2</v>
      </c>
      <c r="BB583">
        <v>1</v>
      </c>
      <c r="BC583" t="s">
        <v>69</v>
      </c>
      <c r="BD583">
        <v>0.60699999999999998</v>
      </c>
      <c r="BE583">
        <v>0.29099999999999998</v>
      </c>
    </row>
    <row r="584" spans="1:57">
      <c r="A584">
        <v>0</v>
      </c>
      <c r="B584">
        <v>0</v>
      </c>
      <c r="C584">
        <v>0</v>
      </c>
      <c r="D584">
        <v>480</v>
      </c>
      <c r="E584" t="s">
        <v>960</v>
      </c>
      <c r="F584" t="s">
        <v>5762</v>
      </c>
      <c r="G584" t="s">
        <v>57</v>
      </c>
      <c r="H584">
        <v>522088</v>
      </c>
      <c r="I584">
        <v>522414</v>
      </c>
      <c r="J584" t="s">
        <v>961</v>
      </c>
      <c r="K584">
        <v>109</v>
      </c>
      <c r="L584" t="s">
        <v>83</v>
      </c>
      <c r="M584">
        <v>4</v>
      </c>
      <c r="N584" t="str">
        <f>HYPERLINK("Gene480-zp_tree_all.dnd", "Gene480-tree")</f>
        <v>Gene480-tree</v>
      </c>
    </row>
    <row r="585" spans="1:57">
      <c r="A585">
        <v>0</v>
      </c>
      <c r="B585">
        <v>0</v>
      </c>
      <c r="C585">
        <v>0</v>
      </c>
      <c r="D585">
        <v>481</v>
      </c>
      <c r="E585" t="s">
        <v>962</v>
      </c>
      <c r="F585" t="s">
        <v>5762</v>
      </c>
      <c r="G585" t="s">
        <v>57</v>
      </c>
      <c r="H585">
        <v>522414</v>
      </c>
      <c r="I585">
        <v>522893</v>
      </c>
      <c r="J585" t="s">
        <v>963</v>
      </c>
      <c r="K585">
        <v>160</v>
      </c>
      <c r="L585" t="s">
        <v>83</v>
      </c>
      <c r="M585">
        <v>4</v>
      </c>
      <c r="N585" t="str">
        <f>HYPERLINK("Gene481-zp_tree_all.dnd", "Gene481-tree")</f>
        <v>Gene481-tree</v>
      </c>
    </row>
    <row r="586" spans="1:57">
      <c r="A586">
        <v>0</v>
      </c>
      <c r="B586">
        <v>0</v>
      </c>
      <c r="C586">
        <v>0</v>
      </c>
      <c r="D586">
        <v>482</v>
      </c>
      <c r="E586" t="s">
        <v>964</v>
      </c>
      <c r="F586" t="s">
        <v>5762</v>
      </c>
      <c r="G586" t="s">
        <v>57</v>
      </c>
      <c r="H586">
        <v>522862</v>
      </c>
      <c r="I586">
        <v>523647</v>
      </c>
      <c r="J586" t="s">
        <v>965</v>
      </c>
      <c r="K586">
        <v>262</v>
      </c>
      <c r="L586" t="s">
        <v>83</v>
      </c>
      <c r="M586">
        <v>4</v>
      </c>
      <c r="N586" t="str">
        <f>HYPERLINK("Gene482-zp_tree_all.dnd", "Gene482-tree")</f>
        <v>Gene482-tree</v>
      </c>
      <c r="O586">
        <v>3</v>
      </c>
      <c r="P586">
        <v>1</v>
      </c>
      <c r="Q586">
        <v>3</v>
      </c>
      <c r="R586">
        <v>1</v>
      </c>
      <c r="S586">
        <v>0.25</v>
      </c>
      <c r="T586" t="s">
        <v>84</v>
      </c>
      <c r="U586" t="s">
        <v>61</v>
      </c>
      <c r="V586" t="s">
        <v>62</v>
      </c>
      <c r="W586" t="s">
        <v>62</v>
      </c>
      <c r="X586">
        <v>0</v>
      </c>
      <c r="Y586">
        <v>0</v>
      </c>
      <c r="Z586">
        <v>4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4</v>
      </c>
      <c r="AK586">
        <v>0</v>
      </c>
      <c r="AL586">
        <v>4</v>
      </c>
      <c r="AM586">
        <v>1</v>
      </c>
      <c r="AN586">
        <v>29</v>
      </c>
      <c r="AO586">
        <v>4</v>
      </c>
      <c r="AP586">
        <v>6</v>
      </c>
      <c r="AQ586">
        <v>0</v>
      </c>
      <c r="AR586" t="s">
        <v>966</v>
      </c>
      <c r="AS586" t="s">
        <v>64</v>
      </c>
      <c r="AT586">
        <v>0.39400000000000002</v>
      </c>
      <c r="AU586" t="s">
        <v>65</v>
      </c>
      <c r="AV586">
        <v>35</v>
      </c>
      <c r="AW586">
        <v>4</v>
      </c>
      <c r="AX586" t="s">
        <v>967</v>
      </c>
      <c r="AY586" t="s">
        <v>968</v>
      </c>
      <c r="AZ586" t="s">
        <v>969</v>
      </c>
      <c r="BA586">
        <v>2.7539999999999999E-2</v>
      </c>
      <c r="BB586">
        <v>1</v>
      </c>
      <c r="BC586" t="s">
        <v>69</v>
      </c>
      <c r="BD586">
        <v>-0.377</v>
      </c>
      <c r="BE586">
        <v>-0.377</v>
      </c>
    </row>
    <row r="587" spans="1:57">
      <c r="A587">
        <v>0</v>
      </c>
      <c r="B587">
        <v>0</v>
      </c>
      <c r="C587">
        <v>0</v>
      </c>
      <c r="D587">
        <v>483</v>
      </c>
      <c r="E587" t="s">
        <v>970</v>
      </c>
      <c r="F587" t="s">
        <v>5762</v>
      </c>
      <c r="G587" t="s">
        <v>57</v>
      </c>
      <c r="H587">
        <v>523650</v>
      </c>
      <c r="I587">
        <v>524246</v>
      </c>
      <c r="J587" t="s">
        <v>971</v>
      </c>
      <c r="K587">
        <v>199</v>
      </c>
      <c r="L587" t="s">
        <v>112</v>
      </c>
      <c r="M587">
        <v>4</v>
      </c>
      <c r="N587" t="str">
        <f>HYPERLINK("Gene483-zp_tree_all.dnd", "Gene483-tree")</f>
        <v>Gene483-tree</v>
      </c>
      <c r="O587">
        <v>2</v>
      </c>
      <c r="P587">
        <v>2</v>
      </c>
      <c r="Q587">
        <v>2</v>
      </c>
      <c r="R587">
        <v>2</v>
      </c>
      <c r="S587">
        <v>0.5</v>
      </c>
      <c r="T587" t="s">
        <v>135</v>
      </c>
      <c r="U587" t="s">
        <v>135</v>
      </c>
      <c r="V587" t="s">
        <v>62</v>
      </c>
      <c r="W587" t="s">
        <v>62</v>
      </c>
      <c r="X587">
        <v>0</v>
      </c>
      <c r="Y587">
        <v>0</v>
      </c>
      <c r="Z587">
        <v>4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3</v>
      </c>
      <c r="AK587">
        <v>0</v>
      </c>
      <c r="AL587">
        <v>3</v>
      </c>
      <c r="AM587">
        <v>1</v>
      </c>
      <c r="AN587">
        <v>20</v>
      </c>
      <c r="AO587">
        <v>3</v>
      </c>
      <c r="AP587">
        <v>2</v>
      </c>
      <c r="AQ587">
        <v>1</v>
      </c>
      <c r="AR587" t="s">
        <v>972</v>
      </c>
      <c r="AS587" t="s">
        <v>973</v>
      </c>
      <c r="AT587">
        <v>2.09</v>
      </c>
      <c r="AU587" t="s">
        <v>65</v>
      </c>
      <c r="AV587">
        <v>22</v>
      </c>
      <c r="AW587">
        <v>4</v>
      </c>
      <c r="AX587" t="s">
        <v>974</v>
      </c>
      <c r="AY587" t="s">
        <v>975</v>
      </c>
      <c r="AZ587" t="s">
        <v>976</v>
      </c>
      <c r="BA587">
        <v>5.1069999999999997E-2</v>
      </c>
      <c r="BB587">
        <v>1</v>
      </c>
      <c r="BC587" t="s">
        <v>69</v>
      </c>
      <c r="BD587">
        <v>-0.496</v>
      </c>
      <c r="BE587">
        <v>-0.496</v>
      </c>
    </row>
    <row r="588" spans="1:57">
      <c r="A588">
        <v>0</v>
      </c>
      <c r="B588">
        <v>0</v>
      </c>
      <c r="C588">
        <v>0</v>
      </c>
      <c r="D588">
        <v>524</v>
      </c>
      <c r="E588" t="s">
        <v>979</v>
      </c>
      <c r="F588" t="s">
        <v>5762</v>
      </c>
      <c r="G588" t="s">
        <v>57</v>
      </c>
      <c r="H588">
        <v>559264</v>
      </c>
      <c r="I588">
        <v>559461</v>
      </c>
      <c r="J588" t="s">
        <v>980</v>
      </c>
      <c r="K588">
        <v>66</v>
      </c>
      <c r="L588" t="s">
        <v>59</v>
      </c>
      <c r="M588">
        <v>5</v>
      </c>
      <c r="N588" t="str">
        <f>HYPERLINK("Gene524-zp_tree_all.dnd", "Gene524-tree")</f>
        <v>Gene524-tree</v>
      </c>
      <c r="O588">
        <v>3</v>
      </c>
      <c r="P588">
        <v>1</v>
      </c>
      <c r="Q588">
        <v>3</v>
      </c>
      <c r="R588">
        <v>1</v>
      </c>
      <c r="S588">
        <v>0.25</v>
      </c>
      <c r="T588" t="s">
        <v>84</v>
      </c>
      <c r="U588" t="s">
        <v>61</v>
      </c>
      <c r="V588" t="s">
        <v>62</v>
      </c>
      <c r="W588" t="s">
        <v>62</v>
      </c>
      <c r="X588">
        <v>0</v>
      </c>
      <c r="Y588">
        <v>0</v>
      </c>
      <c r="Z588">
        <v>3</v>
      </c>
      <c r="AA588">
        <v>0</v>
      </c>
      <c r="AB588">
        <v>0</v>
      </c>
      <c r="AC588">
        <v>0</v>
      </c>
      <c r="AD588">
        <v>0</v>
      </c>
      <c r="AE588">
        <v>1</v>
      </c>
      <c r="AF588">
        <v>0</v>
      </c>
      <c r="AG588">
        <v>0</v>
      </c>
      <c r="AH588">
        <v>0</v>
      </c>
      <c r="AI588">
        <v>0</v>
      </c>
      <c r="AJ588">
        <v>2</v>
      </c>
      <c r="AK588">
        <v>0</v>
      </c>
      <c r="AL588">
        <v>3</v>
      </c>
      <c r="AM588">
        <v>1</v>
      </c>
      <c r="AN588">
        <v>4</v>
      </c>
      <c r="AO588">
        <v>2</v>
      </c>
      <c r="AP588">
        <v>3</v>
      </c>
      <c r="AQ588">
        <v>1</v>
      </c>
      <c r="AR588" t="s">
        <v>981</v>
      </c>
      <c r="AS588" t="s">
        <v>982</v>
      </c>
      <c r="AT588">
        <v>0.28699999999999998</v>
      </c>
      <c r="AU588" t="s">
        <v>65</v>
      </c>
      <c r="AV588">
        <v>7</v>
      </c>
      <c r="AW588">
        <v>3</v>
      </c>
      <c r="AX588" t="s">
        <v>983</v>
      </c>
      <c r="AY588" t="s">
        <v>984</v>
      </c>
      <c r="AZ588" t="s">
        <v>985</v>
      </c>
      <c r="BA588">
        <v>9.9629999999999996E-2</v>
      </c>
      <c r="BB588">
        <v>1</v>
      </c>
      <c r="BC588" t="s">
        <v>69</v>
      </c>
      <c r="BD588">
        <v>0</v>
      </c>
      <c r="BE588">
        <v>0</v>
      </c>
    </row>
    <row r="589" spans="1:57">
      <c r="A589">
        <v>0</v>
      </c>
      <c r="B589">
        <v>0</v>
      </c>
      <c r="C589">
        <v>0</v>
      </c>
      <c r="D589">
        <v>603</v>
      </c>
      <c r="E589" t="s">
        <v>1027</v>
      </c>
      <c r="F589" t="s">
        <v>5762</v>
      </c>
      <c r="G589" t="s">
        <v>57</v>
      </c>
      <c r="H589">
        <v>630170</v>
      </c>
      <c r="I589">
        <v>630880</v>
      </c>
      <c r="J589" t="s">
        <v>1028</v>
      </c>
      <c r="K589">
        <v>237</v>
      </c>
      <c r="L589" t="s">
        <v>112</v>
      </c>
      <c r="M589">
        <v>4</v>
      </c>
      <c r="N589" t="str">
        <f>HYPERLINK("Gene603-zp_tree_all.dnd", "Gene603-tree")</f>
        <v>Gene603-tree</v>
      </c>
      <c r="O589">
        <v>0</v>
      </c>
      <c r="P589">
        <v>4</v>
      </c>
      <c r="Q589">
        <v>0</v>
      </c>
      <c r="R589">
        <v>4</v>
      </c>
      <c r="S589">
        <v>1</v>
      </c>
      <c r="T589" t="s">
        <v>62</v>
      </c>
      <c r="U589" t="s">
        <v>60</v>
      </c>
      <c r="V589" t="s">
        <v>62</v>
      </c>
      <c r="W589" t="s">
        <v>62</v>
      </c>
      <c r="X589">
        <v>0</v>
      </c>
      <c r="Y589">
        <v>0</v>
      </c>
      <c r="Z589">
        <v>7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6</v>
      </c>
      <c r="AK589">
        <v>0</v>
      </c>
      <c r="AL589">
        <v>3</v>
      </c>
      <c r="AM589">
        <v>1</v>
      </c>
      <c r="AN589">
        <v>29</v>
      </c>
      <c r="AO589">
        <v>6</v>
      </c>
      <c r="AP589">
        <v>5</v>
      </c>
      <c r="AQ589">
        <v>1</v>
      </c>
      <c r="AR589" t="s">
        <v>1029</v>
      </c>
      <c r="AS589" t="s">
        <v>1030</v>
      </c>
      <c r="AT589">
        <v>1.0999999999999999E-2</v>
      </c>
      <c r="AU589" t="s">
        <v>65</v>
      </c>
      <c r="AV589">
        <v>34</v>
      </c>
      <c r="AW589">
        <v>7</v>
      </c>
      <c r="AX589" t="s">
        <v>1031</v>
      </c>
      <c r="AY589" t="s">
        <v>1032</v>
      </c>
      <c r="AZ589" t="s">
        <v>1033</v>
      </c>
      <c r="BA589">
        <v>5.2940000000000001E-2</v>
      </c>
      <c r="BB589">
        <v>1</v>
      </c>
      <c r="BC589" t="s">
        <v>69</v>
      </c>
      <c r="BD589">
        <v>-0.40100000000000002</v>
      </c>
      <c r="BE589">
        <v>-0.40100000000000002</v>
      </c>
    </row>
    <row r="590" spans="1:57">
      <c r="A590">
        <v>0</v>
      </c>
      <c r="B590">
        <v>0</v>
      </c>
      <c r="C590">
        <v>0</v>
      </c>
      <c r="D590">
        <v>612</v>
      </c>
      <c r="E590" t="s">
        <v>1034</v>
      </c>
      <c r="F590" t="s">
        <v>5762</v>
      </c>
      <c r="G590" t="s">
        <v>57</v>
      </c>
      <c r="H590">
        <v>642810</v>
      </c>
      <c r="I590">
        <v>643262</v>
      </c>
      <c r="J590" t="s">
        <v>1035</v>
      </c>
      <c r="K590">
        <v>151</v>
      </c>
      <c r="L590" t="s">
        <v>59</v>
      </c>
      <c r="M590">
        <v>5</v>
      </c>
      <c r="N590" t="str">
        <f>HYPERLINK("Gene612-zp_tree_all.dnd", "Gene612-tree")</f>
        <v>Gene612-tree</v>
      </c>
      <c r="O590">
        <v>2</v>
      </c>
      <c r="P590">
        <v>3</v>
      </c>
      <c r="Q590">
        <v>2</v>
      </c>
      <c r="R590">
        <v>3</v>
      </c>
      <c r="S590">
        <v>0.6</v>
      </c>
      <c r="T590" t="s">
        <v>135</v>
      </c>
      <c r="U590" t="s">
        <v>84</v>
      </c>
      <c r="V590" t="s">
        <v>62</v>
      </c>
      <c r="W590" t="s">
        <v>62</v>
      </c>
      <c r="X590">
        <v>0</v>
      </c>
      <c r="Y590">
        <v>0</v>
      </c>
      <c r="Z590">
        <v>6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4</v>
      </c>
      <c r="AK590">
        <v>0</v>
      </c>
      <c r="AL590">
        <v>3</v>
      </c>
      <c r="AM590">
        <v>2</v>
      </c>
      <c r="AN590">
        <v>13</v>
      </c>
      <c r="AO590">
        <v>3</v>
      </c>
      <c r="AP590">
        <v>8</v>
      </c>
      <c r="AQ590">
        <v>3</v>
      </c>
      <c r="AR590" t="s">
        <v>1036</v>
      </c>
      <c r="AS590" t="s">
        <v>1037</v>
      </c>
      <c r="AT590">
        <v>0.433</v>
      </c>
      <c r="AU590" t="s">
        <v>65</v>
      </c>
      <c r="AV590">
        <v>21</v>
      </c>
      <c r="AW590">
        <v>6</v>
      </c>
      <c r="AX590" t="s">
        <v>1038</v>
      </c>
      <c r="AY590" t="s">
        <v>1039</v>
      </c>
      <c r="AZ590" t="s">
        <v>1040</v>
      </c>
      <c r="BA590">
        <v>8.4909999999999999E-2</v>
      </c>
      <c r="BB590">
        <v>1</v>
      </c>
      <c r="BC590" t="s">
        <v>69</v>
      </c>
      <c r="BD590">
        <v>0.248</v>
      </c>
      <c r="BE590">
        <v>-0.372</v>
      </c>
    </row>
    <row r="591" spans="1:57">
      <c r="A591">
        <v>0</v>
      </c>
      <c r="B591">
        <v>0</v>
      </c>
      <c r="C591">
        <v>0</v>
      </c>
      <c r="D591">
        <v>615</v>
      </c>
      <c r="E591" t="s">
        <v>1041</v>
      </c>
      <c r="F591" t="s">
        <v>5762</v>
      </c>
      <c r="G591" t="s">
        <v>57</v>
      </c>
      <c r="H591">
        <v>646582</v>
      </c>
      <c r="I591">
        <v>647091</v>
      </c>
      <c r="J591" t="s">
        <v>1042</v>
      </c>
      <c r="K591">
        <v>170</v>
      </c>
      <c r="L591" t="s">
        <v>59</v>
      </c>
      <c r="M591">
        <v>5</v>
      </c>
      <c r="N591" t="str">
        <f>HYPERLINK("Gene615-zp_tree_all.dnd", "Gene615-tree")</f>
        <v>Gene615-tree</v>
      </c>
      <c r="O591">
        <v>3</v>
      </c>
      <c r="P591">
        <v>2</v>
      </c>
      <c r="Q591">
        <v>3</v>
      </c>
      <c r="R591">
        <v>2</v>
      </c>
      <c r="S591">
        <v>0.4</v>
      </c>
      <c r="T591" t="s">
        <v>84</v>
      </c>
      <c r="U591" t="s">
        <v>135</v>
      </c>
      <c r="V591" t="s">
        <v>62</v>
      </c>
      <c r="W591" t="s">
        <v>62</v>
      </c>
      <c r="X591">
        <v>0</v>
      </c>
      <c r="Y591">
        <v>0</v>
      </c>
      <c r="Z591">
        <v>3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3</v>
      </c>
      <c r="AK591">
        <v>0</v>
      </c>
      <c r="AL591">
        <v>5</v>
      </c>
      <c r="AM591">
        <v>2</v>
      </c>
      <c r="AN591">
        <v>23</v>
      </c>
      <c r="AO591">
        <v>3</v>
      </c>
      <c r="AP591">
        <v>4</v>
      </c>
      <c r="AQ591">
        <v>0</v>
      </c>
      <c r="AR591" t="s">
        <v>1043</v>
      </c>
      <c r="AS591" t="s">
        <v>64</v>
      </c>
      <c r="AT591">
        <v>1.0620000000000001</v>
      </c>
      <c r="AU591" t="s">
        <v>65</v>
      </c>
      <c r="AV591">
        <v>27</v>
      </c>
      <c r="AW591">
        <v>3</v>
      </c>
      <c r="AX591" t="s">
        <v>1044</v>
      </c>
      <c r="AY591" t="s">
        <v>1045</v>
      </c>
      <c r="AZ591" t="s">
        <v>1046</v>
      </c>
      <c r="BA591">
        <v>2.8410000000000001E-2</v>
      </c>
      <c r="BB591">
        <v>1</v>
      </c>
      <c r="BC591" t="s">
        <v>69</v>
      </c>
      <c r="BD591">
        <v>-0.68899999999999995</v>
      </c>
      <c r="BE591">
        <v>-0.68899999999999995</v>
      </c>
    </row>
    <row r="592" spans="1:57">
      <c r="A592">
        <v>0</v>
      </c>
      <c r="B592">
        <v>0</v>
      </c>
      <c r="C592">
        <v>0</v>
      </c>
      <c r="D592">
        <v>616</v>
      </c>
      <c r="E592" t="s">
        <v>1047</v>
      </c>
      <c r="F592" t="s">
        <v>5762</v>
      </c>
      <c r="G592" t="s">
        <v>57</v>
      </c>
      <c r="H592">
        <v>647091</v>
      </c>
      <c r="I592">
        <v>647735</v>
      </c>
      <c r="J592" t="s">
        <v>1048</v>
      </c>
      <c r="K592">
        <v>215</v>
      </c>
      <c r="L592" t="s">
        <v>59</v>
      </c>
      <c r="M592">
        <v>5</v>
      </c>
      <c r="N592" t="str">
        <f>HYPERLINK("Gene616-zp_tree_all.dnd", "Gene616-tree")</f>
        <v>Gene616-tree</v>
      </c>
      <c r="O592">
        <v>5</v>
      </c>
      <c r="P592">
        <v>0</v>
      </c>
      <c r="Q592">
        <v>5</v>
      </c>
      <c r="R592">
        <v>0</v>
      </c>
      <c r="S592">
        <v>0</v>
      </c>
      <c r="T592" t="s">
        <v>98</v>
      </c>
      <c r="U592" t="s">
        <v>62</v>
      </c>
      <c r="V592" t="s">
        <v>62</v>
      </c>
      <c r="W592" t="s">
        <v>62</v>
      </c>
      <c r="X592">
        <v>0</v>
      </c>
      <c r="Y592">
        <v>0</v>
      </c>
      <c r="Z592">
        <v>1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5</v>
      </c>
      <c r="AM592">
        <v>2</v>
      </c>
      <c r="AN592">
        <v>14</v>
      </c>
      <c r="AO592">
        <v>0</v>
      </c>
      <c r="AP592">
        <v>11</v>
      </c>
      <c r="AQ592">
        <v>1</v>
      </c>
      <c r="AR592" t="s">
        <v>64</v>
      </c>
      <c r="AS592" t="s">
        <v>1049</v>
      </c>
      <c r="AT592">
        <v>0.84199999999999997</v>
      </c>
      <c r="AU592" t="s">
        <v>65</v>
      </c>
      <c r="AV592">
        <v>25</v>
      </c>
      <c r="AW592">
        <v>1</v>
      </c>
      <c r="AX592" t="s">
        <v>1050</v>
      </c>
      <c r="AY592" t="s">
        <v>1051</v>
      </c>
      <c r="AZ592" t="s">
        <v>1052</v>
      </c>
      <c r="BA592">
        <v>1.414E-2</v>
      </c>
      <c r="BB592">
        <v>1</v>
      </c>
      <c r="BC592" t="s">
        <v>69</v>
      </c>
      <c r="BD592">
        <v>0.191</v>
      </c>
      <c r="BE592">
        <v>0.191</v>
      </c>
    </row>
    <row r="593" spans="1:57">
      <c r="A593">
        <v>0</v>
      </c>
      <c r="B593">
        <v>0</v>
      </c>
      <c r="C593">
        <v>0</v>
      </c>
      <c r="D593">
        <v>617</v>
      </c>
      <c r="E593" t="s">
        <v>1053</v>
      </c>
      <c r="F593" t="s">
        <v>5762</v>
      </c>
      <c r="G593" t="s">
        <v>57</v>
      </c>
      <c r="H593">
        <v>647760</v>
      </c>
      <c r="I593">
        <v>647930</v>
      </c>
      <c r="J593" t="s">
        <v>692</v>
      </c>
      <c r="K593">
        <v>57</v>
      </c>
      <c r="L593" t="s">
        <v>59</v>
      </c>
      <c r="M593">
        <v>5</v>
      </c>
      <c r="N593" t="str">
        <f>HYPERLINK("Gene617-zp_tree_all.dnd", "Gene617-tree")</f>
        <v>Gene617-tree</v>
      </c>
      <c r="O593">
        <v>5</v>
      </c>
      <c r="P593">
        <v>0</v>
      </c>
      <c r="Q593">
        <v>5</v>
      </c>
      <c r="R593">
        <v>0</v>
      </c>
      <c r="S593">
        <v>0</v>
      </c>
      <c r="T593" t="s">
        <v>98</v>
      </c>
      <c r="U593" t="s">
        <v>62</v>
      </c>
      <c r="V593" t="s">
        <v>62</v>
      </c>
      <c r="W593" t="s">
        <v>62</v>
      </c>
      <c r="X593">
        <v>0</v>
      </c>
      <c r="Y593">
        <v>0</v>
      </c>
      <c r="Z593">
        <v>1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5</v>
      </c>
      <c r="AM593">
        <v>2</v>
      </c>
      <c r="AN593">
        <v>6</v>
      </c>
      <c r="AO593">
        <v>0</v>
      </c>
      <c r="AP593">
        <v>6</v>
      </c>
      <c r="AQ593">
        <v>1</v>
      </c>
      <c r="AR593" t="s">
        <v>64</v>
      </c>
      <c r="AS593" t="s">
        <v>1054</v>
      </c>
      <c r="AT593">
        <v>1.26</v>
      </c>
      <c r="AU593" t="s">
        <v>65</v>
      </c>
      <c r="AV593">
        <v>12</v>
      </c>
      <c r="AW593">
        <v>1</v>
      </c>
      <c r="AX593" t="s">
        <v>1055</v>
      </c>
      <c r="AY593" t="s">
        <v>1056</v>
      </c>
      <c r="AZ593" t="s">
        <v>1057</v>
      </c>
      <c r="BA593">
        <v>3.1399999999999997E-2</v>
      </c>
      <c r="BB593">
        <v>1</v>
      </c>
      <c r="BC593" t="s">
        <v>69</v>
      </c>
      <c r="BD593">
        <v>1.3420000000000001</v>
      </c>
      <c r="BE593">
        <v>0</v>
      </c>
    </row>
    <row r="594" spans="1:57">
      <c r="A594">
        <v>0</v>
      </c>
      <c r="B594">
        <v>0</v>
      </c>
      <c r="C594">
        <v>0</v>
      </c>
      <c r="D594">
        <v>621</v>
      </c>
      <c r="E594" t="s">
        <v>1059</v>
      </c>
      <c r="F594" t="s">
        <v>5762</v>
      </c>
      <c r="G594" t="s">
        <v>57</v>
      </c>
      <c r="H594">
        <v>649903</v>
      </c>
      <c r="I594">
        <v>650184</v>
      </c>
      <c r="J594" t="s">
        <v>1060</v>
      </c>
      <c r="K594">
        <v>94</v>
      </c>
      <c r="L594" t="s">
        <v>59</v>
      </c>
      <c r="M594">
        <v>5</v>
      </c>
      <c r="N594" t="str">
        <f>HYPERLINK("Gene621-zp_tree_all.dnd", "Gene621-tree")</f>
        <v>Gene621-tree</v>
      </c>
    </row>
    <row r="595" spans="1:57">
      <c r="A595">
        <v>0</v>
      </c>
      <c r="B595">
        <v>0</v>
      </c>
      <c r="C595">
        <v>0</v>
      </c>
      <c r="D595">
        <v>622</v>
      </c>
      <c r="E595" t="s">
        <v>1061</v>
      </c>
      <c r="F595" t="s">
        <v>5762</v>
      </c>
      <c r="G595" t="s">
        <v>57</v>
      </c>
      <c r="H595">
        <v>650234</v>
      </c>
      <c r="I595">
        <v>651865</v>
      </c>
      <c r="J595" t="s">
        <v>1062</v>
      </c>
      <c r="K595">
        <v>544</v>
      </c>
      <c r="L595" t="s">
        <v>59</v>
      </c>
      <c r="M595">
        <v>5</v>
      </c>
      <c r="N595" t="str">
        <f>HYPERLINK("Gene622-zp_tree_all.dnd", "Gene622-tree")</f>
        <v>Gene622-tree</v>
      </c>
      <c r="O595">
        <v>4</v>
      </c>
      <c r="P595">
        <v>1</v>
      </c>
      <c r="Q595">
        <v>4</v>
      </c>
      <c r="R595">
        <v>1</v>
      </c>
      <c r="S595">
        <v>0.2</v>
      </c>
      <c r="T595" t="s">
        <v>60</v>
      </c>
      <c r="U595" t="s">
        <v>61</v>
      </c>
      <c r="V595" t="s">
        <v>62</v>
      </c>
      <c r="W595" t="s">
        <v>62</v>
      </c>
      <c r="X595">
        <v>0</v>
      </c>
      <c r="Y595">
        <v>0</v>
      </c>
      <c r="Z595">
        <v>3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1</v>
      </c>
      <c r="AK595">
        <v>0</v>
      </c>
      <c r="AL595">
        <v>5</v>
      </c>
      <c r="AM595">
        <v>2</v>
      </c>
      <c r="AN595">
        <v>51</v>
      </c>
      <c r="AO595">
        <v>1</v>
      </c>
      <c r="AP595">
        <v>11</v>
      </c>
      <c r="AQ595">
        <v>2</v>
      </c>
      <c r="AR595" t="s">
        <v>1063</v>
      </c>
      <c r="AS595" t="s">
        <v>1064</v>
      </c>
      <c r="AT595">
        <v>1.137</v>
      </c>
      <c r="AU595" t="s">
        <v>65</v>
      </c>
      <c r="AV595">
        <v>62</v>
      </c>
      <c r="AW595">
        <v>3</v>
      </c>
      <c r="AX595" t="s">
        <v>1065</v>
      </c>
      <c r="AY595" t="s">
        <v>1066</v>
      </c>
      <c r="AZ595" t="s">
        <v>1067</v>
      </c>
      <c r="BA595">
        <v>2.001E-2</v>
      </c>
      <c r="BB595">
        <v>1</v>
      </c>
      <c r="BC595" t="s">
        <v>69</v>
      </c>
      <c r="BD595">
        <v>-0.13300000000000001</v>
      </c>
      <c r="BE595">
        <v>-0.28199999999999997</v>
      </c>
    </row>
    <row r="596" spans="1:57">
      <c r="A596">
        <v>0</v>
      </c>
      <c r="B596">
        <v>0</v>
      </c>
      <c r="C596">
        <v>0</v>
      </c>
      <c r="D596">
        <v>657</v>
      </c>
      <c r="E596" t="s">
        <v>1068</v>
      </c>
      <c r="F596" t="s">
        <v>5762</v>
      </c>
      <c r="G596" t="s">
        <v>57</v>
      </c>
      <c r="H596">
        <v>679390</v>
      </c>
      <c r="I596">
        <v>679758</v>
      </c>
      <c r="J596" t="s">
        <v>1069</v>
      </c>
      <c r="K596">
        <v>123</v>
      </c>
      <c r="L596" t="s">
        <v>59</v>
      </c>
      <c r="M596">
        <v>5</v>
      </c>
      <c r="N596" t="str">
        <f>HYPERLINK("Gene657-zp_tree_all.dnd", "Gene657-tree")</f>
        <v>Gene657-tree</v>
      </c>
      <c r="O596">
        <v>5</v>
      </c>
      <c r="P596">
        <v>0</v>
      </c>
      <c r="Q596">
        <v>5</v>
      </c>
      <c r="R596">
        <v>0</v>
      </c>
      <c r="S596">
        <v>0</v>
      </c>
      <c r="T596" t="s">
        <v>98</v>
      </c>
      <c r="U596" t="s">
        <v>62</v>
      </c>
      <c r="V596" t="s">
        <v>62</v>
      </c>
      <c r="W596" t="s">
        <v>62</v>
      </c>
      <c r="X596">
        <v>0</v>
      </c>
      <c r="Y596">
        <v>0</v>
      </c>
      <c r="Z596">
        <v>1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3</v>
      </c>
      <c r="AM596">
        <v>2</v>
      </c>
      <c r="AN596">
        <v>5</v>
      </c>
      <c r="AO596">
        <v>0</v>
      </c>
      <c r="AP596">
        <v>9</v>
      </c>
      <c r="AQ596">
        <v>1</v>
      </c>
      <c r="AR596" t="s">
        <v>64</v>
      </c>
      <c r="AS596" t="s">
        <v>1070</v>
      </c>
      <c r="AT596">
        <v>0.872</v>
      </c>
      <c r="AU596" t="s">
        <v>65</v>
      </c>
      <c r="AV596">
        <v>14</v>
      </c>
      <c r="AW596">
        <v>1</v>
      </c>
      <c r="AX596" t="s">
        <v>1071</v>
      </c>
      <c r="AY596" t="s">
        <v>1072</v>
      </c>
      <c r="AZ596" t="s">
        <v>1073</v>
      </c>
      <c r="BA596">
        <v>2.3449999999999999E-2</v>
      </c>
      <c r="BB596">
        <v>1</v>
      </c>
      <c r="BC596" t="s">
        <v>69</v>
      </c>
      <c r="BD596">
        <v>1.0629999999999999</v>
      </c>
      <c r="BE596">
        <v>0.52100000000000002</v>
      </c>
    </row>
    <row r="597" spans="1:57">
      <c r="A597">
        <v>0</v>
      </c>
      <c r="B597">
        <v>2</v>
      </c>
      <c r="C597">
        <v>0</v>
      </c>
      <c r="D597">
        <v>670</v>
      </c>
      <c r="E597" t="s">
        <v>1074</v>
      </c>
      <c r="F597" t="s">
        <v>5762</v>
      </c>
      <c r="G597" t="s">
        <v>57</v>
      </c>
      <c r="H597">
        <v>692740</v>
      </c>
      <c r="I597">
        <v>694278</v>
      </c>
      <c r="J597" t="s">
        <v>1075</v>
      </c>
      <c r="K597">
        <v>513</v>
      </c>
      <c r="L597" t="s">
        <v>59</v>
      </c>
      <c r="M597">
        <v>5</v>
      </c>
      <c r="N597" t="str">
        <f>HYPERLINK("Gene670-zp_tree_all.dnd", "Gene670-tree")</f>
        <v>Gene670-tree</v>
      </c>
      <c r="O597">
        <v>2</v>
      </c>
      <c r="P597">
        <v>3</v>
      </c>
      <c r="Q597">
        <v>2</v>
      </c>
      <c r="R597">
        <v>3</v>
      </c>
      <c r="S597">
        <v>0.6</v>
      </c>
      <c r="T597" t="s">
        <v>135</v>
      </c>
      <c r="U597" t="s">
        <v>84</v>
      </c>
      <c r="V597" t="s">
        <v>62</v>
      </c>
      <c r="W597" t="s">
        <v>62</v>
      </c>
      <c r="X597">
        <v>1</v>
      </c>
      <c r="Y597">
        <v>2</v>
      </c>
      <c r="Z597">
        <v>8</v>
      </c>
      <c r="AA597">
        <v>0.2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2</v>
      </c>
      <c r="AH597">
        <v>0</v>
      </c>
      <c r="AI597">
        <v>2</v>
      </c>
      <c r="AJ597">
        <v>4</v>
      </c>
      <c r="AK597">
        <v>0.33333000000000002</v>
      </c>
      <c r="AL597">
        <v>5</v>
      </c>
      <c r="AM597">
        <v>2</v>
      </c>
      <c r="AN597">
        <v>29</v>
      </c>
      <c r="AO597">
        <v>6</v>
      </c>
      <c r="AP597">
        <v>34</v>
      </c>
      <c r="AQ597">
        <v>4</v>
      </c>
      <c r="AR597" t="s">
        <v>1076</v>
      </c>
      <c r="AS597" t="s">
        <v>1077</v>
      </c>
      <c r="AT597">
        <v>0.58399999999999996</v>
      </c>
      <c r="AU597" t="s">
        <v>65</v>
      </c>
      <c r="AV597">
        <v>63</v>
      </c>
      <c r="AW597">
        <v>10</v>
      </c>
      <c r="AX597" t="s">
        <v>1078</v>
      </c>
      <c r="AY597" t="s">
        <v>1079</v>
      </c>
      <c r="AZ597" t="s">
        <v>1080</v>
      </c>
      <c r="BA597">
        <v>3.9989999999999998E-2</v>
      </c>
      <c r="BB597">
        <v>1</v>
      </c>
      <c r="BC597" t="s">
        <v>69</v>
      </c>
      <c r="BD597">
        <v>0.57099999999999995</v>
      </c>
      <c r="BE597">
        <v>0.45500000000000002</v>
      </c>
    </row>
    <row r="598" spans="1:57">
      <c r="A598">
        <v>0</v>
      </c>
      <c r="B598">
        <v>0</v>
      </c>
      <c r="C598">
        <v>0</v>
      </c>
      <c r="D598">
        <v>673</v>
      </c>
      <c r="E598" t="s">
        <v>1081</v>
      </c>
      <c r="F598" t="s">
        <v>5762</v>
      </c>
      <c r="G598" t="s">
        <v>57</v>
      </c>
      <c r="H598">
        <v>697157</v>
      </c>
      <c r="I598">
        <v>697321</v>
      </c>
      <c r="J598" t="s">
        <v>1082</v>
      </c>
      <c r="K598">
        <v>55</v>
      </c>
      <c r="L598" t="s">
        <v>112</v>
      </c>
      <c r="M598">
        <v>4</v>
      </c>
      <c r="N598" t="str">
        <f>HYPERLINK("Gene673-zp_tree_all.dnd", "Gene673-tree")</f>
        <v>Gene673-tree</v>
      </c>
      <c r="O598">
        <v>3</v>
      </c>
      <c r="P598">
        <v>1</v>
      </c>
      <c r="Q598">
        <v>3</v>
      </c>
      <c r="R598">
        <v>1</v>
      </c>
      <c r="S598">
        <v>0.25</v>
      </c>
      <c r="T598" t="s">
        <v>84</v>
      </c>
      <c r="U598" t="s">
        <v>61</v>
      </c>
      <c r="V598" t="s">
        <v>62</v>
      </c>
      <c r="W598" t="s">
        <v>62</v>
      </c>
      <c r="X598">
        <v>0</v>
      </c>
      <c r="Y598">
        <v>0</v>
      </c>
      <c r="Z598">
        <v>1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1</v>
      </c>
      <c r="AK598">
        <v>0</v>
      </c>
      <c r="AL598">
        <v>4</v>
      </c>
      <c r="AM598">
        <v>1</v>
      </c>
      <c r="AN598">
        <v>9</v>
      </c>
      <c r="AO598">
        <v>1</v>
      </c>
      <c r="AP598">
        <v>1</v>
      </c>
      <c r="AQ598">
        <v>0</v>
      </c>
      <c r="AR598" t="s">
        <v>1083</v>
      </c>
      <c r="AS598" t="s">
        <v>64</v>
      </c>
      <c r="AT598">
        <v>0.496</v>
      </c>
      <c r="AU598" t="s">
        <v>65</v>
      </c>
      <c r="AV598">
        <v>10</v>
      </c>
      <c r="AW598">
        <v>1</v>
      </c>
      <c r="AX598" t="s">
        <v>1084</v>
      </c>
      <c r="AY598" t="s">
        <v>1085</v>
      </c>
      <c r="AZ598" t="s">
        <v>1086</v>
      </c>
      <c r="BA598">
        <v>2.4309999999999998E-2</v>
      </c>
      <c r="BB598">
        <v>1</v>
      </c>
      <c r="BC598" t="s">
        <v>69</v>
      </c>
      <c r="BD598">
        <v>-0.222</v>
      </c>
      <c r="BE598">
        <v>-0.222</v>
      </c>
    </row>
    <row r="599" spans="1:57">
      <c r="A599">
        <v>0</v>
      </c>
      <c r="B599">
        <v>0</v>
      </c>
      <c r="C599">
        <v>0</v>
      </c>
      <c r="D599">
        <v>674</v>
      </c>
      <c r="E599" t="s">
        <v>1087</v>
      </c>
      <c r="F599" t="s">
        <v>5762</v>
      </c>
      <c r="G599" t="s">
        <v>57</v>
      </c>
      <c r="H599">
        <v>697538</v>
      </c>
      <c r="I599">
        <v>698089</v>
      </c>
      <c r="J599" t="s">
        <v>170</v>
      </c>
      <c r="K599">
        <v>184</v>
      </c>
      <c r="L599" t="s">
        <v>59</v>
      </c>
      <c r="M599">
        <v>5</v>
      </c>
      <c r="N599" t="str">
        <f>HYPERLINK("Gene674-zp_tree_all.dnd", "Gene674-tree")</f>
        <v>Gene674-tree</v>
      </c>
      <c r="O599">
        <v>2</v>
      </c>
      <c r="P599">
        <v>3</v>
      </c>
      <c r="Q599">
        <v>2</v>
      </c>
      <c r="R599">
        <v>3</v>
      </c>
      <c r="S599">
        <v>0.6</v>
      </c>
      <c r="T599" t="s">
        <v>135</v>
      </c>
      <c r="U599" t="s">
        <v>84</v>
      </c>
      <c r="V599" t="s">
        <v>62</v>
      </c>
      <c r="W599" t="s">
        <v>62</v>
      </c>
      <c r="X599">
        <v>0</v>
      </c>
      <c r="Y599">
        <v>0</v>
      </c>
      <c r="Z599">
        <v>5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3</v>
      </c>
      <c r="AK599">
        <v>0</v>
      </c>
      <c r="AL599">
        <v>4</v>
      </c>
      <c r="AM599">
        <v>2</v>
      </c>
      <c r="AN599">
        <v>22</v>
      </c>
      <c r="AO599">
        <v>3</v>
      </c>
      <c r="AP599">
        <v>8</v>
      </c>
      <c r="AQ599">
        <v>2</v>
      </c>
      <c r="AR599" t="s">
        <v>1088</v>
      </c>
      <c r="AS599" t="s">
        <v>1089</v>
      </c>
      <c r="AT599">
        <v>0.60099999999999998</v>
      </c>
      <c r="AU599" t="s">
        <v>65</v>
      </c>
      <c r="AV599">
        <v>30</v>
      </c>
      <c r="AW599">
        <v>5</v>
      </c>
      <c r="AX599" t="s">
        <v>1090</v>
      </c>
      <c r="AY599" t="s">
        <v>1091</v>
      </c>
      <c r="AZ599" t="s">
        <v>1092</v>
      </c>
      <c r="BA599">
        <v>5.5030000000000003E-2</v>
      </c>
      <c r="BB599">
        <v>1</v>
      </c>
      <c r="BC599" t="s">
        <v>69</v>
      </c>
      <c r="BD599">
        <v>-0.20799999999999999</v>
      </c>
      <c r="BE599">
        <v>-0.20799999999999999</v>
      </c>
    </row>
    <row r="600" spans="1:57">
      <c r="A600">
        <v>0</v>
      </c>
      <c r="B600">
        <v>0</v>
      </c>
      <c r="C600">
        <v>0</v>
      </c>
      <c r="D600">
        <v>675</v>
      </c>
      <c r="E600" t="s">
        <v>1093</v>
      </c>
      <c r="F600" t="s">
        <v>5762</v>
      </c>
      <c r="G600" t="s">
        <v>57</v>
      </c>
      <c r="H600">
        <v>698092</v>
      </c>
      <c r="I600">
        <v>698286</v>
      </c>
      <c r="J600" t="s">
        <v>170</v>
      </c>
      <c r="K600">
        <v>65</v>
      </c>
      <c r="L600" t="s">
        <v>59</v>
      </c>
      <c r="M600">
        <v>5</v>
      </c>
      <c r="N600" t="str">
        <f>HYPERLINK("Gene675-zp_tree_all.dnd", "Gene675-tree")</f>
        <v>Gene675-tree</v>
      </c>
      <c r="O600">
        <v>4</v>
      </c>
      <c r="P600">
        <v>1</v>
      </c>
      <c r="Q600">
        <v>4</v>
      </c>
      <c r="R600">
        <v>1</v>
      </c>
      <c r="S600">
        <v>0.2</v>
      </c>
      <c r="T600" t="s">
        <v>60</v>
      </c>
      <c r="U600" t="s">
        <v>61</v>
      </c>
      <c r="V600" t="s">
        <v>62</v>
      </c>
      <c r="W600" t="s">
        <v>62</v>
      </c>
      <c r="X600">
        <v>0</v>
      </c>
      <c r="Y600">
        <v>0</v>
      </c>
      <c r="Z600">
        <v>1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1</v>
      </c>
      <c r="AK600">
        <v>0</v>
      </c>
      <c r="AL600">
        <v>4</v>
      </c>
      <c r="AM600">
        <v>1</v>
      </c>
      <c r="AN600">
        <v>6</v>
      </c>
      <c r="AO600">
        <v>1</v>
      </c>
      <c r="AP600">
        <v>1</v>
      </c>
      <c r="AQ600">
        <v>0</v>
      </c>
      <c r="AR600" t="s">
        <v>1094</v>
      </c>
      <c r="AS600" t="s">
        <v>64</v>
      </c>
      <c r="AT600">
        <v>0.59499999999999997</v>
      </c>
      <c r="AU600" t="s">
        <v>65</v>
      </c>
      <c r="AV600">
        <v>7</v>
      </c>
      <c r="AW600">
        <v>1</v>
      </c>
      <c r="AX600" t="s">
        <v>1095</v>
      </c>
      <c r="AY600" t="s">
        <v>1096</v>
      </c>
      <c r="AZ600" t="s">
        <v>1097</v>
      </c>
      <c r="BA600">
        <v>3.032E-2</v>
      </c>
      <c r="BB600">
        <v>1</v>
      </c>
      <c r="BC600" t="s">
        <v>69</v>
      </c>
      <c r="BD600">
        <v>-0.80700000000000005</v>
      </c>
      <c r="BE600">
        <v>-0.80700000000000005</v>
      </c>
    </row>
    <row r="601" spans="1:57">
      <c r="A601">
        <v>0</v>
      </c>
      <c r="B601">
        <v>0</v>
      </c>
      <c r="C601">
        <v>0</v>
      </c>
      <c r="D601">
        <v>676</v>
      </c>
      <c r="E601" t="s">
        <v>1098</v>
      </c>
      <c r="F601" t="s">
        <v>5762</v>
      </c>
      <c r="G601" t="s">
        <v>57</v>
      </c>
      <c r="H601">
        <v>698612</v>
      </c>
      <c r="I601">
        <v>699097</v>
      </c>
      <c r="J601" t="s">
        <v>1099</v>
      </c>
      <c r="K601">
        <v>162</v>
      </c>
      <c r="L601" t="s">
        <v>59</v>
      </c>
      <c r="M601">
        <v>5</v>
      </c>
      <c r="N601" t="str">
        <f>HYPERLINK("Gene676-zp_tree_all.dnd", "Gene676-tree")</f>
        <v>Gene676-tree</v>
      </c>
      <c r="O601">
        <v>3</v>
      </c>
      <c r="P601">
        <v>2</v>
      </c>
      <c r="Q601">
        <v>3</v>
      </c>
      <c r="R601">
        <v>2</v>
      </c>
      <c r="S601">
        <v>0.4</v>
      </c>
      <c r="T601" t="s">
        <v>84</v>
      </c>
      <c r="U601" t="s">
        <v>135</v>
      </c>
      <c r="V601" t="s">
        <v>62</v>
      </c>
      <c r="W601" t="s">
        <v>62</v>
      </c>
      <c r="X601">
        <v>0</v>
      </c>
      <c r="Y601">
        <v>0</v>
      </c>
      <c r="Z601">
        <v>5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2</v>
      </c>
      <c r="AK601">
        <v>0</v>
      </c>
      <c r="AL601">
        <v>4</v>
      </c>
      <c r="AM601">
        <v>2</v>
      </c>
      <c r="AN601">
        <v>8</v>
      </c>
      <c r="AO601">
        <v>2</v>
      </c>
      <c r="AP601">
        <v>15</v>
      </c>
      <c r="AQ601">
        <v>3</v>
      </c>
      <c r="AR601" t="s">
        <v>1100</v>
      </c>
      <c r="AS601" t="s">
        <v>1101</v>
      </c>
      <c r="AT601">
        <v>0.22700000000000001</v>
      </c>
      <c r="AU601" t="s">
        <v>65</v>
      </c>
      <c r="AV601">
        <v>23</v>
      </c>
      <c r="AW601">
        <v>5</v>
      </c>
      <c r="AX601" t="s">
        <v>1102</v>
      </c>
      <c r="AY601" t="s">
        <v>1103</v>
      </c>
      <c r="AZ601" t="s">
        <v>1104</v>
      </c>
      <c r="BA601">
        <v>6.6309999999999994E-2</v>
      </c>
      <c r="BB601">
        <v>1</v>
      </c>
      <c r="BC601" t="s">
        <v>69</v>
      </c>
      <c r="BD601">
        <v>1.0269999999999999</v>
      </c>
      <c r="BE601">
        <v>0.43</v>
      </c>
    </row>
    <row r="602" spans="1:57">
      <c r="A602">
        <v>0</v>
      </c>
      <c r="B602">
        <v>6</v>
      </c>
      <c r="C602">
        <v>2</v>
      </c>
      <c r="D602">
        <v>677</v>
      </c>
      <c r="E602" t="s">
        <v>1105</v>
      </c>
      <c r="F602" t="s">
        <v>5762</v>
      </c>
      <c r="G602" t="s">
        <v>57</v>
      </c>
      <c r="H602">
        <v>699093</v>
      </c>
      <c r="I602">
        <v>700232</v>
      </c>
      <c r="J602" t="s">
        <v>1106</v>
      </c>
      <c r="K602">
        <v>380</v>
      </c>
      <c r="L602" t="s">
        <v>83</v>
      </c>
      <c r="M602">
        <v>4</v>
      </c>
      <c r="N602" t="str">
        <f>HYPERLINK("Gene677-zp_tree_all.dnd", "Gene677-tree")</f>
        <v>Gene677-tree</v>
      </c>
      <c r="O602">
        <v>0</v>
      </c>
      <c r="P602">
        <v>4</v>
      </c>
      <c r="Q602">
        <v>0</v>
      </c>
      <c r="R602">
        <v>4</v>
      </c>
      <c r="S602">
        <v>1</v>
      </c>
      <c r="T602" t="s">
        <v>62</v>
      </c>
      <c r="U602" t="s">
        <v>60</v>
      </c>
      <c r="V602" t="s">
        <v>62</v>
      </c>
      <c r="W602" t="s">
        <v>62</v>
      </c>
      <c r="X602">
        <v>4</v>
      </c>
      <c r="Y602">
        <v>8</v>
      </c>
      <c r="Z602">
        <v>18</v>
      </c>
      <c r="AA602">
        <v>0.30769000000000002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6</v>
      </c>
      <c r="AH602">
        <v>2</v>
      </c>
      <c r="AI602">
        <v>8</v>
      </c>
      <c r="AJ602">
        <v>18</v>
      </c>
      <c r="AK602">
        <v>0.30769000000000002</v>
      </c>
      <c r="AL602">
        <v>4</v>
      </c>
      <c r="AM602">
        <v>1</v>
      </c>
      <c r="AN602">
        <v>50</v>
      </c>
      <c r="AO602">
        <v>28</v>
      </c>
      <c r="AP602">
        <v>5</v>
      </c>
      <c r="AQ602">
        <v>1</v>
      </c>
      <c r="AR602" t="s">
        <v>1107</v>
      </c>
      <c r="AS602" t="s">
        <v>1108</v>
      </c>
      <c r="AT602">
        <v>1.0920000000000001</v>
      </c>
      <c r="AU602" t="s">
        <v>65</v>
      </c>
      <c r="AV602">
        <v>55</v>
      </c>
      <c r="AW602">
        <v>29</v>
      </c>
      <c r="AX602" t="s">
        <v>1109</v>
      </c>
      <c r="AY602" t="s">
        <v>1110</v>
      </c>
      <c r="AZ602" t="s">
        <v>1111</v>
      </c>
      <c r="BA602">
        <v>0.13489999999999999</v>
      </c>
      <c r="BB602">
        <v>1</v>
      </c>
      <c r="BC602" t="s">
        <v>69</v>
      </c>
      <c r="BD602">
        <v>-0.33200000000000002</v>
      </c>
      <c r="BE602">
        <v>-0.57999999999999996</v>
      </c>
    </row>
    <row r="603" spans="1:57">
      <c r="A603">
        <v>0</v>
      </c>
      <c r="B603">
        <v>2</v>
      </c>
      <c r="C603">
        <v>0</v>
      </c>
      <c r="D603">
        <v>678</v>
      </c>
      <c r="E603" t="s">
        <v>1112</v>
      </c>
      <c r="F603" t="s">
        <v>5762</v>
      </c>
      <c r="G603" t="s">
        <v>57</v>
      </c>
      <c r="H603">
        <v>700232</v>
      </c>
      <c r="I603">
        <v>701524</v>
      </c>
      <c r="J603" t="s">
        <v>1113</v>
      </c>
      <c r="K603">
        <v>431</v>
      </c>
      <c r="L603" t="s">
        <v>59</v>
      </c>
      <c r="M603">
        <v>5</v>
      </c>
      <c r="N603" t="str">
        <f>HYPERLINK("Gene678-zp_tree_all.dnd", "Gene678-tree")</f>
        <v>Gene678-tree</v>
      </c>
      <c r="O603">
        <v>3</v>
      </c>
      <c r="P603">
        <v>2</v>
      </c>
      <c r="Q603">
        <v>3</v>
      </c>
      <c r="R603">
        <v>2</v>
      </c>
      <c r="S603">
        <v>0.4</v>
      </c>
      <c r="T603" t="s">
        <v>84</v>
      </c>
      <c r="U603" t="s">
        <v>135</v>
      </c>
      <c r="V603" t="s">
        <v>62</v>
      </c>
      <c r="W603" t="s">
        <v>62</v>
      </c>
      <c r="X603">
        <v>1</v>
      </c>
      <c r="Y603">
        <v>2</v>
      </c>
      <c r="Z603">
        <v>3</v>
      </c>
      <c r="AA603">
        <v>0.4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2</v>
      </c>
      <c r="AH603">
        <v>0</v>
      </c>
      <c r="AI603">
        <v>2</v>
      </c>
      <c r="AJ603">
        <v>1</v>
      </c>
      <c r="AK603">
        <v>0.66666999999999998</v>
      </c>
      <c r="AL603">
        <v>5</v>
      </c>
      <c r="AM603">
        <v>2</v>
      </c>
      <c r="AN603">
        <v>44</v>
      </c>
      <c r="AO603">
        <v>3</v>
      </c>
      <c r="AP603">
        <v>45</v>
      </c>
      <c r="AQ603">
        <v>2</v>
      </c>
      <c r="AR603" t="s">
        <v>1114</v>
      </c>
      <c r="AS603" t="s">
        <v>1115</v>
      </c>
      <c r="AT603">
        <v>0.42299999999999999</v>
      </c>
      <c r="AU603" t="s">
        <v>65</v>
      </c>
      <c r="AV603">
        <v>89</v>
      </c>
      <c r="AW603">
        <v>5</v>
      </c>
      <c r="AX603" t="s">
        <v>1116</v>
      </c>
      <c r="AY603" t="s">
        <v>1117</v>
      </c>
      <c r="AZ603" t="s">
        <v>1118</v>
      </c>
      <c r="BA603">
        <v>1.359E-2</v>
      </c>
      <c r="BB603">
        <v>1</v>
      </c>
      <c r="BC603" t="s">
        <v>69</v>
      </c>
      <c r="BD603">
        <v>0.89500000000000002</v>
      </c>
      <c r="BE603">
        <v>0.432</v>
      </c>
    </row>
    <row r="604" spans="1:57">
      <c r="A604">
        <v>0</v>
      </c>
      <c r="B604">
        <v>2</v>
      </c>
      <c r="C604">
        <v>0</v>
      </c>
      <c r="D604">
        <v>679</v>
      </c>
      <c r="E604" t="s">
        <v>1119</v>
      </c>
      <c r="F604" t="s">
        <v>5762</v>
      </c>
      <c r="G604" t="s">
        <v>57</v>
      </c>
      <c r="H604">
        <v>701601</v>
      </c>
      <c r="I604">
        <v>702323</v>
      </c>
      <c r="J604" t="s">
        <v>1120</v>
      </c>
      <c r="K604">
        <v>241</v>
      </c>
      <c r="L604" t="s">
        <v>83</v>
      </c>
      <c r="M604">
        <v>4</v>
      </c>
      <c r="N604" t="str">
        <f>HYPERLINK("Gene679-zp_tree_all.dnd", "Gene679-tree")</f>
        <v>Gene679-tree</v>
      </c>
      <c r="O604">
        <v>0</v>
      </c>
      <c r="P604">
        <v>4</v>
      </c>
      <c r="Q604">
        <v>0</v>
      </c>
      <c r="R604">
        <v>4</v>
      </c>
      <c r="S604">
        <v>1</v>
      </c>
      <c r="T604" t="s">
        <v>62</v>
      </c>
      <c r="U604" t="s">
        <v>60</v>
      </c>
      <c r="V604" t="s">
        <v>62</v>
      </c>
      <c r="W604" t="s">
        <v>62</v>
      </c>
      <c r="X604">
        <v>1</v>
      </c>
      <c r="Y604">
        <v>2</v>
      </c>
      <c r="Z604">
        <v>7</v>
      </c>
      <c r="AA604">
        <v>0.22222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2</v>
      </c>
      <c r="AH604">
        <v>0</v>
      </c>
      <c r="AI604">
        <v>2</v>
      </c>
      <c r="AJ604">
        <v>7</v>
      </c>
      <c r="AK604">
        <v>0.22222</v>
      </c>
      <c r="AL604">
        <v>4</v>
      </c>
      <c r="AM604">
        <v>1</v>
      </c>
      <c r="AN604">
        <v>37</v>
      </c>
      <c r="AO604">
        <v>10</v>
      </c>
      <c r="AP604">
        <v>5</v>
      </c>
      <c r="AQ604">
        <v>1</v>
      </c>
      <c r="AR604" t="s">
        <v>1121</v>
      </c>
      <c r="AS604" t="s">
        <v>1122</v>
      </c>
      <c r="AT604">
        <v>0.55400000000000005</v>
      </c>
      <c r="AU604" t="s">
        <v>65</v>
      </c>
      <c r="AV604">
        <v>42</v>
      </c>
      <c r="AW604">
        <v>11</v>
      </c>
      <c r="AX604" t="s">
        <v>1123</v>
      </c>
      <c r="AY604" t="s">
        <v>1124</v>
      </c>
      <c r="AZ604" t="s">
        <v>1125</v>
      </c>
      <c r="BA604">
        <v>6.5129999999999993E-2</v>
      </c>
      <c r="BB604">
        <v>1</v>
      </c>
      <c r="BC604" t="s">
        <v>69</v>
      </c>
      <c r="BD604">
        <v>-0.13800000000000001</v>
      </c>
      <c r="BE604">
        <v>-0.33700000000000002</v>
      </c>
    </row>
    <row r="605" spans="1:57">
      <c r="A605">
        <v>0</v>
      </c>
      <c r="B605">
        <v>0</v>
      </c>
      <c r="C605">
        <v>0</v>
      </c>
      <c r="D605">
        <v>680</v>
      </c>
      <c r="E605" t="s">
        <v>1126</v>
      </c>
      <c r="F605" t="s">
        <v>5762</v>
      </c>
      <c r="G605" t="s">
        <v>57</v>
      </c>
      <c r="H605">
        <v>702319</v>
      </c>
      <c r="I605">
        <v>702570</v>
      </c>
      <c r="J605" t="s">
        <v>1127</v>
      </c>
      <c r="K605">
        <v>84</v>
      </c>
      <c r="L605" t="s">
        <v>59</v>
      </c>
      <c r="M605">
        <v>5</v>
      </c>
      <c r="N605" t="str">
        <f>HYPERLINK("Gene680-zp_tree_all.dnd", "Gene680-tree")</f>
        <v>Gene680-tree</v>
      </c>
      <c r="O605">
        <v>4</v>
      </c>
      <c r="P605">
        <v>1</v>
      </c>
      <c r="Q605">
        <v>4</v>
      </c>
      <c r="R605">
        <v>1</v>
      </c>
      <c r="S605">
        <v>0.2</v>
      </c>
      <c r="T605" t="s">
        <v>60</v>
      </c>
      <c r="U605" t="s">
        <v>61</v>
      </c>
      <c r="V605" t="s">
        <v>62</v>
      </c>
      <c r="W605" t="s">
        <v>62</v>
      </c>
      <c r="X605">
        <v>0</v>
      </c>
      <c r="Y605">
        <v>0</v>
      </c>
      <c r="Z605">
        <v>1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1</v>
      </c>
      <c r="AK605">
        <v>0</v>
      </c>
      <c r="AL605">
        <v>4</v>
      </c>
      <c r="AM605">
        <v>2</v>
      </c>
      <c r="AN605">
        <v>7</v>
      </c>
      <c r="AO605">
        <v>1</v>
      </c>
      <c r="AP605">
        <v>5</v>
      </c>
      <c r="AQ605">
        <v>0</v>
      </c>
      <c r="AR605" t="s">
        <v>1128</v>
      </c>
      <c r="AS605" t="s">
        <v>64</v>
      </c>
      <c r="AT605">
        <v>0.61799999999999999</v>
      </c>
      <c r="AU605" t="s">
        <v>65</v>
      </c>
      <c r="AV605">
        <v>12</v>
      </c>
      <c r="AW605">
        <v>1</v>
      </c>
      <c r="AX605" t="s">
        <v>1129</v>
      </c>
      <c r="AY605" t="s">
        <v>1130</v>
      </c>
      <c r="AZ605" t="s">
        <v>1131</v>
      </c>
      <c r="BA605">
        <v>1.7510000000000001E-2</v>
      </c>
      <c r="BB605">
        <v>1</v>
      </c>
      <c r="BC605" t="s">
        <v>69</v>
      </c>
      <c r="BD605">
        <v>-4.7E-2</v>
      </c>
      <c r="BE605">
        <v>-4.7E-2</v>
      </c>
    </row>
    <row r="606" spans="1:57">
      <c r="A606">
        <v>0</v>
      </c>
      <c r="B606">
        <v>0</v>
      </c>
      <c r="C606">
        <v>0</v>
      </c>
      <c r="D606">
        <v>681</v>
      </c>
      <c r="E606" t="s">
        <v>1132</v>
      </c>
      <c r="F606" t="s">
        <v>5762</v>
      </c>
      <c r="G606" t="s">
        <v>57</v>
      </c>
      <c r="H606">
        <v>702570</v>
      </c>
      <c r="I606">
        <v>703250</v>
      </c>
      <c r="J606" t="s">
        <v>1133</v>
      </c>
      <c r="K606">
        <v>227</v>
      </c>
      <c r="L606" t="s">
        <v>59</v>
      </c>
      <c r="M606">
        <v>5</v>
      </c>
      <c r="N606" t="str">
        <f>HYPERLINK("Gene681-zp_tree_all.dnd", "Gene681-tree")</f>
        <v>Gene681-tree</v>
      </c>
      <c r="O606">
        <v>2</v>
      </c>
      <c r="P606">
        <v>3</v>
      </c>
      <c r="Q606">
        <v>2</v>
      </c>
      <c r="R606">
        <v>3</v>
      </c>
      <c r="S606">
        <v>0.6</v>
      </c>
      <c r="T606" t="s">
        <v>135</v>
      </c>
      <c r="U606" t="s">
        <v>84</v>
      </c>
      <c r="V606" t="s">
        <v>62</v>
      </c>
      <c r="W606" t="s">
        <v>62</v>
      </c>
      <c r="X606">
        <v>0</v>
      </c>
      <c r="Y606">
        <v>0</v>
      </c>
      <c r="Z606">
        <v>5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3</v>
      </c>
      <c r="AK606">
        <v>0</v>
      </c>
      <c r="AL606">
        <v>5</v>
      </c>
      <c r="AM606">
        <v>2</v>
      </c>
      <c r="AN606">
        <v>16</v>
      </c>
      <c r="AO606">
        <v>3</v>
      </c>
      <c r="AP606">
        <v>20</v>
      </c>
      <c r="AQ606">
        <v>2</v>
      </c>
      <c r="AR606" t="s">
        <v>1134</v>
      </c>
      <c r="AS606" t="s">
        <v>1135</v>
      </c>
      <c r="AT606">
        <v>0.68</v>
      </c>
      <c r="AU606" t="s">
        <v>65</v>
      </c>
      <c r="AV606">
        <v>36</v>
      </c>
      <c r="AW606">
        <v>5</v>
      </c>
      <c r="AX606" t="s">
        <v>1136</v>
      </c>
      <c r="AY606" t="s">
        <v>1137</v>
      </c>
      <c r="AZ606" t="s">
        <v>1138</v>
      </c>
      <c r="BA606">
        <v>3.6749999999999998E-2</v>
      </c>
      <c r="BB606">
        <v>1</v>
      </c>
      <c r="BC606" t="s">
        <v>69</v>
      </c>
      <c r="BD606">
        <v>0.68400000000000005</v>
      </c>
      <c r="BE606">
        <v>0.47799999999999998</v>
      </c>
    </row>
    <row r="607" spans="1:57">
      <c r="A607">
        <v>0</v>
      </c>
      <c r="B607">
        <v>0</v>
      </c>
      <c r="C607">
        <v>0</v>
      </c>
      <c r="D607">
        <v>691</v>
      </c>
      <c r="E607" t="s">
        <v>1139</v>
      </c>
      <c r="F607" t="s">
        <v>5762</v>
      </c>
      <c r="G607" t="s">
        <v>57</v>
      </c>
      <c r="H607">
        <v>713664</v>
      </c>
      <c r="I607">
        <v>715403</v>
      </c>
      <c r="J607" t="s">
        <v>1140</v>
      </c>
      <c r="K607">
        <v>580</v>
      </c>
      <c r="L607" t="s">
        <v>83</v>
      </c>
      <c r="M607">
        <v>4</v>
      </c>
      <c r="N607" t="str">
        <f>HYPERLINK("Gene691-zp_tree_all.dnd", "Gene691-tree")</f>
        <v>Gene691-tree</v>
      </c>
      <c r="O607">
        <v>1</v>
      </c>
      <c r="P607">
        <v>3</v>
      </c>
      <c r="Q607">
        <v>1</v>
      </c>
      <c r="R607">
        <v>3</v>
      </c>
      <c r="S607">
        <v>0.75</v>
      </c>
      <c r="T607" t="s">
        <v>61</v>
      </c>
      <c r="U607" t="s">
        <v>84</v>
      </c>
      <c r="V607" t="s">
        <v>62</v>
      </c>
      <c r="W607" t="s">
        <v>62</v>
      </c>
      <c r="X607">
        <v>0</v>
      </c>
      <c r="Y607">
        <v>0</v>
      </c>
      <c r="Z607">
        <v>9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9</v>
      </c>
      <c r="AK607">
        <v>0</v>
      </c>
      <c r="AL607">
        <v>4</v>
      </c>
      <c r="AM607">
        <v>1</v>
      </c>
      <c r="AN607">
        <v>84</v>
      </c>
      <c r="AO607">
        <v>11</v>
      </c>
      <c r="AP607">
        <v>6</v>
      </c>
      <c r="AQ607">
        <v>0</v>
      </c>
      <c r="AR607" t="s">
        <v>1141</v>
      </c>
      <c r="AS607" t="s">
        <v>64</v>
      </c>
      <c r="AT607">
        <v>0.93700000000000006</v>
      </c>
      <c r="AU607" t="s">
        <v>65</v>
      </c>
      <c r="AV607">
        <v>90</v>
      </c>
      <c r="AW607">
        <v>11</v>
      </c>
      <c r="AX607" t="s">
        <v>1142</v>
      </c>
      <c r="AY607" t="s">
        <v>1143</v>
      </c>
      <c r="AZ607" t="s">
        <v>1144</v>
      </c>
      <c r="BA607">
        <v>3.1539999999999999E-2</v>
      </c>
      <c r="BB607">
        <v>1</v>
      </c>
      <c r="BC607" t="s">
        <v>69</v>
      </c>
      <c r="BD607">
        <v>-0.50900000000000001</v>
      </c>
      <c r="BE607">
        <v>-0.70699999999999996</v>
      </c>
    </row>
    <row r="608" spans="1:57">
      <c r="A608">
        <v>0</v>
      </c>
      <c r="B608">
        <v>0</v>
      </c>
      <c r="C608">
        <v>2</v>
      </c>
      <c r="D608">
        <v>692</v>
      </c>
      <c r="E608" t="s">
        <v>1145</v>
      </c>
      <c r="F608" t="s">
        <v>5762</v>
      </c>
      <c r="G608" t="s">
        <v>57</v>
      </c>
      <c r="H608">
        <v>715433</v>
      </c>
      <c r="I608">
        <v>716425</v>
      </c>
      <c r="J608" t="s">
        <v>1146</v>
      </c>
      <c r="K608">
        <v>331</v>
      </c>
      <c r="L608" t="s">
        <v>83</v>
      </c>
      <c r="M608">
        <v>4</v>
      </c>
      <c r="N608" t="str">
        <f>HYPERLINK("Gene692-zp_tree_all.dnd", "Gene692-tree")</f>
        <v>Gene692-tree</v>
      </c>
      <c r="O608">
        <v>2</v>
      </c>
      <c r="P608">
        <v>2</v>
      </c>
      <c r="Q608">
        <v>2</v>
      </c>
      <c r="R608">
        <v>2</v>
      </c>
      <c r="S608">
        <v>0.5</v>
      </c>
      <c r="T608" t="s">
        <v>135</v>
      </c>
      <c r="U608" t="s">
        <v>135</v>
      </c>
      <c r="V608" t="s">
        <v>62</v>
      </c>
      <c r="W608" t="s">
        <v>62</v>
      </c>
      <c r="X608">
        <v>1</v>
      </c>
      <c r="Y608">
        <v>2</v>
      </c>
      <c r="Z608">
        <v>14</v>
      </c>
      <c r="AA608">
        <v>0.125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2</v>
      </c>
      <c r="AI608">
        <v>2</v>
      </c>
      <c r="AJ608">
        <v>9</v>
      </c>
      <c r="AK608">
        <v>0.18182000000000001</v>
      </c>
      <c r="AL608">
        <v>4</v>
      </c>
      <c r="AM608">
        <v>1</v>
      </c>
      <c r="AN608">
        <v>33</v>
      </c>
      <c r="AO608">
        <v>11</v>
      </c>
      <c r="AP608">
        <v>3</v>
      </c>
      <c r="AQ608">
        <v>5</v>
      </c>
      <c r="AR608" t="s">
        <v>1147</v>
      </c>
      <c r="AS608" t="s">
        <v>1148</v>
      </c>
      <c r="AT608">
        <v>2.6080000000000001</v>
      </c>
      <c r="AU608" t="s">
        <v>65</v>
      </c>
      <c r="AV608">
        <v>36</v>
      </c>
      <c r="AW608">
        <v>16</v>
      </c>
      <c r="AX608" t="s">
        <v>1149</v>
      </c>
      <c r="AY608" t="s">
        <v>1150</v>
      </c>
      <c r="AZ608" t="s">
        <v>1151</v>
      </c>
      <c r="BA608">
        <v>0.14030999999999999</v>
      </c>
      <c r="BB608">
        <v>1</v>
      </c>
      <c r="BC608" t="s">
        <v>69</v>
      </c>
      <c r="BD608">
        <v>-0.153</v>
      </c>
      <c r="BE608">
        <v>-0.54300000000000004</v>
      </c>
    </row>
    <row r="609" spans="1:57">
      <c r="A609">
        <v>0</v>
      </c>
      <c r="B609">
        <v>0</v>
      </c>
      <c r="C609">
        <v>0</v>
      </c>
      <c r="D609">
        <v>693</v>
      </c>
      <c r="E609" t="s">
        <v>1152</v>
      </c>
      <c r="F609" t="s">
        <v>5762</v>
      </c>
      <c r="G609" t="s">
        <v>57</v>
      </c>
      <c r="H609">
        <v>716431</v>
      </c>
      <c r="I609">
        <v>716742</v>
      </c>
      <c r="J609" t="s">
        <v>1153</v>
      </c>
      <c r="K609">
        <v>104</v>
      </c>
      <c r="L609" t="s">
        <v>59</v>
      </c>
      <c r="M609">
        <v>5</v>
      </c>
      <c r="N609" t="str">
        <f>HYPERLINK("Gene693-zp_tree_all.dnd", "Gene693-tree")</f>
        <v>Gene693-tree</v>
      </c>
      <c r="O609">
        <v>5</v>
      </c>
      <c r="P609">
        <v>0</v>
      </c>
      <c r="Q609">
        <v>5</v>
      </c>
      <c r="R609">
        <v>0</v>
      </c>
      <c r="S609">
        <v>0</v>
      </c>
      <c r="T609" t="s">
        <v>98</v>
      </c>
      <c r="U609" t="s">
        <v>62</v>
      </c>
      <c r="V609" t="s">
        <v>62</v>
      </c>
      <c r="W609" t="s">
        <v>62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4</v>
      </c>
      <c r="AM609">
        <v>1</v>
      </c>
      <c r="AN609">
        <v>8</v>
      </c>
      <c r="AO609">
        <v>0</v>
      </c>
      <c r="AP609">
        <v>6</v>
      </c>
      <c r="AQ609">
        <v>0</v>
      </c>
      <c r="AR609" t="s">
        <v>64</v>
      </c>
      <c r="AS609" t="s">
        <v>64</v>
      </c>
      <c r="AT609">
        <v>0</v>
      </c>
      <c r="AU609" t="s">
        <v>65</v>
      </c>
      <c r="AV609">
        <v>14</v>
      </c>
      <c r="AW609">
        <v>0</v>
      </c>
      <c r="AX609" t="s">
        <v>1154</v>
      </c>
      <c r="AY609" t="s">
        <v>1155</v>
      </c>
      <c r="AZ609" t="s">
        <v>64</v>
      </c>
      <c r="BA609">
        <v>0</v>
      </c>
      <c r="BB609">
        <v>1</v>
      </c>
      <c r="BC609" t="s">
        <v>69</v>
      </c>
      <c r="BD609">
        <v>0.80400000000000005</v>
      </c>
      <c r="BE609">
        <v>-0.45200000000000001</v>
      </c>
    </row>
    <row r="610" spans="1:57">
      <c r="A610">
        <v>0</v>
      </c>
      <c r="B610">
        <v>0</v>
      </c>
      <c r="C610">
        <v>0</v>
      </c>
      <c r="D610">
        <v>702</v>
      </c>
      <c r="E610" t="s">
        <v>1156</v>
      </c>
      <c r="F610" t="s">
        <v>5762</v>
      </c>
      <c r="G610" t="s">
        <v>57</v>
      </c>
      <c r="H610">
        <v>728732</v>
      </c>
      <c r="I610">
        <v>729019</v>
      </c>
      <c r="J610" t="s">
        <v>1157</v>
      </c>
      <c r="K610">
        <v>96</v>
      </c>
      <c r="L610" t="s">
        <v>59</v>
      </c>
      <c r="M610">
        <v>5</v>
      </c>
      <c r="N610" t="str">
        <f>HYPERLINK("Gene702-zp_tree_all.dnd", "Gene702-tree")</f>
        <v>Gene702-tree</v>
      </c>
      <c r="O610">
        <v>4</v>
      </c>
      <c r="P610">
        <v>0</v>
      </c>
      <c r="Q610">
        <v>4</v>
      </c>
      <c r="R610">
        <v>0</v>
      </c>
      <c r="S610">
        <v>0</v>
      </c>
      <c r="T610" t="s">
        <v>60</v>
      </c>
      <c r="U610" t="s">
        <v>62</v>
      </c>
      <c r="V610" t="s">
        <v>62</v>
      </c>
      <c r="W610" t="s">
        <v>62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2</v>
      </c>
      <c r="AM610">
        <v>1</v>
      </c>
      <c r="AN610">
        <v>2</v>
      </c>
      <c r="AO610">
        <v>0</v>
      </c>
      <c r="AP610">
        <v>6</v>
      </c>
      <c r="AQ610">
        <v>0</v>
      </c>
      <c r="AR610" t="s">
        <v>64</v>
      </c>
      <c r="AS610" t="s">
        <v>64</v>
      </c>
      <c r="AT610">
        <v>0</v>
      </c>
      <c r="AU610" t="s">
        <v>65</v>
      </c>
      <c r="AV610">
        <v>8</v>
      </c>
      <c r="AW610">
        <v>0</v>
      </c>
      <c r="AX610" t="s">
        <v>1158</v>
      </c>
      <c r="AY610" t="s">
        <v>1159</v>
      </c>
      <c r="AZ610" t="s">
        <v>64</v>
      </c>
      <c r="BA610">
        <v>0</v>
      </c>
      <c r="BB610">
        <v>1</v>
      </c>
      <c r="BC610" t="s">
        <v>69</v>
      </c>
      <c r="BD610">
        <v>1.028</v>
      </c>
      <c r="BE610">
        <v>1.028</v>
      </c>
    </row>
    <row r="611" spans="1:57">
      <c r="A611">
        <v>0</v>
      </c>
      <c r="B611">
        <v>0</v>
      </c>
      <c r="C611">
        <v>0</v>
      </c>
      <c r="D611">
        <v>703</v>
      </c>
      <c r="E611" t="s">
        <v>1160</v>
      </c>
      <c r="F611" t="s">
        <v>5762</v>
      </c>
      <c r="G611" t="s">
        <v>57</v>
      </c>
      <c r="H611">
        <v>729038</v>
      </c>
      <c r="I611">
        <v>730492</v>
      </c>
      <c r="J611" t="s">
        <v>1161</v>
      </c>
      <c r="K611">
        <v>485</v>
      </c>
      <c r="L611" t="s">
        <v>59</v>
      </c>
      <c r="M611">
        <v>5</v>
      </c>
      <c r="N611" t="str">
        <f>HYPERLINK("Gene703-zp_tree_all.dnd", "Gene703-tree")</f>
        <v>Gene703-tree</v>
      </c>
      <c r="O611">
        <v>3</v>
      </c>
      <c r="P611">
        <v>2</v>
      </c>
      <c r="Q611">
        <v>3</v>
      </c>
      <c r="R611">
        <v>2</v>
      </c>
      <c r="S611">
        <v>0.4</v>
      </c>
      <c r="T611" t="s">
        <v>84</v>
      </c>
      <c r="U611" t="s">
        <v>135</v>
      </c>
      <c r="V611" t="s">
        <v>62</v>
      </c>
      <c r="W611" t="s">
        <v>62</v>
      </c>
      <c r="X611">
        <v>0</v>
      </c>
      <c r="Y611">
        <v>0</v>
      </c>
      <c r="Z611">
        <v>3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3</v>
      </c>
      <c r="AK611">
        <v>0</v>
      </c>
      <c r="AL611">
        <v>5</v>
      </c>
      <c r="AM611">
        <v>2</v>
      </c>
      <c r="AN611">
        <v>56</v>
      </c>
      <c r="AO611">
        <v>3</v>
      </c>
      <c r="AP611">
        <v>40</v>
      </c>
      <c r="AQ611">
        <v>1</v>
      </c>
      <c r="AR611" t="s">
        <v>1162</v>
      </c>
      <c r="AS611" t="s">
        <v>1163</v>
      </c>
      <c r="AT611">
        <v>0.55800000000000005</v>
      </c>
      <c r="AU611" t="s">
        <v>65</v>
      </c>
      <c r="AV611">
        <v>96</v>
      </c>
      <c r="AW611">
        <v>4</v>
      </c>
      <c r="AX611" t="s">
        <v>1164</v>
      </c>
      <c r="AY611" t="s">
        <v>1165</v>
      </c>
      <c r="AZ611" t="s">
        <v>1166</v>
      </c>
      <c r="BA611">
        <v>1.189E-2</v>
      </c>
      <c r="BB611">
        <v>1</v>
      </c>
      <c r="BC611" t="s">
        <v>69</v>
      </c>
      <c r="BD611">
        <v>0.40300000000000002</v>
      </c>
      <c r="BE611">
        <v>0.16</v>
      </c>
    </row>
    <row r="612" spans="1:57">
      <c r="A612">
        <v>0</v>
      </c>
      <c r="B612">
        <v>0</v>
      </c>
      <c r="C612">
        <v>0</v>
      </c>
      <c r="D612">
        <v>704</v>
      </c>
      <c r="E612" t="s">
        <v>1167</v>
      </c>
      <c r="F612" t="s">
        <v>5762</v>
      </c>
      <c r="G612" t="s">
        <v>57</v>
      </c>
      <c r="H612">
        <v>730509</v>
      </c>
      <c r="I612">
        <v>731936</v>
      </c>
      <c r="J612" t="s">
        <v>1168</v>
      </c>
      <c r="K612">
        <v>476</v>
      </c>
      <c r="L612" t="s">
        <v>59</v>
      </c>
      <c r="M612">
        <v>5</v>
      </c>
      <c r="N612" t="str">
        <f>HYPERLINK("Gene704-zp_tree_all.dnd", "Gene704-tree")</f>
        <v>Gene704-tree</v>
      </c>
      <c r="O612">
        <v>4</v>
      </c>
      <c r="P612">
        <v>1</v>
      </c>
      <c r="Q612">
        <v>4</v>
      </c>
      <c r="R612">
        <v>1</v>
      </c>
      <c r="S612">
        <v>0.2</v>
      </c>
      <c r="T612" t="s">
        <v>60</v>
      </c>
      <c r="U612" t="s">
        <v>61</v>
      </c>
      <c r="V612" t="s">
        <v>62</v>
      </c>
      <c r="W612" t="s">
        <v>62</v>
      </c>
      <c r="X612">
        <v>0</v>
      </c>
      <c r="Y612">
        <v>0</v>
      </c>
      <c r="Z612">
        <v>1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1</v>
      </c>
      <c r="AK612">
        <v>0</v>
      </c>
      <c r="AL612">
        <v>5</v>
      </c>
      <c r="AM612">
        <v>2</v>
      </c>
      <c r="AN612">
        <v>47</v>
      </c>
      <c r="AO612">
        <v>1</v>
      </c>
      <c r="AP612">
        <v>38</v>
      </c>
      <c r="AQ612">
        <v>0</v>
      </c>
      <c r="AR612" t="s">
        <v>1169</v>
      </c>
      <c r="AS612" t="s">
        <v>64</v>
      </c>
      <c r="AT612">
        <v>0.53400000000000003</v>
      </c>
      <c r="AU612" t="s">
        <v>65</v>
      </c>
      <c r="AV612">
        <v>85</v>
      </c>
      <c r="AW612">
        <v>1</v>
      </c>
      <c r="AX612" t="s">
        <v>1170</v>
      </c>
      <c r="AY612" t="s">
        <v>1171</v>
      </c>
      <c r="AZ612" t="s">
        <v>1172</v>
      </c>
      <c r="BA612">
        <v>2.6099999999999999E-3</v>
      </c>
      <c r="BB612">
        <v>1</v>
      </c>
      <c r="BC612" t="s">
        <v>69</v>
      </c>
      <c r="BD612">
        <v>0.221</v>
      </c>
      <c r="BE612">
        <v>0.221</v>
      </c>
    </row>
    <row r="613" spans="1:57">
      <c r="A613">
        <v>0</v>
      </c>
      <c r="B613">
        <v>0</v>
      </c>
      <c r="C613">
        <v>0</v>
      </c>
      <c r="D613">
        <v>707</v>
      </c>
      <c r="E613" t="s">
        <v>1173</v>
      </c>
      <c r="F613" t="s">
        <v>5762</v>
      </c>
      <c r="G613" t="s">
        <v>57</v>
      </c>
      <c r="H613">
        <v>736436</v>
      </c>
      <c r="I613">
        <v>737344</v>
      </c>
      <c r="J613" t="s">
        <v>1174</v>
      </c>
      <c r="K613">
        <v>303</v>
      </c>
      <c r="L613" t="s">
        <v>59</v>
      </c>
      <c r="M613">
        <v>5</v>
      </c>
      <c r="N613" t="str">
        <f>HYPERLINK("Gene707-zp_tree_all.dnd", "Gene707-tree")</f>
        <v>Gene707-tree</v>
      </c>
      <c r="O613">
        <v>4</v>
      </c>
      <c r="P613">
        <v>1</v>
      </c>
      <c r="Q613">
        <v>4</v>
      </c>
      <c r="R613">
        <v>1</v>
      </c>
      <c r="S613">
        <v>0.2</v>
      </c>
      <c r="T613" t="s">
        <v>60</v>
      </c>
      <c r="U613" t="s">
        <v>61</v>
      </c>
      <c r="V613" t="s">
        <v>62</v>
      </c>
      <c r="W613" t="s">
        <v>62</v>
      </c>
      <c r="X613">
        <v>0</v>
      </c>
      <c r="Y613">
        <v>0</v>
      </c>
      <c r="Z613">
        <v>3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1</v>
      </c>
      <c r="AK613">
        <v>0</v>
      </c>
      <c r="AL613">
        <v>5</v>
      </c>
      <c r="AM613">
        <v>2</v>
      </c>
      <c r="AN613">
        <v>56</v>
      </c>
      <c r="AO613">
        <v>1</v>
      </c>
      <c r="AP613">
        <v>13</v>
      </c>
      <c r="AQ613">
        <v>3</v>
      </c>
      <c r="AR613" t="s">
        <v>1175</v>
      </c>
      <c r="AS613" t="s">
        <v>1176</v>
      </c>
      <c r="AT613">
        <v>0.995</v>
      </c>
      <c r="AU613" t="s">
        <v>65</v>
      </c>
      <c r="AV613">
        <v>69</v>
      </c>
      <c r="AW613">
        <v>4</v>
      </c>
      <c r="AX613" t="s">
        <v>1177</v>
      </c>
      <c r="AY613" t="s">
        <v>1178</v>
      </c>
      <c r="AZ613" t="s">
        <v>1179</v>
      </c>
      <c r="BA613">
        <v>2.5760000000000002E-2</v>
      </c>
      <c r="BB613">
        <v>1</v>
      </c>
      <c r="BC613" t="s">
        <v>69</v>
      </c>
      <c r="BD613">
        <v>0.36899999999999999</v>
      </c>
      <c r="BE613">
        <v>-0.22800000000000001</v>
      </c>
    </row>
    <row r="614" spans="1:57">
      <c r="A614">
        <v>0</v>
      </c>
      <c r="B614">
        <v>0</v>
      </c>
      <c r="C614">
        <v>0</v>
      </c>
      <c r="D614">
        <v>726</v>
      </c>
      <c r="E614" t="s">
        <v>1180</v>
      </c>
      <c r="F614" t="s">
        <v>5762</v>
      </c>
      <c r="G614" t="s">
        <v>57</v>
      </c>
      <c r="H614">
        <v>755907</v>
      </c>
      <c r="I614">
        <v>756152</v>
      </c>
      <c r="J614" t="s">
        <v>1181</v>
      </c>
      <c r="K614">
        <v>82</v>
      </c>
      <c r="L614" t="s">
        <v>59</v>
      </c>
      <c r="M614">
        <v>5</v>
      </c>
      <c r="N614" t="str">
        <f>HYPERLINK("Gene726-zp_tree_all.dnd", "Gene726-tree")</f>
        <v>Gene726-tree</v>
      </c>
    </row>
    <row r="615" spans="1:57">
      <c r="A615">
        <v>0</v>
      </c>
      <c r="B615">
        <v>0</v>
      </c>
      <c r="C615">
        <v>0</v>
      </c>
      <c r="D615">
        <v>727</v>
      </c>
      <c r="E615" t="s">
        <v>1182</v>
      </c>
      <c r="F615" t="s">
        <v>5762</v>
      </c>
      <c r="G615" t="s">
        <v>57</v>
      </c>
      <c r="H615">
        <v>756139</v>
      </c>
      <c r="I615">
        <v>756399</v>
      </c>
      <c r="J615" t="s">
        <v>1181</v>
      </c>
      <c r="K615">
        <v>87</v>
      </c>
      <c r="L615" t="s">
        <v>112</v>
      </c>
      <c r="M615">
        <v>4</v>
      </c>
      <c r="N615" t="str">
        <f>HYPERLINK("Gene727-zp_tree_all.dnd", "Gene727-tree")</f>
        <v>Gene727-tree</v>
      </c>
    </row>
    <row r="616" spans="1:57">
      <c r="A616">
        <v>0</v>
      </c>
      <c r="B616">
        <v>0</v>
      </c>
      <c r="C616">
        <v>0</v>
      </c>
      <c r="D616">
        <v>728</v>
      </c>
      <c r="E616" t="s">
        <v>1183</v>
      </c>
      <c r="F616" t="s">
        <v>5762</v>
      </c>
      <c r="G616" t="s">
        <v>57</v>
      </c>
      <c r="H616">
        <v>756417</v>
      </c>
      <c r="I616">
        <v>756983</v>
      </c>
      <c r="J616" t="s">
        <v>1184</v>
      </c>
      <c r="K616">
        <v>189</v>
      </c>
      <c r="L616" t="s">
        <v>59</v>
      </c>
      <c r="M616">
        <v>5</v>
      </c>
      <c r="N616" t="str">
        <f>HYPERLINK("Gene728-zp_tree_all.dnd", "Gene728-tree")</f>
        <v>Gene728-tree</v>
      </c>
      <c r="O616">
        <v>5</v>
      </c>
      <c r="P616">
        <v>0</v>
      </c>
      <c r="Q616">
        <v>5</v>
      </c>
      <c r="R616">
        <v>0</v>
      </c>
      <c r="S616">
        <v>0</v>
      </c>
      <c r="T616" t="s">
        <v>98</v>
      </c>
      <c r="U616" t="s">
        <v>62</v>
      </c>
      <c r="V616" t="s">
        <v>62</v>
      </c>
      <c r="W616" t="s">
        <v>62</v>
      </c>
      <c r="X616">
        <v>0</v>
      </c>
      <c r="Y616">
        <v>0</v>
      </c>
      <c r="Z616">
        <v>2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5</v>
      </c>
      <c r="AM616">
        <v>2</v>
      </c>
      <c r="AN616">
        <v>19</v>
      </c>
      <c r="AO616">
        <v>0</v>
      </c>
      <c r="AP616">
        <v>19</v>
      </c>
      <c r="AQ616">
        <v>2</v>
      </c>
      <c r="AR616" t="s">
        <v>64</v>
      </c>
      <c r="AS616" t="s">
        <v>1185</v>
      </c>
      <c r="AT616">
        <v>0.85799999999999998</v>
      </c>
      <c r="AU616" t="s">
        <v>65</v>
      </c>
      <c r="AV616">
        <v>38</v>
      </c>
      <c r="AW616">
        <v>2</v>
      </c>
      <c r="AX616" t="s">
        <v>1186</v>
      </c>
      <c r="AY616" t="s">
        <v>1187</v>
      </c>
      <c r="AZ616" t="s">
        <v>1188</v>
      </c>
      <c r="BA616">
        <v>1.745E-2</v>
      </c>
      <c r="BB616">
        <v>1</v>
      </c>
      <c r="BC616" t="s">
        <v>69</v>
      </c>
      <c r="BD616">
        <v>1.0720000000000001</v>
      </c>
      <c r="BE616">
        <v>0.53600000000000003</v>
      </c>
    </row>
    <row r="617" spans="1:57">
      <c r="A617">
        <v>0</v>
      </c>
      <c r="B617">
        <v>0</v>
      </c>
      <c r="C617">
        <v>0</v>
      </c>
      <c r="D617">
        <v>735</v>
      </c>
      <c r="E617" t="s">
        <v>1189</v>
      </c>
      <c r="F617" t="s">
        <v>5762</v>
      </c>
      <c r="G617" t="s">
        <v>57</v>
      </c>
      <c r="H617">
        <v>762942</v>
      </c>
      <c r="I617">
        <v>763868</v>
      </c>
      <c r="J617" t="s">
        <v>1190</v>
      </c>
      <c r="K617">
        <v>309</v>
      </c>
      <c r="L617" t="s">
        <v>83</v>
      </c>
      <c r="M617">
        <v>4</v>
      </c>
      <c r="N617" t="str">
        <f>HYPERLINK("Gene735-zp_tree_all.dnd", "Gene735-tree")</f>
        <v>Gene735-tree</v>
      </c>
      <c r="O617">
        <v>3</v>
      </c>
      <c r="P617">
        <v>1</v>
      </c>
      <c r="Q617">
        <v>3</v>
      </c>
      <c r="R617">
        <v>1</v>
      </c>
      <c r="S617">
        <v>0.25</v>
      </c>
      <c r="T617" t="s">
        <v>84</v>
      </c>
      <c r="U617" t="s">
        <v>61</v>
      </c>
      <c r="V617" t="s">
        <v>62</v>
      </c>
      <c r="W617" t="s">
        <v>62</v>
      </c>
      <c r="X617">
        <v>0</v>
      </c>
      <c r="Y617">
        <v>0</v>
      </c>
      <c r="Z617">
        <v>6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6</v>
      </c>
      <c r="AK617">
        <v>0</v>
      </c>
      <c r="AL617">
        <v>4</v>
      </c>
      <c r="AM617">
        <v>1</v>
      </c>
      <c r="AN617">
        <v>32</v>
      </c>
      <c r="AO617">
        <v>6</v>
      </c>
      <c r="AP617">
        <v>6</v>
      </c>
      <c r="AQ617">
        <v>0</v>
      </c>
      <c r="AR617" t="s">
        <v>1191</v>
      </c>
      <c r="AS617" t="s">
        <v>64</v>
      </c>
      <c r="AT617">
        <v>0.40400000000000003</v>
      </c>
      <c r="AU617" t="s">
        <v>65</v>
      </c>
      <c r="AV617">
        <v>38</v>
      </c>
      <c r="AW617">
        <v>6</v>
      </c>
      <c r="AX617" t="s">
        <v>1192</v>
      </c>
      <c r="AY617" t="s">
        <v>1193</v>
      </c>
      <c r="AZ617" t="s">
        <v>1194</v>
      </c>
      <c r="BA617">
        <v>4.9950000000000001E-2</v>
      </c>
      <c r="BB617">
        <v>1</v>
      </c>
      <c r="BC617" t="s">
        <v>69</v>
      </c>
      <c r="BD617">
        <v>-0.433</v>
      </c>
      <c r="BE617">
        <v>-0.433</v>
      </c>
    </row>
    <row r="618" spans="1:57">
      <c r="A618">
        <v>0</v>
      </c>
      <c r="B618">
        <v>0</v>
      </c>
      <c r="C618">
        <v>2</v>
      </c>
      <c r="D618">
        <v>744</v>
      </c>
      <c r="E618" t="s">
        <v>1195</v>
      </c>
      <c r="F618" t="s">
        <v>5762</v>
      </c>
      <c r="G618" t="s">
        <v>57</v>
      </c>
      <c r="H618">
        <v>774138</v>
      </c>
      <c r="I618">
        <v>774788</v>
      </c>
      <c r="J618" t="s">
        <v>1196</v>
      </c>
      <c r="K618">
        <v>217</v>
      </c>
      <c r="L618" t="s">
        <v>59</v>
      </c>
      <c r="M618">
        <v>5</v>
      </c>
      <c r="N618" t="str">
        <f>HYPERLINK("Gene744-zp_tree_all.dnd", "Gene744-tree")</f>
        <v>Gene744-tree</v>
      </c>
      <c r="O618">
        <v>1</v>
      </c>
      <c r="P618">
        <v>4</v>
      </c>
      <c r="Q618">
        <v>1</v>
      </c>
      <c r="R618">
        <v>4</v>
      </c>
      <c r="S618">
        <v>0.8</v>
      </c>
      <c r="T618" t="s">
        <v>61</v>
      </c>
      <c r="U618" t="s">
        <v>60</v>
      </c>
      <c r="V618" t="s">
        <v>62</v>
      </c>
      <c r="W618" t="s">
        <v>62</v>
      </c>
      <c r="X618">
        <v>1</v>
      </c>
      <c r="Y618">
        <v>2</v>
      </c>
      <c r="Z618">
        <v>9</v>
      </c>
      <c r="AA618">
        <v>0.18182000000000001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2</v>
      </c>
      <c r="AI618">
        <v>2</v>
      </c>
      <c r="AJ618">
        <v>8</v>
      </c>
      <c r="AK618">
        <v>0.2</v>
      </c>
      <c r="AL618">
        <v>5</v>
      </c>
      <c r="AM618">
        <v>2</v>
      </c>
      <c r="AN618">
        <v>32</v>
      </c>
      <c r="AO618">
        <v>10</v>
      </c>
      <c r="AP618">
        <v>21</v>
      </c>
      <c r="AQ618">
        <v>1</v>
      </c>
      <c r="AR618" t="s">
        <v>1197</v>
      </c>
      <c r="AS618" t="s">
        <v>1198</v>
      </c>
      <c r="AT618">
        <v>2.339</v>
      </c>
      <c r="AU618" t="s">
        <v>286</v>
      </c>
      <c r="AV618">
        <v>53</v>
      </c>
      <c r="AW618">
        <v>11</v>
      </c>
      <c r="AX618" t="s">
        <v>1199</v>
      </c>
      <c r="AY618" t="s">
        <v>1200</v>
      </c>
      <c r="AZ618" t="s">
        <v>1201</v>
      </c>
      <c r="BA618">
        <v>4.641E-2</v>
      </c>
      <c r="BB618">
        <v>1</v>
      </c>
      <c r="BC618" t="s">
        <v>69</v>
      </c>
      <c r="BD618">
        <v>-9.1999999999999998E-2</v>
      </c>
      <c r="BE618">
        <v>-0.193</v>
      </c>
    </row>
    <row r="619" spans="1:57">
      <c r="A619">
        <v>0</v>
      </c>
      <c r="B619">
        <v>0</v>
      </c>
      <c r="C619">
        <v>0</v>
      </c>
      <c r="D619">
        <v>747</v>
      </c>
      <c r="E619" t="s">
        <v>1202</v>
      </c>
      <c r="F619" t="s">
        <v>5762</v>
      </c>
      <c r="G619" t="s">
        <v>57</v>
      </c>
      <c r="H619">
        <v>779529</v>
      </c>
      <c r="I619">
        <v>781034</v>
      </c>
      <c r="J619" t="s">
        <v>1203</v>
      </c>
      <c r="K619">
        <v>502</v>
      </c>
      <c r="L619" t="s">
        <v>59</v>
      </c>
      <c r="M619">
        <v>5</v>
      </c>
      <c r="N619" t="str">
        <f>HYPERLINK("Gene747-zp_tree_all.dnd", "Gene747-tree")</f>
        <v>Gene747-tree</v>
      </c>
      <c r="O619">
        <v>0</v>
      </c>
      <c r="P619">
        <v>5</v>
      </c>
      <c r="Q619">
        <v>0</v>
      </c>
      <c r="R619">
        <v>5</v>
      </c>
      <c r="S619">
        <v>1</v>
      </c>
      <c r="T619" t="s">
        <v>62</v>
      </c>
      <c r="U619" t="s">
        <v>98</v>
      </c>
      <c r="V619" t="s">
        <v>62</v>
      </c>
      <c r="W619" t="s">
        <v>62</v>
      </c>
      <c r="X619">
        <v>0</v>
      </c>
      <c r="Y619">
        <v>0</v>
      </c>
      <c r="Z619">
        <v>22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10</v>
      </c>
      <c r="AK619">
        <v>0</v>
      </c>
      <c r="AL619">
        <v>4</v>
      </c>
      <c r="AM619">
        <v>2</v>
      </c>
      <c r="AN619">
        <v>29</v>
      </c>
      <c r="AO619">
        <v>10</v>
      </c>
      <c r="AP619">
        <v>37</v>
      </c>
      <c r="AQ619">
        <v>12</v>
      </c>
      <c r="AR619" t="s">
        <v>1204</v>
      </c>
      <c r="AS619" t="s">
        <v>1205</v>
      </c>
      <c r="AT619">
        <v>0.13100000000000001</v>
      </c>
      <c r="AU619" t="s">
        <v>65</v>
      </c>
      <c r="AV619">
        <v>66</v>
      </c>
      <c r="AW619">
        <v>22</v>
      </c>
      <c r="AX619" t="s">
        <v>1206</v>
      </c>
      <c r="AY619" t="s">
        <v>1207</v>
      </c>
      <c r="AZ619" t="s">
        <v>1208</v>
      </c>
      <c r="BA619">
        <v>8.4860000000000005E-2</v>
      </c>
      <c r="BB619">
        <v>1</v>
      </c>
      <c r="BC619" t="s">
        <v>69</v>
      </c>
      <c r="BD619">
        <v>0.55500000000000005</v>
      </c>
      <c r="BE619">
        <v>0.39</v>
      </c>
    </row>
    <row r="620" spans="1:57">
      <c r="A620">
        <v>0</v>
      </c>
      <c r="B620">
        <v>0</v>
      </c>
      <c r="C620">
        <v>0</v>
      </c>
      <c r="D620">
        <v>748</v>
      </c>
      <c r="E620" t="s">
        <v>1209</v>
      </c>
      <c r="F620" t="s">
        <v>5762</v>
      </c>
      <c r="G620" t="s">
        <v>57</v>
      </c>
      <c r="H620">
        <v>781092</v>
      </c>
      <c r="I620">
        <v>782045</v>
      </c>
      <c r="J620" t="s">
        <v>1210</v>
      </c>
      <c r="K620">
        <v>318</v>
      </c>
      <c r="L620" t="s">
        <v>83</v>
      </c>
      <c r="M620">
        <v>4</v>
      </c>
      <c r="N620" t="str">
        <f>HYPERLINK("Gene748-zp_tree_all.dnd", "Gene748-tree")</f>
        <v>Gene748-tree</v>
      </c>
      <c r="O620">
        <v>0</v>
      </c>
      <c r="P620">
        <v>4</v>
      </c>
      <c r="Q620">
        <v>0</v>
      </c>
      <c r="R620">
        <v>4</v>
      </c>
      <c r="S620">
        <v>1</v>
      </c>
      <c r="T620" t="s">
        <v>62</v>
      </c>
      <c r="U620" t="s">
        <v>60</v>
      </c>
      <c r="V620" t="s">
        <v>62</v>
      </c>
      <c r="W620" t="s">
        <v>62</v>
      </c>
      <c r="X620">
        <v>0</v>
      </c>
      <c r="Y620">
        <v>0</v>
      </c>
      <c r="Z620">
        <v>6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5</v>
      </c>
      <c r="AK620">
        <v>0</v>
      </c>
      <c r="AL620">
        <v>4</v>
      </c>
      <c r="AM620">
        <v>1</v>
      </c>
      <c r="AN620">
        <v>45</v>
      </c>
      <c r="AO620">
        <v>5</v>
      </c>
      <c r="AP620">
        <v>5</v>
      </c>
      <c r="AQ620">
        <v>1</v>
      </c>
      <c r="AR620" t="s">
        <v>1211</v>
      </c>
      <c r="AS620" t="s">
        <v>1212</v>
      </c>
      <c r="AT620">
        <v>0.98099999999999998</v>
      </c>
      <c r="AU620" t="s">
        <v>65</v>
      </c>
      <c r="AV620">
        <v>50</v>
      </c>
      <c r="AW620">
        <v>6</v>
      </c>
      <c r="AX620" t="s">
        <v>1213</v>
      </c>
      <c r="AY620" t="s">
        <v>1214</v>
      </c>
      <c r="AZ620" t="s">
        <v>1215</v>
      </c>
      <c r="BA620">
        <v>3.184E-2</v>
      </c>
      <c r="BB620">
        <v>1</v>
      </c>
      <c r="BC620" t="s">
        <v>69</v>
      </c>
      <c r="BD620">
        <v>-0.40500000000000003</v>
      </c>
      <c r="BE620">
        <v>-0.57899999999999996</v>
      </c>
    </row>
    <row r="621" spans="1:57">
      <c r="A621">
        <v>0</v>
      </c>
      <c r="B621">
        <v>0</v>
      </c>
      <c r="C621">
        <v>0</v>
      </c>
      <c r="D621">
        <v>749</v>
      </c>
      <c r="E621" t="s">
        <v>1216</v>
      </c>
      <c r="F621" t="s">
        <v>5762</v>
      </c>
      <c r="G621" t="s">
        <v>57</v>
      </c>
      <c r="H621">
        <v>782062</v>
      </c>
      <c r="I621">
        <v>782946</v>
      </c>
      <c r="J621" t="s">
        <v>1210</v>
      </c>
      <c r="K621">
        <v>295</v>
      </c>
      <c r="L621" t="s">
        <v>83</v>
      </c>
      <c r="M621">
        <v>4</v>
      </c>
      <c r="N621" t="str">
        <f>HYPERLINK("Gene749-zp_tree_all.dnd", "Gene749-tree")</f>
        <v>Gene749-tree</v>
      </c>
      <c r="O621">
        <v>3</v>
      </c>
      <c r="P621">
        <v>1</v>
      </c>
      <c r="Q621">
        <v>3</v>
      </c>
      <c r="R621">
        <v>1</v>
      </c>
      <c r="S621">
        <v>0.25</v>
      </c>
      <c r="T621" t="s">
        <v>84</v>
      </c>
      <c r="U621" t="s">
        <v>61</v>
      </c>
      <c r="V621" t="s">
        <v>62</v>
      </c>
      <c r="W621" t="s">
        <v>62</v>
      </c>
      <c r="X621">
        <v>0</v>
      </c>
      <c r="Y621">
        <v>0</v>
      </c>
      <c r="Z621">
        <v>2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2</v>
      </c>
      <c r="AK621">
        <v>0</v>
      </c>
      <c r="AL621">
        <v>4</v>
      </c>
      <c r="AM621">
        <v>1</v>
      </c>
      <c r="AN621">
        <v>53</v>
      </c>
      <c r="AO621">
        <v>2</v>
      </c>
      <c r="AP621">
        <v>5</v>
      </c>
      <c r="AQ621">
        <v>0</v>
      </c>
      <c r="AR621" t="s">
        <v>1217</v>
      </c>
      <c r="AS621" t="s">
        <v>64</v>
      </c>
      <c r="AT621">
        <v>0.48899999999999999</v>
      </c>
      <c r="AU621" t="s">
        <v>65</v>
      </c>
      <c r="AV621">
        <v>58</v>
      </c>
      <c r="AW621">
        <v>2</v>
      </c>
      <c r="AX621" t="s">
        <v>1218</v>
      </c>
      <c r="AY621" t="s">
        <v>1219</v>
      </c>
      <c r="AZ621" t="s">
        <v>1220</v>
      </c>
      <c r="BA621">
        <v>1.004E-2</v>
      </c>
      <c r="BB621">
        <v>1</v>
      </c>
      <c r="BC621" t="s">
        <v>69</v>
      </c>
      <c r="BD621">
        <v>-0.35699999999999998</v>
      </c>
      <c r="BE621">
        <v>-0.52700000000000002</v>
      </c>
    </row>
    <row r="622" spans="1:57">
      <c r="A622">
        <v>0</v>
      </c>
      <c r="B622">
        <v>0</v>
      </c>
      <c r="C622">
        <v>0</v>
      </c>
      <c r="D622">
        <v>756</v>
      </c>
      <c r="E622" t="s">
        <v>1221</v>
      </c>
      <c r="F622" t="s">
        <v>5762</v>
      </c>
      <c r="G622" t="s">
        <v>57</v>
      </c>
      <c r="H622">
        <v>787715</v>
      </c>
      <c r="I622">
        <v>787879</v>
      </c>
      <c r="J622" t="s">
        <v>170</v>
      </c>
      <c r="K622">
        <v>55</v>
      </c>
      <c r="L622" t="s">
        <v>59</v>
      </c>
      <c r="M622">
        <v>5</v>
      </c>
      <c r="N622" t="str">
        <f>HYPERLINK("Gene756-zp_tree_all.dnd", "Gene756-tree")</f>
        <v>Gene756-tree</v>
      </c>
      <c r="O622">
        <v>2</v>
      </c>
      <c r="P622">
        <v>3</v>
      </c>
      <c r="Q622">
        <v>2</v>
      </c>
      <c r="R622">
        <v>2</v>
      </c>
      <c r="S622">
        <v>0.5</v>
      </c>
      <c r="T622" t="s">
        <v>135</v>
      </c>
      <c r="U622" t="s">
        <v>217</v>
      </c>
      <c r="V622">
        <v>0.30599999999999999</v>
      </c>
      <c r="W622" t="s">
        <v>65</v>
      </c>
      <c r="X622">
        <v>0</v>
      </c>
      <c r="Y622">
        <v>0</v>
      </c>
      <c r="Z622">
        <v>3</v>
      </c>
      <c r="AA622">
        <v>0</v>
      </c>
      <c r="AB622">
        <v>0</v>
      </c>
      <c r="AC622">
        <v>0</v>
      </c>
      <c r="AD622">
        <v>0</v>
      </c>
      <c r="AE622">
        <v>1</v>
      </c>
      <c r="AF622">
        <v>0</v>
      </c>
      <c r="AG622">
        <v>0</v>
      </c>
      <c r="AH622">
        <v>0</v>
      </c>
      <c r="AI622">
        <v>0</v>
      </c>
      <c r="AJ622">
        <v>2</v>
      </c>
      <c r="AK622">
        <v>0</v>
      </c>
      <c r="AL622">
        <v>4</v>
      </c>
      <c r="AM622">
        <v>1</v>
      </c>
      <c r="AN622">
        <v>8</v>
      </c>
      <c r="AO622">
        <v>2</v>
      </c>
      <c r="AP622">
        <v>1</v>
      </c>
      <c r="AQ622">
        <v>1</v>
      </c>
      <c r="AR622" t="s">
        <v>1222</v>
      </c>
      <c r="AS622" t="s">
        <v>1223</v>
      </c>
      <c r="AT622">
        <v>5.4669999999999996</v>
      </c>
      <c r="AU622" t="s">
        <v>65</v>
      </c>
      <c r="AV622">
        <v>9</v>
      </c>
      <c r="AW622">
        <v>3</v>
      </c>
      <c r="AX622" t="s">
        <v>1224</v>
      </c>
      <c r="AY622" t="s">
        <v>1225</v>
      </c>
      <c r="AZ622" t="s">
        <v>1226</v>
      </c>
      <c r="BA622">
        <v>9.3810000000000004E-2</v>
      </c>
      <c r="BB622">
        <v>1</v>
      </c>
      <c r="BC622" t="s">
        <v>69</v>
      </c>
      <c r="BD622">
        <v>0.05</v>
      </c>
      <c r="BE622">
        <v>0.05</v>
      </c>
    </row>
    <row r="623" spans="1:57">
      <c r="A623">
        <v>0</v>
      </c>
      <c r="B623">
        <v>0</v>
      </c>
      <c r="C623">
        <v>0</v>
      </c>
      <c r="D623">
        <v>764</v>
      </c>
      <c r="E623" t="s">
        <v>1227</v>
      </c>
      <c r="F623" t="s">
        <v>5762</v>
      </c>
      <c r="G623" t="s">
        <v>57</v>
      </c>
      <c r="H623">
        <v>798469</v>
      </c>
      <c r="I623">
        <v>799230</v>
      </c>
      <c r="J623" t="s">
        <v>1228</v>
      </c>
      <c r="K623">
        <v>254</v>
      </c>
      <c r="L623" t="s">
        <v>59</v>
      </c>
      <c r="M623">
        <v>5</v>
      </c>
      <c r="N623" t="str">
        <f>HYPERLINK("Gene764-zp_tree_all.dnd", "Gene764-tree")</f>
        <v>Gene764-tree</v>
      </c>
      <c r="O623">
        <v>1</v>
      </c>
      <c r="P623">
        <v>4</v>
      </c>
      <c r="Q623">
        <v>1</v>
      </c>
      <c r="R623">
        <v>3</v>
      </c>
      <c r="S623">
        <v>0.75</v>
      </c>
      <c r="T623" t="s">
        <v>61</v>
      </c>
      <c r="U623" t="s">
        <v>119</v>
      </c>
      <c r="V623">
        <v>5</v>
      </c>
      <c r="W623" t="s">
        <v>286</v>
      </c>
      <c r="X623">
        <v>0</v>
      </c>
      <c r="Y623">
        <v>0</v>
      </c>
      <c r="Z623">
        <v>8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7</v>
      </c>
      <c r="AK623">
        <v>0</v>
      </c>
      <c r="AL623">
        <v>4</v>
      </c>
      <c r="AM623">
        <v>1</v>
      </c>
      <c r="AN623">
        <v>31</v>
      </c>
      <c r="AO623">
        <v>7</v>
      </c>
      <c r="AP623">
        <v>4</v>
      </c>
      <c r="AQ623">
        <v>1</v>
      </c>
      <c r="AR623" t="s">
        <v>1229</v>
      </c>
      <c r="AS623" t="s">
        <v>1230</v>
      </c>
      <c r="AT623">
        <v>0.33300000000000002</v>
      </c>
      <c r="AU623" t="s">
        <v>65</v>
      </c>
      <c r="AV623">
        <v>35</v>
      </c>
      <c r="AW623">
        <v>8</v>
      </c>
      <c r="AX623" t="s">
        <v>1231</v>
      </c>
      <c r="AY623" t="s">
        <v>1232</v>
      </c>
      <c r="AZ623" t="s">
        <v>1233</v>
      </c>
      <c r="BA623">
        <v>6.2390000000000001E-2</v>
      </c>
      <c r="BB623">
        <v>1</v>
      </c>
      <c r="BC623" t="s">
        <v>69</v>
      </c>
      <c r="BD623">
        <v>0.58099999999999996</v>
      </c>
      <c r="BE623">
        <v>0.42799999999999999</v>
      </c>
    </row>
    <row r="624" spans="1:57">
      <c r="A624">
        <v>0</v>
      </c>
      <c r="B624">
        <v>0</v>
      </c>
      <c r="C624">
        <v>0</v>
      </c>
      <c r="D624">
        <v>776</v>
      </c>
      <c r="E624" t="s">
        <v>1234</v>
      </c>
      <c r="F624" t="s">
        <v>5762</v>
      </c>
      <c r="G624" t="s">
        <v>57</v>
      </c>
      <c r="H624">
        <v>812140</v>
      </c>
      <c r="I624">
        <v>812559</v>
      </c>
      <c r="J624" t="s">
        <v>1235</v>
      </c>
      <c r="K624">
        <v>140</v>
      </c>
      <c r="L624" t="s">
        <v>59</v>
      </c>
      <c r="M624">
        <v>5</v>
      </c>
      <c r="N624" t="str">
        <f>HYPERLINK("Gene776-zp_tree_all.dnd", "Gene776-tree")</f>
        <v>Gene776-tree</v>
      </c>
      <c r="O624">
        <v>4</v>
      </c>
      <c r="P624">
        <v>1</v>
      </c>
      <c r="Q624">
        <v>3</v>
      </c>
      <c r="R624">
        <v>1</v>
      </c>
      <c r="S624">
        <v>0.25</v>
      </c>
      <c r="T624" t="s">
        <v>119</v>
      </c>
      <c r="U624" t="s">
        <v>61</v>
      </c>
      <c r="V624" t="s">
        <v>62</v>
      </c>
      <c r="W624" t="s">
        <v>62</v>
      </c>
      <c r="X624">
        <v>0</v>
      </c>
      <c r="Y624">
        <v>0</v>
      </c>
      <c r="Z624">
        <v>2</v>
      </c>
      <c r="AA624">
        <v>0</v>
      </c>
      <c r="AB624">
        <v>0</v>
      </c>
      <c r="AC624">
        <v>0</v>
      </c>
      <c r="AD624">
        <v>0</v>
      </c>
      <c r="AE624">
        <v>1</v>
      </c>
      <c r="AF624">
        <v>0</v>
      </c>
      <c r="AG624">
        <v>0</v>
      </c>
      <c r="AH624">
        <v>0</v>
      </c>
      <c r="AI624">
        <v>0</v>
      </c>
      <c r="AJ624">
        <v>1</v>
      </c>
      <c r="AK624">
        <v>0</v>
      </c>
      <c r="AL624">
        <v>4</v>
      </c>
      <c r="AM624">
        <v>1</v>
      </c>
      <c r="AN624">
        <v>7</v>
      </c>
      <c r="AO624">
        <v>2</v>
      </c>
      <c r="AP624">
        <v>5</v>
      </c>
      <c r="AQ624">
        <v>1</v>
      </c>
      <c r="AR624" t="s">
        <v>1236</v>
      </c>
      <c r="AS624" t="s">
        <v>1237</v>
      </c>
      <c r="AT624">
        <v>0.186</v>
      </c>
      <c r="AU624" t="s">
        <v>65</v>
      </c>
      <c r="AV624">
        <v>12</v>
      </c>
      <c r="AW624">
        <v>3</v>
      </c>
      <c r="AX624" t="s">
        <v>1238</v>
      </c>
      <c r="AY624" t="s">
        <v>1239</v>
      </c>
      <c r="AZ624" t="s">
        <v>1240</v>
      </c>
      <c r="BA624">
        <v>6.1129999999999997E-2</v>
      </c>
      <c r="BB624">
        <v>1</v>
      </c>
      <c r="BC624" t="s">
        <v>69</v>
      </c>
      <c r="BD624">
        <v>0.40600000000000003</v>
      </c>
      <c r="BE624">
        <v>0.40600000000000003</v>
      </c>
    </row>
    <row r="625" spans="1:57">
      <c r="A625">
        <v>0</v>
      </c>
      <c r="B625">
        <v>0</v>
      </c>
      <c r="C625">
        <v>0</v>
      </c>
      <c r="D625">
        <v>792</v>
      </c>
      <c r="E625" t="s">
        <v>1248</v>
      </c>
      <c r="F625" t="s">
        <v>5762</v>
      </c>
      <c r="G625" t="s">
        <v>57</v>
      </c>
      <c r="H625">
        <v>829382</v>
      </c>
      <c r="I625">
        <v>830815</v>
      </c>
      <c r="J625" t="s">
        <v>1249</v>
      </c>
      <c r="K625">
        <v>478</v>
      </c>
      <c r="L625" t="s">
        <v>59</v>
      </c>
      <c r="M625">
        <v>5</v>
      </c>
      <c r="N625" t="str">
        <f>HYPERLINK("Gene792-zp_tree_all.dnd", "Gene792-tree")</f>
        <v>Gene792-tree</v>
      </c>
      <c r="O625">
        <v>3</v>
      </c>
      <c r="P625">
        <v>2</v>
      </c>
      <c r="Q625">
        <v>3</v>
      </c>
      <c r="R625">
        <v>2</v>
      </c>
      <c r="S625">
        <v>0.4</v>
      </c>
      <c r="T625" t="s">
        <v>84</v>
      </c>
      <c r="U625" t="s">
        <v>135</v>
      </c>
      <c r="V625" t="s">
        <v>62</v>
      </c>
      <c r="W625" t="s">
        <v>62</v>
      </c>
      <c r="X625">
        <v>0</v>
      </c>
      <c r="Y625">
        <v>0</v>
      </c>
      <c r="Z625">
        <v>11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7</v>
      </c>
      <c r="AK625">
        <v>0</v>
      </c>
      <c r="AL625">
        <v>5</v>
      </c>
      <c r="AM625">
        <v>1</v>
      </c>
      <c r="AN625">
        <v>53</v>
      </c>
      <c r="AO625">
        <v>8</v>
      </c>
      <c r="AP625">
        <v>30</v>
      </c>
      <c r="AQ625">
        <v>4</v>
      </c>
      <c r="AR625" t="s">
        <v>1250</v>
      </c>
      <c r="AS625" t="s">
        <v>1251</v>
      </c>
      <c r="AT625">
        <v>0.17399999999999999</v>
      </c>
      <c r="AU625" t="s">
        <v>65</v>
      </c>
      <c r="AV625">
        <v>83</v>
      </c>
      <c r="AW625">
        <v>12</v>
      </c>
      <c r="AX625" t="s">
        <v>1252</v>
      </c>
      <c r="AY625" t="s">
        <v>1253</v>
      </c>
      <c r="AZ625" t="s">
        <v>1254</v>
      </c>
      <c r="BA625">
        <v>4.3580000000000001E-2</v>
      </c>
      <c r="BB625">
        <v>1</v>
      </c>
      <c r="BC625" t="s">
        <v>69</v>
      </c>
      <c r="BD625">
        <v>5.2999999999999999E-2</v>
      </c>
      <c r="BE625">
        <v>-0.2</v>
      </c>
    </row>
    <row r="626" spans="1:57">
      <c r="A626">
        <v>0</v>
      </c>
      <c r="B626">
        <v>0</v>
      </c>
      <c r="C626">
        <v>0</v>
      </c>
      <c r="D626">
        <v>796</v>
      </c>
      <c r="E626" t="s">
        <v>1255</v>
      </c>
      <c r="F626" t="s">
        <v>5762</v>
      </c>
      <c r="G626" t="s">
        <v>57</v>
      </c>
      <c r="H626">
        <v>834383</v>
      </c>
      <c r="I626">
        <v>835681</v>
      </c>
      <c r="J626" t="s">
        <v>1256</v>
      </c>
      <c r="K626">
        <v>433</v>
      </c>
      <c r="L626" t="s">
        <v>59</v>
      </c>
      <c r="M626">
        <v>5</v>
      </c>
      <c r="N626" t="str">
        <f>HYPERLINK("Gene796-zp_tree_all.dnd", "Gene796-tree")</f>
        <v>Gene796-tree</v>
      </c>
      <c r="O626">
        <v>3</v>
      </c>
      <c r="P626">
        <v>2</v>
      </c>
      <c r="Q626">
        <v>3</v>
      </c>
      <c r="R626">
        <v>2</v>
      </c>
      <c r="S626">
        <v>0.4</v>
      </c>
      <c r="T626" t="s">
        <v>84</v>
      </c>
      <c r="U626" t="s">
        <v>135</v>
      </c>
      <c r="V626" t="s">
        <v>62</v>
      </c>
      <c r="W626" t="s">
        <v>62</v>
      </c>
      <c r="X626">
        <v>0</v>
      </c>
      <c r="Y626">
        <v>0</v>
      </c>
      <c r="Z626">
        <v>3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3</v>
      </c>
      <c r="AK626">
        <v>0</v>
      </c>
      <c r="AL626">
        <v>5</v>
      </c>
      <c r="AM626">
        <v>2</v>
      </c>
      <c r="AN626">
        <v>46</v>
      </c>
      <c r="AO626">
        <v>3</v>
      </c>
      <c r="AP626">
        <v>44</v>
      </c>
      <c r="AQ626">
        <v>0</v>
      </c>
      <c r="AR626" t="s">
        <v>1257</v>
      </c>
      <c r="AS626" t="s">
        <v>64</v>
      </c>
      <c r="AT626">
        <v>0.98299999999999998</v>
      </c>
      <c r="AU626" t="s">
        <v>65</v>
      </c>
      <c r="AV626">
        <v>90</v>
      </c>
      <c r="AW626">
        <v>3</v>
      </c>
      <c r="AX626" t="s">
        <v>1258</v>
      </c>
      <c r="AY626" t="s">
        <v>1259</v>
      </c>
      <c r="AZ626" t="s">
        <v>1260</v>
      </c>
      <c r="BA626">
        <v>8.0099999999999998E-3</v>
      </c>
      <c r="BB626">
        <v>1</v>
      </c>
      <c r="BC626" t="s">
        <v>69</v>
      </c>
      <c r="BD626">
        <v>0.37</v>
      </c>
      <c r="BE626">
        <v>0.22800000000000001</v>
      </c>
    </row>
    <row r="627" spans="1:57">
      <c r="A627">
        <v>0</v>
      </c>
      <c r="B627">
        <v>0</v>
      </c>
      <c r="C627">
        <v>0</v>
      </c>
      <c r="D627">
        <v>830</v>
      </c>
      <c r="E627" t="s">
        <v>1277</v>
      </c>
      <c r="F627" t="s">
        <v>5762</v>
      </c>
      <c r="G627" t="s">
        <v>57</v>
      </c>
      <c r="H627">
        <v>869273</v>
      </c>
      <c r="I627">
        <v>869455</v>
      </c>
      <c r="J627" t="s">
        <v>170</v>
      </c>
      <c r="K627">
        <v>61</v>
      </c>
      <c r="L627" t="s">
        <v>59</v>
      </c>
      <c r="M627">
        <v>5</v>
      </c>
      <c r="N627" t="str">
        <f>HYPERLINK("Gene830-zp_tree_all.dnd", "Gene830-tree")</f>
        <v>Gene830-tree</v>
      </c>
      <c r="O627">
        <v>5</v>
      </c>
      <c r="P627">
        <v>0</v>
      </c>
      <c r="Q627">
        <v>4</v>
      </c>
      <c r="R627">
        <v>0</v>
      </c>
      <c r="S627">
        <v>0</v>
      </c>
      <c r="T627" t="s">
        <v>150</v>
      </c>
      <c r="U627" t="s">
        <v>62</v>
      </c>
      <c r="V627" t="s">
        <v>62</v>
      </c>
      <c r="W627" t="s">
        <v>62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4</v>
      </c>
      <c r="AM627">
        <v>1</v>
      </c>
      <c r="AN627">
        <v>7</v>
      </c>
      <c r="AO627">
        <v>0</v>
      </c>
      <c r="AP627">
        <v>2</v>
      </c>
      <c r="AQ627">
        <v>0</v>
      </c>
      <c r="AR627" t="s">
        <v>64</v>
      </c>
      <c r="AS627" t="s">
        <v>64</v>
      </c>
      <c r="AT627">
        <v>0</v>
      </c>
      <c r="AU627" t="s">
        <v>65</v>
      </c>
      <c r="AV627">
        <v>9</v>
      </c>
      <c r="AW627">
        <v>0</v>
      </c>
      <c r="AX627" t="s">
        <v>1278</v>
      </c>
      <c r="AY627" t="s">
        <v>1279</v>
      </c>
      <c r="AZ627" t="s">
        <v>64</v>
      </c>
      <c r="BA627">
        <v>0</v>
      </c>
      <c r="BB627">
        <v>1</v>
      </c>
      <c r="BC627" t="s">
        <v>69</v>
      </c>
      <c r="BD627">
        <v>0.66100000000000003</v>
      </c>
      <c r="BE627">
        <v>0.66100000000000003</v>
      </c>
    </row>
    <row r="628" spans="1:57">
      <c r="A628">
        <v>0</v>
      </c>
      <c r="B628">
        <v>0</v>
      </c>
      <c r="C628">
        <v>0</v>
      </c>
      <c r="D628">
        <v>836</v>
      </c>
      <c r="E628" t="s">
        <v>1280</v>
      </c>
      <c r="F628" t="s">
        <v>5762</v>
      </c>
      <c r="G628" t="s">
        <v>57</v>
      </c>
      <c r="H628">
        <v>875428</v>
      </c>
      <c r="I628">
        <v>875691</v>
      </c>
      <c r="J628" t="s">
        <v>170</v>
      </c>
      <c r="K628">
        <v>88</v>
      </c>
      <c r="L628" t="s">
        <v>83</v>
      </c>
      <c r="M628">
        <v>4</v>
      </c>
      <c r="N628" t="str">
        <f>HYPERLINK("Gene836-zp_tree_all.dnd", "Gene836-tree")</f>
        <v>Gene836-tree</v>
      </c>
      <c r="O628">
        <v>0</v>
      </c>
      <c r="P628">
        <v>4</v>
      </c>
      <c r="Q628">
        <v>0</v>
      </c>
      <c r="R628">
        <v>4</v>
      </c>
      <c r="S628">
        <v>1</v>
      </c>
      <c r="T628" t="s">
        <v>62</v>
      </c>
      <c r="U628" t="s">
        <v>60</v>
      </c>
      <c r="V628" t="s">
        <v>62</v>
      </c>
      <c r="W628" t="s">
        <v>62</v>
      </c>
      <c r="X628">
        <v>0</v>
      </c>
      <c r="Y628">
        <v>0</v>
      </c>
      <c r="Z628">
        <v>4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4</v>
      </c>
      <c r="AK628">
        <v>0</v>
      </c>
      <c r="AL628">
        <v>3</v>
      </c>
      <c r="AM628">
        <v>0</v>
      </c>
      <c r="AN628">
        <v>2</v>
      </c>
      <c r="AO628">
        <v>4</v>
      </c>
      <c r="AP628">
        <v>0</v>
      </c>
      <c r="AQ628">
        <v>0</v>
      </c>
      <c r="AR628" t="s">
        <v>1281</v>
      </c>
      <c r="AS628" t="s">
        <v>64</v>
      </c>
      <c r="AT628">
        <v>0.81499999999999995</v>
      </c>
      <c r="AU628" t="s">
        <v>65</v>
      </c>
      <c r="AV628">
        <v>2</v>
      </c>
      <c r="AW628">
        <v>4</v>
      </c>
      <c r="AX628" t="s">
        <v>1282</v>
      </c>
      <c r="AY628" t="s">
        <v>1283</v>
      </c>
      <c r="AZ628" t="s">
        <v>1284</v>
      </c>
      <c r="BA628">
        <v>0.53502000000000005</v>
      </c>
      <c r="BB628">
        <v>0.59299999999999997</v>
      </c>
      <c r="BC628" t="s">
        <v>793</v>
      </c>
      <c r="BD628">
        <v>-0.80900000000000005</v>
      </c>
      <c r="BE628">
        <v>-0.80900000000000005</v>
      </c>
    </row>
    <row r="629" spans="1:57">
      <c r="A629">
        <v>0</v>
      </c>
      <c r="B629">
        <v>0</v>
      </c>
      <c r="C629">
        <v>2</v>
      </c>
      <c r="D629">
        <v>853</v>
      </c>
      <c r="E629" t="s">
        <v>1290</v>
      </c>
      <c r="F629" t="s">
        <v>5762</v>
      </c>
      <c r="G629" t="s">
        <v>57</v>
      </c>
      <c r="H629">
        <v>891436</v>
      </c>
      <c r="I629">
        <v>892197</v>
      </c>
      <c r="J629" t="s">
        <v>1291</v>
      </c>
      <c r="K629">
        <v>254</v>
      </c>
      <c r="L629" t="s">
        <v>59</v>
      </c>
      <c r="M629">
        <v>5</v>
      </c>
      <c r="N629" t="str">
        <f>HYPERLINK("Gene853-zp_tree_all.dnd", "Gene853-tree")</f>
        <v>Gene853-tree</v>
      </c>
      <c r="O629">
        <v>0</v>
      </c>
      <c r="P629">
        <v>5</v>
      </c>
      <c r="Q629">
        <v>0</v>
      </c>
      <c r="R629">
        <v>4</v>
      </c>
      <c r="S629">
        <v>1</v>
      </c>
      <c r="T629" t="s">
        <v>62</v>
      </c>
      <c r="U629" t="s">
        <v>150</v>
      </c>
      <c r="V629">
        <v>3.1949999999999998</v>
      </c>
      <c r="W629" t="s">
        <v>65</v>
      </c>
      <c r="X629">
        <v>1</v>
      </c>
      <c r="Y629">
        <v>2</v>
      </c>
      <c r="Z629">
        <v>11</v>
      </c>
      <c r="AA629">
        <v>0.15384999999999999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2</v>
      </c>
      <c r="AI629">
        <v>2</v>
      </c>
      <c r="AJ629">
        <v>11</v>
      </c>
      <c r="AK629">
        <v>0.15384999999999999</v>
      </c>
      <c r="AL629">
        <v>4</v>
      </c>
      <c r="AM629">
        <v>1</v>
      </c>
      <c r="AN629">
        <v>30</v>
      </c>
      <c r="AO629">
        <v>8</v>
      </c>
      <c r="AP629">
        <v>11</v>
      </c>
      <c r="AQ629">
        <v>5</v>
      </c>
      <c r="AR629" t="s">
        <v>1292</v>
      </c>
      <c r="AS629" t="s">
        <v>1293</v>
      </c>
      <c r="AT629">
        <v>1.96</v>
      </c>
      <c r="AU629" t="s">
        <v>65</v>
      </c>
      <c r="AV629">
        <v>41</v>
      </c>
      <c r="AW629">
        <v>13</v>
      </c>
      <c r="AX629" t="s">
        <v>1294</v>
      </c>
      <c r="AY629" t="s">
        <v>1295</v>
      </c>
      <c r="AZ629" t="s">
        <v>1296</v>
      </c>
      <c r="BA629">
        <v>8.5970000000000005E-2</v>
      </c>
      <c r="BB629">
        <v>1</v>
      </c>
      <c r="BC629" t="s">
        <v>69</v>
      </c>
      <c r="BD629">
        <v>0.16800000000000001</v>
      </c>
      <c r="BE629">
        <v>-0.19</v>
      </c>
    </row>
    <row r="630" spans="1:57">
      <c r="A630">
        <v>0</v>
      </c>
      <c r="B630">
        <v>0</v>
      </c>
      <c r="C630">
        <v>2</v>
      </c>
      <c r="D630">
        <v>900</v>
      </c>
      <c r="E630" t="s">
        <v>1324</v>
      </c>
      <c r="F630" t="s">
        <v>5762</v>
      </c>
      <c r="G630" t="s">
        <v>57</v>
      </c>
      <c r="H630">
        <v>938243</v>
      </c>
      <c r="I630">
        <v>938584</v>
      </c>
      <c r="J630" t="s">
        <v>170</v>
      </c>
      <c r="K630">
        <v>114</v>
      </c>
      <c r="L630" t="s">
        <v>83</v>
      </c>
      <c r="M630">
        <v>4</v>
      </c>
      <c r="N630" t="str">
        <f>HYPERLINK("Gene900-zp_tree_all.dnd", "Gene900-tree")</f>
        <v>Gene900-tree</v>
      </c>
      <c r="O630">
        <v>2</v>
      </c>
      <c r="P630">
        <v>2</v>
      </c>
      <c r="Q630">
        <v>2</v>
      </c>
      <c r="R630">
        <v>2</v>
      </c>
      <c r="S630">
        <v>0.5</v>
      </c>
      <c r="T630" t="s">
        <v>135</v>
      </c>
      <c r="U630" t="s">
        <v>135</v>
      </c>
      <c r="V630" t="s">
        <v>62</v>
      </c>
      <c r="W630" t="s">
        <v>62</v>
      </c>
      <c r="X630">
        <v>1</v>
      </c>
      <c r="Y630">
        <v>2</v>
      </c>
      <c r="Z630">
        <v>4</v>
      </c>
      <c r="AA630">
        <v>0.33333000000000002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2</v>
      </c>
      <c r="AI630">
        <v>2</v>
      </c>
      <c r="AJ630">
        <v>4</v>
      </c>
      <c r="AK630">
        <v>0.33333000000000002</v>
      </c>
      <c r="AL630">
        <v>2</v>
      </c>
      <c r="AM630">
        <v>1</v>
      </c>
      <c r="AN630">
        <v>9</v>
      </c>
      <c r="AO630">
        <v>6</v>
      </c>
      <c r="AP630">
        <v>2</v>
      </c>
      <c r="AQ630">
        <v>0</v>
      </c>
      <c r="AR630" t="s">
        <v>1325</v>
      </c>
      <c r="AS630" t="s">
        <v>64</v>
      </c>
      <c r="AT630">
        <v>0.97699999999999998</v>
      </c>
      <c r="AU630" t="s">
        <v>65</v>
      </c>
      <c r="AV630">
        <v>11</v>
      </c>
      <c r="AW630">
        <v>6</v>
      </c>
      <c r="AX630" t="s">
        <v>1326</v>
      </c>
      <c r="AY630" t="s">
        <v>1327</v>
      </c>
      <c r="AZ630" t="s">
        <v>1328</v>
      </c>
      <c r="BA630">
        <v>0.10975</v>
      </c>
      <c r="BB630">
        <v>1</v>
      </c>
      <c r="BC630" t="s">
        <v>69</v>
      </c>
      <c r="BD630">
        <v>-0.48399999999999999</v>
      </c>
      <c r="BE630">
        <v>-0.48399999999999999</v>
      </c>
    </row>
    <row r="631" spans="1:57">
      <c r="A631">
        <v>0</v>
      </c>
      <c r="B631">
        <v>0</v>
      </c>
      <c r="C631">
        <v>0</v>
      </c>
      <c r="D631">
        <v>901</v>
      </c>
      <c r="E631" t="s">
        <v>1329</v>
      </c>
      <c r="F631" t="s">
        <v>5762</v>
      </c>
      <c r="G631" t="s">
        <v>57</v>
      </c>
      <c r="H631">
        <v>938731</v>
      </c>
      <c r="I631">
        <v>939258</v>
      </c>
      <c r="J631" t="s">
        <v>1330</v>
      </c>
      <c r="K631">
        <v>176</v>
      </c>
      <c r="L631" t="s">
        <v>59</v>
      </c>
      <c r="M631">
        <v>5</v>
      </c>
      <c r="N631" t="str">
        <f>HYPERLINK("Gene901-zp_tree_all.dnd", "Gene901-tree")</f>
        <v>Gene901-tree</v>
      </c>
      <c r="O631">
        <v>5</v>
      </c>
      <c r="P631">
        <v>0</v>
      </c>
      <c r="Q631">
        <v>4</v>
      </c>
      <c r="R631">
        <v>0</v>
      </c>
      <c r="S631">
        <v>0</v>
      </c>
      <c r="T631" t="s">
        <v>150</v>
      </c>
      <c r="U631" t="s">
        <v>62</v>
      </c>
      <c r="V631" t="s">
        <v>62</v>
      </c>
      <c r="W631" t="s">
        <v>62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4</v>
      </c>
      <c r="AM631">
        <v>1</v>
      </c>
      <c r="AN631">
        <v>11</v>
      </c>
      <c r="AO631">
        <v>0</v>
      </c>
      <c r="AP631">
        <v>5</v>
      </c>
      <c r="AQ631">
        <v>0</v>
      </c>
      <c r="AR631" t="s">
        <v>64</v>
      </c>
      <c r="AS631" t="s">
        <v>64</v>
      </c>
      <c r="AT631">
        <v>0</v>
      </c>
      <c r="AU631" t="s">
        <v>65</v>
      </c>
      <c r="AV631">
        <v>16</v>
      </c>
      <c r="AW631">
        <v>0</v>
      </c>
      <c r="AX631" t="s">
        <v>1331</v>
      </c>
      <c r="AY631" t="s">
        <v>1332</v>
      </c>
      <c r="AZ631" t="s">
        <v>64</v>
      </c>
      <c r="BA631">
        <v>0</v>
      </c>
      <c r="BB631">
        <v>1</v>
      </c>
      <c r="BC631" t="s">
        <v>69</v>
      </c>
      <c r="BD631">
        <v>0</v>
      </c>
      <c r="BE631">
        <v>0</v>
      </c>
    </row>
    <row r="632" spans="1:57">
      <c r="A632">
        <v>0</v>
      </c>
      <c r="B632">
        <v>0</v>
      </c>
      <c r="C632">
        <v>0</v>
      </c>
      <c r="D632">
        <v>906</v>
      </c>
      <c r="E632" t="s">
        <v>1340</v>
      </c>
      <c r="F632" t="s">
        <v>5762</v>
      </c>
      <c r="G632" t="s">
        <v>57</v>
      </c>
      <c r="H632">
        <v>944487</v>
      </c>
      <c r="I632">
        <v>944921</v>
      </c>
      <c r="J632" t="s">
        <v>1341</v>
      </c>
      <c r="K632">
        <v>145</v>
      </c>
      <c r="L632" t="s">
        <v>59</v>
      </c>
      <c r="M632">
        <v>5</v>
      </c>
      <c r="N632" t="str">
        <f>HYPERLINK("Gene906-zp_tree_all.dnd", "Gene906-tree")</f>
        <v>Gene906-tree</v>
      </c>
      <c r="O632">
        <v>5</v>
      </c>
      <c r="P632">
        <v>0</v>
      </c>
      <c r="Q632">
        <v>5</v>
      </c>
      <c r="R632">
        <v>0</v>
      </c>
      <c r="S632">
        <v>0</v>
      </c>
      <c r="T632" t="s">
        <v>98</v>
      </c>
      <c r="U632" t="s">
        <v>62</v>
      </c>
      <c r="V632" t="s">
        <v>62</v>
      </c>
      <c r="W632" t="s">
        <v>62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4</v>
      </c>
      <c r="AM632">
        <v>2</v>
      </c>
      <c r="AN632">
        <v>7</v>
      </c>
      <c r="AO632">
        <v>0</v>
      </c>
      <c r="AP632">
        <v>10</v>
      </c>
      <c r="AQ632">
        <v>0</v>
      </c>
      <c r="AR632" t="s">
        <v>64</v>
      </c>
      <c r="AS632" t="s">
        <v>64</v>
      </c>
      <c r="AT632">
        <v>0</v>
      </c>
      <c r="AU632" t="s">
        <v>65</v>
      </c>
      <c r="AV632">
        <v>17</v>
      </c>
      <c r="AW632">
        <v>0</v>
      </c>
      <c r="AX632" t="s">
        <v>1342</v>
      </c>
      <c r="AY632" t="s">
        <v>1343</v>
      </c>
      <c r="AZ632" t="s">
        <v>64</v>
      </c>
      <c r="BA632">
        <v>0</v>
      </c>
      <c r="BB632">
        <v>1</v>
      </c>
      <c r="BC632" t="s">
        <v>69</v>
      </c>
      <c r="BD632">
        <v>0.878</v>
      </c>
      <c r="BE632">
        <v>0.878</v>
      </c>
    </row>
    <row r="633" spans="1:57">
      <c r="A633">
        <v>0</v>
      </c>
      <c r="B633">
        <v>0</v>
      </c>
      <c r="C633">
        <v>0</v>
      </c>
      <c r="D633">
        <v>910</v>
      </c>
      <c r="E633" t="s">
        <v>1349</v>
      </c>
      <c r="F633" t="s">
        <v>5762</v>
      </c>
      <c r="G633" t="s">
        <v>57</v>
      </c>
      <c r="H633">
        <v>954291</v>
      </c>
      <c r="I633">
        <v>954491</v>
      </c>
      <c r="J633" t="s">
        <v>118</v>
      </c>
      <c r="K633">
        <v>67</v>
      </c>
      <c r="L633" t="s">
        <v>83</v>
      </c>
      <c r="M633">
        <v>4</v>
      </c>
      <c r="N633" t="str">
        <f>HYPERLINK("Gene910-zp_tree_all.dnd", "Gene910-tree")</f>
        <v>Gene910-tree</v>
      </c>
    </row>
    <row r="634" spans="1:57">
      <c r="A634">
        <v>0</v>
      </c>
      <c r="B634">
        <v>0</v>
      </c>
      <c r="C634">
        <v>0</v>
      </c>
      <c r="D634">
        <v>922</v>
      </c>
      <c r="E634" t="s">
        <v>1357</v>
      </c>
      <c r="F634" t="s">
        <v>5762</v>
      </c>
      <c r="G634" t="s">
        <v>57</v>
      </c>
      <c r="H634">
        <v>965909</v>
      </c>
      <c r="I634">
        <v>966175</v>
      </c>
      <c r="J634" t="s">
        <v>1358</v>
      </c>
      <c r="K634">
        <v>89</v>
      </c>
      <c r="L634" t="s">
        <v>59</v>
      </c>
      <c r="M634">
        <v>5</v>
      </c>
      <c r="N634" t="str">
        <f>HYPERLINK("Gene922-zp_tree_all.dnd", "Gene922-tree")</f>
        <v>Gene922-tree</v>
      </c>
      <c r="O634">
        <v>2</v>
      </c>
      <c r="P634">
        <v>2</v>
      </c>
      <c r="Q634">
        <v>2</v>
      </c>
      <c r="R634">
        <v>2</v>
      </c>
      <c r="S634">
        <v>0.5</v>
      </c>
      <c r="T634" t="s">
        <v>135</v>
      </c>
      <c r="U634" t="s">
        <v>135</v>
      </c>
      <c r="V634" t="s">
        <v>62</v>
      </c>
      <c r="W634" t="s">
        <v>62</v>
      </c>
      <c r="X634">
        <v>0</v>
      </c>
      <c r="Y634">
        <v>0</v>
      </c>
      <c r="Z634">
        <v>5</v>
      </c>
      <c r="AA634">
        <v>0</v>
      </c>
      <c r="AB634">
        <v>0</v>
      </c>
      <c r="AC634">
        <v>0</v>
      </c>
      <c r="AD634">
        <v>0</v>
      </c>
      <c r="AE634">
        <v>2</v>
      </c>
      <c r="AF634">
        <v>0</v>
      </c>
      <c r="AG634">
        <v>0</v>
      </c>
      <c r="AH634">
        <v>0</v>
      </c>
      <c r="AI634">
        <v>0</v>
      </c>
      <c r="AJ634">
        <v>3</v>
      </c>
      <c r="AK634">
        <v>0</v>
      </c>
      <c r="AL634">
        <v>3</v>
      </c>
      <c r="AM634">
        <v>1</v>
      </c>
      <c r="AN634">
        <v>5</v>
      </c>
      <c r="AO634">
        <v>3</v>
      </c>
      <c r="AP634">
        <v>7</v>
      </c>
      <c r="AQ634">
        <v>2</v>
      </c>
      <c r="AR634" t="s">
        <v>1359</v>
      </c>
      <c r="AS634" t="s">
        <v>1360</v>
      </c>
      <c r="AT634">
        <v>1.2769999999999999</v>
      </c>
      <c r="AU634" t="s">
        <v>65</v>
      </c>
      <c r="AV634">
        <v>12</v>
      </c>
      <c r="AW634">
        <v>5</v>
      </c>
      <c r="AX634" t="s">
        <v>1361</v>
      </c>
      <c r="AY634" t="s">
        <v>1362</v>
      </c>
      <c r="AZ634" t="s">
        <v>1363</v>
      </c>
      <c r="BA634">
        <v>0.10141</v>
      </c>
      <c r="BB634">
        <v>1</v>
      </c>
      <c r="BC634" t="s">
        <v>69</v>
      </c>
      <c r="BD634">
        <v>0.39600000000000002</v>
      </c>
      <c r="BE634">
        <v>0.39600000000000002</v>
      </c>
    </row>
    <row r="635" spans="1:57">
      <c r="A635">
        <v>0</v>
      </c>
      <c r="B635">
        <v>0</v>
      </c>
      <c r="C635">
        <v>2</v>
      </c>
      <c r="D635">
        <v>928</v>
      </c>
      <c r="E635" t="s">
        <v>1370</v>
      </c>
      <c r="F635" t="s">
        <v>5762</v>
      </c>
      <c r="G635" t="s">
        <v>57</v>
      </c>
      <c r="H635">
        <v>970135</v>
      </c>
      <c r="I635">
        <v>970614</v>
      </c>
      <c r="J635" t="s">
        <v>1371</v>
      </c>
      <c r="K635">
        <v>160</v>
      </c>
      <c r="L635" t="s">
        <v>59</v>
      </c>
      <c r="M635">
        <v>5</v>
      </c>
      <c r="N635" t="str">
        <f>HYPERLINK("Gene928-zp_tree_all.dnd", "Gene928-tree")</f>
        <v>Gene928-tree</v>
      </c>
      <c r="O635">
        <v>4</v>
      </c>
      <c r="P635">
        <v>1</v>
      </c>
      <c r="Q635">
        <v>4</v>
      </c>
      <c r="R635">
        <v>1</v>
      </c>
      <c r="S635">
        <v>0.2</v>
      </c>
      <c r="T635" t="s">
        <v>60</v>
      </c>
      <c r="U635" t="s">
        <v>61</v>
      </c>
      <c r="V635" t="s">
        <v>62</v>
      </c>
      <c r="W635" t="s">
        <v>62</v>
      </c>
      <c r="X635">
        <v>1</v>
      </c>
      <c r="Y635">
        <v>2</v>
      </c>
      <c r="Z635">
        <v>2</v>
      </c>
      <c r="AA635">
        <v>0.5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2</v>
      </c>
      <c r="AK635">
        <v>0</v>
      </c>
      <c r="AL635">
        <v>5</v>
      </c>
      <c r="AM635">
        <v>1</v>
      </c>
      <c r="AN635">
        <v>11</v>
      </c>
      <c r="AO635">
        <v>2</v>
      </c>
      <c r="AP635">
        <v>13</v>
      </c>
      <c r="AQ635">
        <v>2</v>
      </c>
      <c r="AR635" t="s">
        <v>1372</v>
      </c>
      <c r="AS635" t="s">
        <v>1373</v>
      </c>
      <c r="AT635">
        <v>0.104</v>
      </c>
      <c r="AU635" t="s">
        <v>65</v>
      </c>
      <c r="AV635">
        <v>24</v>
      </c>
      <c r="AW635">
        <v>4</v>
      </c>
      <c r="AX635" t="s">
        <v>1374</v>
      </c>
      <c r="AY635" t="s">
        <v>1375</v>
      </c>
      <c r="AZ635" t="s">
        <v>1376</v>
      </c>
      <c r="BA635">
        <v>3.9419999999999997E-2</v>
      </c>
      <c r="BB635">
        <v>1</v>
      </c>
      <c r="BC635" t="s">
        <v>69</v>
      </c>
      <c r="BD635">
        <v>0.59799999999999998</v>
      </c>
      <c r="BE635">
        <v>0.36799999999999999</v>
      </c>
    </row>
    <row r="636" spans="1:57">
      <c r="A636">
        <v>0</v>
      </c>
      <c r="B636">
        <v>0</v>
      </c>
      <c r="C636">
        <v>0</v>
      </c>
      <c r="D636">
        <v>932</v>
      </c>
      <c r="E636" t="s">
        <v>1377</v>
      </c>
      <c r="F636" t="s">
        <v>5762</v>
      </c>
      <c r="G636" t="s">
        <v>57</v>
      </c>
      <c r="H636">
        <v>973156</v>
      </c>
      <c r="I636">
        <v>975048</v>
      </c>
      <c r="J636" t="s">
        <v>1378</v>
      </c>
      <c r="K636">
        <v>631</v>
      </c>
      <c r="L636" t="s">
        <v>83</v>
      </c>
      <c r="M636">
        <v>4</v>
      </c>
      <c r="N636" t="str">
        <f>HYPERLINK("Gene932-zp_tree_all.dnd", "Gene932-tree")</f>
        <v>Gene932-tree</v>
      </c>
      <c r="O636">
        <v>0</v>
      </c>
      <c r="P636">
        <v>4</v>
      </c>
      <c r="Q636">
        <v>0</v>
      </c>
      <c r="R636">
        <v>4</v>
      </c>
      <c r="S636">
        <v>1</v>
      </c>
      <c r="T636" t="s">
        <v>62</v>
      </c>
      <c r="U636" t="s">
        <v>60</v>
      </c>
      <c r="V636" t="s">
        <v>62</v>
      </c>
      <c r="W636" t="s">
        <v>62</v>
      </c>
      <c r="X636">
        <v>0</v>
      </c>
      <c r="Y636">
        <v>0</v>
      </c>
      <c r="Z636">
        <v>4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4</v>
      </c>
      <c r="AK636">
        <v>0</v>
      </c>
      <c r="AL636">
        <v>4</v>
      </c>
      <c r="AM636">
        <v>1</v>
      </c>
      <c r="AN636">
        <v>101</v>
      </c>
      <c r="AO636">
        <v>4</v>
      </c>
      <c r="AP636">
        <v>5</v>
      </c>
      <c r="AQ636">
        <v>0</v>
      </c>
      <c r="AR636" t="s">
        <v>1379</v>
      </c>
      <c r="AS636" t="s">
        <v>64</v>
      </c>
      <c r="AT636">
        <v>1.4139999999999999</v>
      </c>
      <c r="AU636" t="s">
        <v>65</v>
      </c>
      <c r="AV636">
        <v>106</v>
      </c>
      <c r="AW636">
        <v>4</v>
      </c>
      <c r="AX636" t="s">
        <v>1380</v>
      </c>
      <c r="AY636" t="s">
        <v>1381</v>
      </c>
      <c r="AZ636" t="s">
        <v>1382</v>
      </c>
      <c r="BA636">
        <v>9.4199999999999996E-3</v>
      </c>
      <c r="BB636">
        <v>1</v>
      </c>
      <c r="BC636" t="s">
        <v>69</v>
      </c>
      <c r="BD636">
        <v>-0.63300000000000001</v>
      </c>
      <c r="BE636">
        <v>-0.72299999999999998</v>
      </c>
    </row>
    <row r="637" spans="1:57">
      <c r="A637">
        <v>0</v>
      </c>
      <c r="B637">
        <v>0</v>
      </c>
      <c r="C637">
        <v>0</v>
      </c>
      <c r="D637">
        <v>933</v>
      </c>
      <c r="E637" t="s">
        <v>1383</v>
      </c>
      <c r="F637" t="s">
        <v>5762</v>
      </c>
      <c r="G637" t="s">
        <v>57</v>
      </c>
      <c r="H637">
        <v>975231</v>
      </c>
      <c r="I637">
        <v>976406</v>
      </c>
      <c r="J637" t="s">
        <v>1384</v>
      </c>
      <c r="K637">
        <v>392</v>
      </c>
      <c r="L637" t="s">
        <v>83</v>
      </c>
      <c r="M637">
        <v>4</v>
      </c>
      <c r="N637" t="str">
        <f>HYPERLINK("Gene933-zp_tree_all.dnd", "Gene933-tree")</f>
        <v>Gene933-tree</v>
      </c>
      <c r="O637">
        <v>3</v>
      </c>
      <c r="P637">
        <v>1</v>
      </c>
      <c r="Q637">
        <v>3</v>
      </c>
      <c r="R637">
        <v>1</v>
      </c>
      <c r="S637">
        <v>0.25</v>
      </c>
      <c r="T637" t="s">
        <v>84</v>
      </c>
      <c r="U637" t="s">
        <v>61</v>
      </c>
      <c r="V637" t="s">
        <v>62</v>
      </c>
      <c r="W637" t="s">
        <v>62</v>
      </c>
      <c r="X637">
        <v>0</v>
      </c>
      <c r="Y637">
        <v>0</v>
      </c>
      <c r="Z637">
        <v>3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3</v>
      </c>
      <c r="AK637">
        <v>0</v>
      </c>
      <c r="AL637">
        <v>3</v>
      </c>
      <c r="AM637">
        <v>1</v>
      </c>
      <c r="AN637">
        <v>52</v>
      </c>
      <c r="AO637">
        <v>3</v>
      </c>
      <c r="AP637">
        <v>4</v>
      </c>
      <c r="AQ637">
        <v>0</v>
      </c>
      <c r="AR637" t="s">
        <v>1385</v>
      </c>
      <c r="AS637" t="s">
        <v>64</v>
      </c>
      <c r="AT637">
        <v>0.49199999999999999</v>
      </c>
      <c r="AU637" t="s">
        <v>65</v>
      </c>
      <c r="AV637">
        <v>56</v>
      </c>
      <c r="AW637">
        <v>3</v>
      </c>
      <c r="AX637" t="s">
        <v>1386</v>
      </c>
      <c r="AY637" t="s">
        <v>1387</v>
      </c>
      <c r="AZ637" t="s">
        <v>1388</v>
      </c>
      <c r="BA637">
        <v>1.1990000000000001E-2</v>
      </c>
      <c r="BB637">
        <v>1</v>
      </c>
      <c r="BC637" t="s">
        <v>69</v>
      </c>
      <c r="BD637">
        <v>-0.59399999999999997</v>
      </c>
      <c r="BE637">
        <v>-0.75900000000000001</v>
      </c>
    </row>
    <row r="638" spans="1:57">
      <c r="A638">
        <v>0</v>
      </c>
      <c r="B638">
        <v>0</v>
      </c>
      <c r="C638">
        <v>0</v>
      </c>
      <c r="D638">
        <v>938</v>
      </c>
      <c r="E638" t="s">
        <v>1389</v>
      </c>
      <c r="F638" t="s">
        <v>5762</v>
      </c>
      <c r="G638" t="s">
        <v>57</v>
      </c>
      <c r="H638">
        <v>979939</v>
      </c>
      <c r="I638">
        <v>980310</v>
      </c>
      <c r="J638" t="s">
        <v>1390</v>
      </c>
      <c r="K638">
        <v>124</v>
      </c>
      <c r="L638" t="s">
        <v>59</v>
      </c>
      <c r="M638">
        <v>5</v>
      </c>
      <c r="N638" t="str">
        <f>HYPERLINK("Gene938-zp_tree_all.dnd", "Gene938-tree")</f>
        <v>Gene938-tree</v>
      </c>
      <c r="O638">
        <v>2</v>
      </c>
      <c r="P638">
        <v>3</v>
      </c>
      <c r="Q638">
        <v>1</v>
      </c>
      <c r="R638">
        <v>3</v>
      </c>
      <c r="S638">
        <v>0.75</v>
      </c>
      <c r="T638" t="s">
        <v>61</v>
      </c>
      <c r="U638" t="s">
        <v>84</v>
      </c>
      <c r="V638" t="s">
        <v>62</v>
      </c>
      <c r="W638" t="s">
        <v>62</v>
      </c>
      <c r="X638">
        <v>0</v>
      </c>
      <c r="Y638">
        <v>0</v>
      </c>
      <c r="Z638">
        <v>10</v>
      </c>
      <c r="AA638">
        <v>0</v>
      </c>
      <c r="AB638">
        <v>0</v>
      </c>
      <c r="AC638">
        <v>0</v>
      </c>
      <c r="AD638">
        <v>0</v>
      </c>
      <c r="AE638">
        <v>3</v>
      </c>
      <c r="AF638">
        <v>0</v>
      </c>
      <c r="AG638">
        <v>0</v>
      </c>
      <c r="AH638">
        <v>0</v>
      </c>
      <c r="AI638">
        <v>0</v>
      </c>
      <c r="AJ638">
        <v>7</v>
      </c>
      <c r="AK638">
        <v>0</v>
      </c>
      <c r="AL638">
        <v>4</v>
      </c>
      <c r="AM638">
        <v>1</v>
      </c>
      <c r="AN638">
        <v>13</v>
      </c>
      <c r="AO638">
        <v>7</v>
      </c>
      <c r="AP638">
        <v>4</v>
      </c>
      <c r="AQ638">
        <v>3</v>
      </c>
      <c r="AR638" t="s">
        <v>1391</v>
      </c>
      <c r="AS638" t="s">
        <v>1392</v>
      </c>
      <c r="AT638">
        <v>1.026</v>
      </c>
      <c r="AU638" t="s">
        <v>65</v>
      </c>
      <c r="AV638">
        <v>17</v>
      </c>
      <c r="AW638">
        <v>10</v>
      </c>
      <c r="AX638" t="s">
        <v>1393</v>
      </c>
      <c r="AY638" t="s">
        <v>1394</v>
      </c>
      <c r="AZ638" t="s">
        <v>1395</v>
      </c>
      <c r="BA638">
        <v>0.15705</v>
      </c>
      <c r="BB638">
        <v>1</v>
      </c>
      <c r="BC638" t="s">
        <v>69</v>
      </c>
      <c r="BD638">
        <v>-0.24399999999999999</v>
      </c>
      <c r="BE638">
        <v>-0.24399999999999999</v>
      </c>
    </row>
    <row r="639" spans="1:57">
      <c r="A639">
        <v>0</v>
      </c>
      <c r="B639">
        <v>0</v>
      </c>
      <c r="C639">
        <v>0</v>
      </c>
      <c r="D639">
        <v>940</v>
      </c>
      <c r="E639" t="s">
        <v>1396</v>
      </c>
      <c r="F639" t="s">
        <v>5762</v>
      </c>
      <c r="G639" t="s">
        <v>57</v>
      </c>
      <c r="H639">
        <v>980473</v>
      </c>
      <c r="I639">
        <v>981231</v>
      </c>
      <c r="J639" t="s">
        <v>1397</v>
      </c>
      <c r="K639">
        <v>253</v>
      </c>
      <c r="L639" t="s">
        <v>83</v>
      </c>
      <c r="M639">
        <v>4</v>
      </c>
      <c r="N639" t="str">
        <f>HYPERLINK("Gene940-zp_tree_all.dnd", "Gene940-tree")</f>
        <v>Gene940-tree</v>
      </c>
    </row>
    <row r="640" spans="1:57">
      <c r="A640">
        <v>0</v>
      </c>
      <c r="B640">
        <v>0</v>
      </c>
      <c r="C640">
        <v>2</v>
      </c>
      <c r="D640">
        <v>956</v>
      </c>
      <c r="E640" t="s">
        <v>1400</v>
      </c>
      <c r="F640" t="s">
        <v>5762</v>
      </c>
      <c r="G640" t="s">
        <v>57</v>
      </c>
      <c r="H640">
        <v>996643</v>
      </c>
      <c r="I640">
        <v>997035</v>
      </c>
      <c r="J640" t="s">
        <v>118</v>
      </c>
      <c r="K640">
        <v>131</v>
      </c>
      <c r="L640" t="s">
        <v>59</v>
      </c>
      <c r="M640">
        <v>5</v>
      </c>
      <c r="N640" t="str">
        <f>HYPERLINK("Gene956-zp_tree_all.dnd", "Gene956-tree")</f>
        <v>Gene956-tree</v>
      </c>
      <c r="O640">
        <v>2</v>
      </c>
      <c r="P640">
        <v>3</v>
      </c>
      <c r="Q640">
        <v>2</v>
      </c>
      <c r="R640">
        <v>3</v>
      </c>
      <c r="S640">
        <v>0.6</v>
      </c>
      <c r="T640" t="s">
        <v>135</v>
      </c>
      <c r="U640" t="s">
        <v>84</v>
      </c>
      <c r="V640" t="s">
        <v>62</v>
      </c>
      <c r="W640" t="s">
        <v>62</v>
      </c>
      <c r="X640">
        <v>1</v>
      </c>
      <c r="Y640">
        <v>2</v>
      </c>
      <c r="Z640">
        <v>9</v>
      </c>
      <c r="AA640">
        <v>0.18182000000000001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8</v>
      </c>
      <c r="AK640">
        <v>0</v>
      </c>
      <c r="AL640">
        <v>4</v>
      </c>
      <c r="AM640">
        <v>1</v>
      </c>
      <c r="AN640">
        <v>4</v>
      </c>
      <c r="AO640">
        <v>8</v>
      </c>
      <c r="AP640">
        <v>3</v>
      </c>
      <c r="AQ640">
        <v>3</v>
      </c>
      <c r="AR640" t="s">
        <v>1401</v>
      </c>
      <c r="AS640" t="s">
        <v>1402</v>
      </c>
      <c r="AT640">
        <v>1.006</v>
      </c>
      <c r="AU640" t="s">
        <v>65</v>
      </c>
      <c r="AV640">
        <v>7</v>
      </c>
      <c r="AW640">
        <v>11</v>
      </c>
      <c r="AX640" t="s">
        <v>1403</v>
      </c>
      <c r="AY640" t="s">
        <v>1404</v>
      </c>
      <c r="AZ640" t="s">
        <v>1405</v>
      </c>
      <c r="BA640">
        <v>0.37728</v>
      </c>
      <c r="BB640">
        <v>0.99</v>
      </c>
      <c r="BC640" t="s">
        <v>69</v>
      </c>
      <c r="BD640">
        <v>-0.20499999999999999</v>
      </c>
      <c r="BE640">
        <v>-0.20499999999999999</v>
      </c>
    </row>
    <row r="641" spans="1:57">
      <c r="A641">
        <v>0</v>
      </c>
      <c r="B641">
        <v>0</v>
      </c>
      <c r="C641">
        <v>0</v>
      </c>
      <c r="D641">
        <v>957</v>
      </c>
      <c r="E641" t="s">
        <v>1406</v>
      </c>
      <c r="F641" t="s">
        <v>5762</v>
      </c>
      <c r="G641" t="s">
        <v>57</v>
      </c>
      <c r="H641">
        <v>997175</v>
      </c>
      <c r="I641">
        <v>997594</v>
      </c>
      <c r="J641" t="s">
        <v>1407</v>
      </c>
      <c r="K641">
        <v>140</v>
      </c>
      <c r="L641" t="s">
        <v>59</v>
      </c>
      <c r="M641">
        <v>5</v>
      </c>
      <c r="N641" t="str">
        <f>HYPERLINK("Gene957-zp_tree_all.dnd", "Gene957-tree")</f>
        <v>Gene957-tree</v>
      </c>
    </row>
    <row r="642" spans="1:57">
      <c r="A642">
        <v>0</v>
      </c>
      <c r="B642">
        <v>0</v>
      </c>
      <c r="C642">
        <v>0</v>
      </c>
      <c r="D642">
        <v>959</v>
      </c>
      <c r="E642" t="s">
        <v>1408</v>
      </c>
      <c r="F642" t="s">
        <v>5762</v>
      </c>
      <c r="G642" t="s">
        <v>57</v>
      </c>
      <c r="H642">
        <v>998402</v>
      </c>
      <c r="I642">
        <v>999940</v>
      </c>
      <c r="J642" t="s">
        <v>1409</v>
      </c>
      <c r="K642">
        <v>513</v>
      </c>
      <c r="L642" t="s">
        <v>83</v>
      </c>
      <c r="M642">
        <v>4</v>
      </c>
      <c r="N642" t="str">
        <f>HYPERLINK("Gene959-zp_tree_all.dnd", "Gene959-tree")</f>
        <v>Gene959-tree</v>
      </c>
      <c r="O642">
        <v>3</v>
      </c>
      <c r="P642">
        <v>1</v>
      </c>
      <c r="Q642">
        <v>3</v>
      </c>
      <c r="R642">
        <v>1</v>
      </c>
      <c r="S642">
        <v>0.25</v>
      </c>
      <c r="T642" t="s">
        <v>84</v>
      </c>
      <c r="U642" t="s">
        <v>61</v>
      </c>
      <c r="V642" t="s">
        <v>62</v>
      </c>
      <c r="W642" t="s">
        <v>62</v>
      </c>
      <c r="X642">
        <v>0</v>
      </c>
      <c r="Y642">
        <v>0</v>
      </c>
      <c r="Z642">
        <v>3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3</v>
      </c>
      <c r="AK642">
        <v>0</v>
      </c>
      <c r="AL642">
        <v>4</v>
      </c>
      <c r="AM642">
        <v>0</v>
      </c>
      <c r="AN642">
        <v>76</v>
      </c>
      <c r="AO642">
        <v>3</v>
      </c>
      <c r="AP642">
        <v>0</v>
      </c>
      <c r="AQ642">
        <v>0</v>
      </c>
      <c r="AR642" t="s">
        <v>1410</v>
      </c>
      <c r="AS642" t="s">
        <v>64</v>
      </c>
      <c r="AT642">
        <v>0.52</v>
      </c>
      <c r="AU642" t="s">
        <v>65</v>
      </c>
      <c r="AV642">
        <v>76</v>
      </c>
      <c r="AW642">
        <v>3</v>
      </c>
      <c r="AX642" t="s">
        <v>1411</v>
      </c>
      <c r="AY642" t="s">
        <v>1412</v>
      </c>
      <c r="AZ642" t="s">
        <v>1413</v>
      </c>
      <c r="BA642">
        <v>1.0580000000000001E-2</v>
      </c>
      <c r="BB642">
        <v>1</v>
      </c>
      <c r="BC642" t="s">
        <v>69</v>
      </c>
      <c r="BD642">
        <v>-0.47099999999999997</v>
      </c>
      <c r="BE642">
        <v>-0.87</v>
      </c>
    </row>
    <row r="643" spans="1:57">
      <c r="A643">
        <v>0</v>
      </c>
      <c r="B643">
        <v>0</v>
      </c>
      <c r="C643">
        <v>0</v>
      </c>
      <c r="D643">
        <v>963</v>
      </c>
      <c r="E643" t="s">
        <v>1414</v>
      </c>
      <c r="F643" t="s">
        <v>5762</v>
      </c>
      <c r="G643" t="s">
        <v>57</v>
      </c>
      <c r="H643">
        <v>1002501</v>
      </c>
      <c r="I643">
        <v>1003322</v>
      </c>
      <c r="J643" t="s">
        <v>1415</v>
      </c>
      <c r="K643">
        <v>274</v>
      </c>
      <c r="L643" t="s">
        <v>83</v>
      </c>
      <c r="M643">
        <v>4</v>
      </c>
      <c r="N643" t="str">
        <f>HYPERLINK("Gene963-zp_tree_all.dnd", "Gene963-tree")</f>
        <v>Gene963-tree</v>
      </c>
      <c r="O643">
        <v>3</v>
      </c>
      <c r="P643">
        <v>1</v>
      </c>
      <c r="Q643">
        <v>3</v>
      </c>
      <c r="R643">
        <v>1</v>
      </c>
      <c r="S643">
        <v>0.25</v>
      </c>
      <c r="T643" t="s">
        <v>84</v>
      </c>
      <c r="U643" t="s">
        <v>61</v>
      </c>
      <c r="V643" t="s">
        <v>62</v>
      </c>
      <c r="W643" t="s">
        <v>62</v>
      </c>
      <c r="X643">
        <v>0</v>
      </c>
      <c r="Y643">
        <v>0</v>
      </c>
      <c r="Z643">
        <v>2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2</v>
      </c>
      <c r="AK643">
        <v>0</v>
      </c>
      <c r="AL643">
        <v>4</v>
      </c>
      <c r="AM643">
        <v>1</v>
      </c>
      <c r="AN643">
        <v>45</v>
      </c>
      <c r="AO643">
        <v>2</v>
      </c>
      <c r="AP643">
        <v>5</v>
      </c>
      <c r="AQ643">
        <v>0</v>
      </c>
      <c r="AR643" t="s">
        <v>1416</v>
      </c>
      <c r="AS643" t="s">
        <v>64</v>
      </c>
      <c r="AT643">
        <v>0.498</v>
      </c>
      <c r="AU643" t="s">
        <v>65</v>
      </c>
      <c r="AV643">
        <v>50</v>
      </c>
      <c r="AW643">
        <v>2</v>
      </c>
      <c r="AX643" t="s">
        <v>1417</v>
      </c>
      <c r="AY643" t="s">
        <v>1418</v>
      </c>
      <c r="AZ643" t="s">
        <v>1419</v>
      </c>
      <c r="BA643">
        <v>1.2319999999999999E-2</v>
      </c>
      <c r="BB643">
        <v>1</v>
      </c>
      <c r="BC643" t="s">
        <v>69</v>
      </c>
      <c r="BD643">
        <v>-0.28299999999999997</v>
      </c>
      <c r="BE643">
        <v>-0.86699999999999999</v>
      </c>
    </row>
    <row r="644" spans="1:57">
      <c r="A644">
        <v>0</v>
      </c>
      <c r="B644">
        <v>0</v>
      </c>
      <c r="C644">
        <v>0</v>
      </c>
      <c r="D644">
        <v>989</v>
      </c>
      <c r="E644" t="s">
        <v>1431</v>
      </c>
      <c r="F644" t="s">
        <v>5762</v>
      </c>
      <c r="G644" t="s">
        <v>57</v>
      </c>
      <c r="H644">
        <v>1031395</v>
      </c>
      <c r="I644">
        <v>1031991</v>
      </c>
      <c r="J644" t="s">
        <v>1432</v>
      </c>
      <c r="K644">
        <v>199</v>
      </c>
      <c r="L644" t="s">
        <v>59</v>
      </c>
      <c r="M644">
        <v>5</v>
      </c>
      <c r="N644" t="str">
        <f>HYPERLINK("Gene989-zp_tree_all.dnd", "Gene989-tree")</f>
        <v>Gene989-tree</v>
      </c>
      <c r="O644">
        <v>4</v>
      </c>
      <c r="P644">
        <v>0</v>
      </c>
      <c r="Q644">
        <v>4</v>
      </c>
      <c r="R644">
        <v>0</v>
      </c>
      <c r="S644">
        <v>0</v>
      </c>
      <c r="T644" t="s">
        <v>60</v>
      </c>
      <c r="U644" t="s">
        <v>62</v>
      </c>
      <c r="V644" t="s">
        <v>62</v>
      </c>
      <c r="W644" t="s">
        <v>62</v>
      </c>
      <c r="X644">
        <v>0</v>
      </c>
      <c r="Y644">
        <v>0</v>
      </c>
      <c r="Z644">
        <v>7</v>
      </c>
      <c r="AA644">
        <v>0</v>
      </c>
      <c r="AB644">
        <v>0</v>
      </c>
      <c r="AC644">
        <v>0</v>
      </c>
      <c r="AD644">
        <v>0</v>
      </c>
      <c r="AE644">
        <v>7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3</v>
      </c>
      <c r="AM644">
        <v>1</v>
      </c>
      <c r="AN644">
        <v>8</v>
      </c>
      <c r="AO644">
        <v>0</v>
      </c>
      <c r="AP644">
        <v>18</v>
      </c>
      <c r="AQ644">
        <v>8</v>
      </c>
      <c r="AR644" t="s">
        <v>64</v>
      </c>
      <c r="AS644" t="s">
        <v>1433</v>
      </c>
      <c r="AT644">
        <v>0</v>
      </c>
      <c r="AU644" t="s">
        <v>65</v>
      </c>
      <c r="AV644">
        <v>26</v>
      </c>
      <c r="AW644">
        <v>8</v>
      </c>
      <c r="AX644" t="s">
        <v>1434</v>
      </c>
      <c r="AY644" t="s">
        <v>1435</v>
      </c>
      <c r="AZ644" t="s">
        <v>1436</v>
      </c>
      <c r="BA644">
        <v>9.1840000000000005E-2</v>
      </c>
      <c r="BB644">
        <v>1</v>
      </c>
      <c r="BC644" t="s">
        <v>69</v>
      </c>
      <c r="BD644">
        <v>1.258</v>
      </c>
      <c r="BE644">
        <v>1.022</v>
      </c>
    </row>
    <row r="645" spans="1:57">
      <c r="A645">
        <v>0</v>
      </c>
      <c r="B645">
        <v>0</v>
      </c>
      <c r="C645">
        <v>0</v>
      </c>
      <c r="D645">
        <v>997</v>
      </c>
      <c r="E645" t="s">
        <v>1450</v>
      </c>
      <c r="F645" t="s">
        <v>5762</v>
      </c>
      <c r="G645" t="s">
        <v>57</v>
      </c>
      <c r="H645">
        <v>1038653</v>
      </c>
      <c r="I645">
        <v>1038757</v>
      </c>
      <c r="J645" t="s">
        <v>170</v>
      </c>
      <c r="K645">
        <v>35</v>
      </c>
      <c r="L645" t="s">
        <v>59</v>
      </c>
      <c r="M645">
        <v>5</v>
      </c>
      <c r="N645" t="str">
        <f>HYPERLINK("Gene997-zp_tree_all.dnd", "Gene997-tree")</f>
        <v>Gene997-tree</v>
      </c>
      <c r="O645">
        <v>2</v>
      </c>
      <c r="P645">
        <v>2</v>
      </c>
      <c r="Q645">
        <v>2</v>
      </c>
      <c r="R645">
        <v>2</v>
      </c>
      <c r="S645">
        <v>0.5</v>
      </c>
      <c r="T645" t="s">
        <v>135</v>
      </c>
      <c r="U645" t="s">
        <v>135</v>
      </c>
      <c r="V645" t="s">
        <v>62</v>
      </c>
      <c r="W645" t="s">
        <v>62</v>
      </c>
      <c r="X645">
        <v>0</v>
      </c>
      <c r="Y645">
        <v>0</v>
      </c>
      <c r="Z645">
        <v>2</v>
      </c>
      <c r="AA645">
        <v>0</v>
      </c>
      <c r="AB645">
        <v>0</v>
      </c>
      <c r="AC645">
        <v>0</v>
      </c>
      <c r="AD645">
        <v>0</v>
      </c>
      <c r="AE645">
        <v>1</v>
      </c>
      <c r="AF645">
        <v>0</v>
      </c>
      <c r="AG645">
        <v>0</v>
      </c>
      <c r="AH645">
        <v>0</v>
      </c>
      <c r="AI645">
        <v>0</v>
      </c>
      <c r="AJ645">
        <v>1</v>
      </c>
      <c r="AK645">
        <v>0</v>
      </c>
      <c r="AL645">
        <v>2</v>
      </c>
      <c r="AM645">
        <v>1</v>
      </c>
      <c r="AN645">
        <v>1</v>
      </c>
      <c r="AO645">
        <v>1</v>
      </c>
      <c r="AP645">
        <v>0</v>
      </c>
      <c r="AQ645">
        <v>1</v>
      </c>
      <c r="AR645" t="s">
        <v>1451</v>
      </c>
      <c r="AS645" t="s">
        <v>64</v>
      </c>
      <c r="AT645">
        <v>0.70699999999999996</v>
      </c>
      <c r="AU645" t="s">
        <v>65</v>
      </c>
      <c r="AV645">
        <v>1</v>
      </c>
      <c r="AW645">
        <v>2</v>
      </c>
      <c r="AX645" t="s">
        <v>1452</v>
      </c>
      <c r="AY645" t="s">
        <v>1453</v>
      </c>
      <c r="AZ645" t="s">
        <v>1454</v>
      </c>
      <c r="BA645">
        <v>0.57764000000000004</v>
      </c>
      <c r="BB645">
        <v>0.35899999999999999</v>
      </c>
      <c r="BC645" t="s">
        <v>793</v>
      </c>
      <c r="BD645">
        <v>-0.17499999999999999</v>
      </c>
      <c r="BE645">
        <v>-0.17499999999999999</v>
      </c>
    </row>
    <row r="646" spans="1:57">
      <c r="A646">
        <v>0</v>
      </c>
      <c r="B646">
        <v>0</v>
      </c>
      <c r="C646">
        <v>0</v>
      </c>
      <c r="D646">
        <v>1014</v>
      </c>
      <c r="E646" t="s">
        <v>1468</v>
      </c>
      <c r="F646" t="s">
        <v>5762</v>
      </c>
      <c r="G646" t="s">
        <v>57</v>
      </c>
      <c r="H646">
        <v>1054746</v>
      </c>
      <c r="I646">
        <v>1055096</v>
      </c>
      <c r="J646" t="s">
        <v>170</v>
      </c>
      <c r="K646">
        <v>117</v>
      </c>
      <c r="L646" t="s">
        <v>59</v>
      </c>
      <c r="M646">
        <v>5</v>
      </c>
      <c r="N646" t="str">
        <f>HYPERLINK("Gene1014-zp_tree_all.dnd", "Gene1014-tree")</f>
        <v>Gene1014-tree</v>
      </c>
      <c r="O646">
        <v>4</v>
      </c>
      <c r="P646">
        <v>1</v>
      </c>
      <c r="Q646">
        <v>4</v>
      </c>
      <c r="R646">
        <v>1</v>
      </c>
      <c r="S646">
        <v>0.2</v>
      </c>
      <c r="T646" t="s">
        <v>60</v>
      </c>
      <c r="U646" t="s">
        <v>61</v>
      </c>
      <c r="V646" t="s">
        <v>62</v>
      </c>
      <c r="W646" t="s">
        <v>62</v>
      </c>
      <c r="X646">
        <v>0</v>
      </c>
      <c r="Y646">
        <v>0</v>
      </c>
      <c r="Z646">
        <v>1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1</v>
      </c>
      <c r="AK646">
        <v>0</v>
      </c>
      <c r="AL646">
        <v>4</v>
      </c>
      <c r="AM646">
        <v>1</v>
      </c>
      <c r="AN646">
        <v>7</v>
      </c>
      <c r="AO646">
        <v>1</v>
      </c>
      <c r="AP646">
        <v>8</v>
      </c>
      <c r="AQ646">
        <v>0</v>
      </c>
      <c r="AR646" t="s">
        <v>1469</v>
      </c>
      <c r="AS646" t="s">
        <v>64</v>
      </c>
      <c r="AT646">
        <v>0.61899999999999999</v>
      </c>
      <c r="AU646" t="s">
        <v>65</v>
      </c>
      <c r="AV646">
        <v>15</v>
      </c>
      <c r="AW646">
        <v>1</v>
      </c>
      <c r="AX646" t="s">
        <v>1470</v>
      </c>
      <c r="AY646" t="s">
        <v>1471</v>
      </c>
      <c r="AZ646" t="s">
        <v>1472</v>
      </c>
      <c r="BA646">
        <v>1.205E-2</v>
      </c>
      <c r="BB646">
        <v>1</v>
      </c>
      <c r="BC646" t="s">
        <v>69</v>
      </c>
      <c r="BD646">
        <v>0.30499999999999999</v>
      </c>
      <c r="BE646">
        <v>0.30499999999999999</v>
      </c>
    </row>
    <row r="647" spans="1:57">
      <c r="A647">
        <v>0</v>
      </c>
      <c r="B647">
        <v>0</v>
      </c>
      <c r="C647">
        <v>0</v>
      </c>
      <c r="D647">
        <v>1030</v>
      </c>
      <c r="E647" t="s">
        <v>1473</v>
      </c>
      <c r="F647" t="s">
        <v>5762</v>
      </c>
      <c r="G647" t="s">
        <v>57</v>
      </c>
      <c r="H647">
        <v>1071402</v>
      </c>
      <c r="I647">
        <v>1071485</v>
      </c>
      <c r="J647" t="s">
        <v>1474</v>
      </c>
      <c r="K647">
        <v>28</v>
      </c>
      <c r="L647" t="s">
        <v>59</v>
      </c>
      <c r="M647">
        <v>5</v>
      </c>
      <c r="N647" t="str">
        <f>HYPERLINK("Gene1030-zp_tree_all.dnd", "Gene1030-tree")</f>
        <v>Gene1030-tree</v>
      </c>
    </row>
    <row r="648" spans="1:57">
      <c r="A648">
        <v>0</v>
      </c>
      <c r="B648">
        <v>0</v>
      </c>
      <c r="C648">
        <v>0</v>
      </c>
      <c r="D648">
        <v>1031</v>
      </c>
      <c r="E648" t="s">
        <v>1475</v>
      </c>
      <c r="F648" t="s">
        <v>5762</v>
      </c>
      <c r="G648" t="s">
        <v>57</v>
      </c>
      <c r="H648">
        <v>1071613</v>
      </c>
      <c r="I648">
        <v>1071696</v>
      </c>
      <c r="J648" t="s">
        <v>1476</v>
      </c>
      <c r="K648">
        <v>28</v>
      </c>
      <c r="L648" t="s">
        <v>59</v>
      </c>
      <c r="M648">
        <v>5</v>
      </c>
      <c r="N648" t="str">
        <f>HYPERLINK("Gene1031-zp_tree_all.dnd", "Gene1031-tree")</f>
        <v>Gene1031-tree</v>
      </c>
    </row>
    <row r="649" spans="1:57">
      <c r="A649">
        <v>0</v>
      </c>
      <c r="B649">
        <v>0</v>
      </c>
      <c r="C649">
        <v>0</v>
      </c>
      <c r="D649">
        <v>1033</v>
      </c>
      <c r="E649" t="s">
        <v>1477</v>
      </c>
      <c r="F649" t="s">
        <v>5762</v>
      </c>
      <c r="G649" t="s">
        <v>57</v>
      </c>
      <c r="H649">
        <v>1072768</v>
      </c>
      <c r="I649">
        <v>1073106</v>
      </c>
      <c r="J649" t="s">
        <v>118</v>
      </c>
      <c r="K649">
        <v>113</v>
      </c>
      <c r="L649" t="s">
        <v>59</v>
      </c>
      <c r="M649">
        <v>5</v>
      </c>
      <c r="N649" t="str">
        <f>HYPERLINK("Gene1033-zp_tree_all.dnd", "Gene1033-tree")</f>
        <v>Gene1033-tree</v>
      </c>
      <c r="O649">
        <v>4</v>
      </c>
      <c r="P649">
        <v>1</v>
      </c>
      <c r="Q649">
        <v>4</v>
      </c>
      <c r="R649">
        <v>1</v>
      </c>
      <c r="S649">
        <v>0.2</v>
      </c>
      <c r="T649" t="s">
        <v>60</v>
      </c>
      <c r="U649" t="s">
        <v>61</v>
      </c>
      <c r="V649" t="s">
        <v>62</v>
      </c>
      <c r="W649" t="s">
        <v>62</v>
      </c>
      <c r="X649">
        <v>0</v>
      </c>
      <c r="Y649">
        <v>0</v>
      </c>
      <c r="Z649">
        <v>4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1</v>
      </c>
      <c r="AK649">
        <v>0</v>
      </c>
      <c r="AL649">
        <v>4</v>
      </c>
      <c r="AM649">
        <v>1</v>
      </c>
      <c r="AN649">
        <v>7</v>
      </c>
      <c r="AO649">
        <v>1</v>
      </c>
      <c r="AP649">
        <v>3</v>
      </c>
      <c r="AQ649">
        <v>3</v>
      </c>
      <c r="AR649" t="s">
        <v>1478</v>
      </c>
      <c r="AS649" t="s">
        <v>1479</v>
      </c>
      <c r="AT649">
        <v>3.891</v>
      </c>
      <c r="AU649" t="s">
        <v>65</v>
      </c>
      <c r="AV649">
        <v>10</v>
      </c>
      <c r="AW649">
        <v>4</v>
      </c>
      <c r="AX649" t="s">
        <v>1480</v>
      </c>
      <c r="AY649" t="s">
        <v>1481</v>
      </c>
      <c r="AZ649" t="s">
        <v>1482</v>
      </c>
      <c r="BA649">
        <v>0.12157999999999999</v>
      </c>
      <c r="BB649">
        <v>1</v>
      </c>
      <c r="BC649" t="s">
        <v>69</v>
      </c>
      <c r="BD649">
        <v>8.6999999999999994E-2</v>
      </c>
      <c r="BE649">
        <v>8.6999999999999994E-2</v>
      </c>
    </row>
    <row r="650" spans="1:57">
      <c r="A650">
        <v>0</v>
      </c>
      <c r="B650">
        <v>2</v>
      </c>
      <c r="C650">
        <v>0</v>
      </c>
      <c r="D650">
        <v>1036</v>
      </c>
      <c r="E650" t="s">
        <v>1496</v>
      </c>
      <c r="F650" t="s">
        <v>5762</v>
      </c>
      <c r="G650" t="s">
        <v>57</v>
      </c>
      <c r="H650">
        <v>1074381</v>
      </c>
      <c r="I650">
        <v>1074569</v>
      </c>
      <c r="J650" t="s">
        <v>1497</v>
      </c>
      <c r="K650">
        <v>63</v>
      </c>
      <c r="L650" t="s">
        <v>59</v>
      </c>
      <c r="M650">
        <v>5</v>
      </c>
      <c r="N650" t="str">
        <f>HYPERLINK("Gene1036-zp_tree_all.dnd", "Gene1036-tree")</f>
        <v>Gene1036-tree</v>
      </c>
      <c r="O650">
        <v>2</v>
      </c>
      <c r="P650">
        <v>3</v>
      </c>
      <c r="Q650">
        <v>2</v>
      </c>
      <c r="R650">
        <v>3</v>
      </c>
      <c r="S650">
        <v>0.6</v>
      </c>
      <c r="T650" t="s">
        <v>135</v>
      </c>
      <c r="U650" t="s">
        <v>84</v>
      </c>
      <c r="V650" t="s">
        <v>62</v>
      </c>
      <c r="W650" t="s">
        <v>62</v>
      </c>
      <c r="X650">
        <v>1</v>
      </c>
      <c r="Y650">
        <v>2</v>
      </c>
      <c r="Z650">
        <v>3</v>
      </c>
      <c r="AA650">
        <v>0.4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4</v>
      </c>
      <c r="AK650">
        <v>0</v>
      </c>
      <c r="AL650">
        <v>4</v>
      </c>
      <c r="AM650">
        <v>2</v>
      </c>
      <c r="AN650">
        <v>5</v>
      </c>
      <c r="AO650">
        <v>2</v>
      </c>
      <c r="AP650">
        <v>2</v>
      </c>
      <c r="AQ650">
        <v>3</v>
      </c>
      <c r="AR650" t="s">
        <v>1498</v>
      </c>
      <c r="AS650" t="s">
        <v>1499</v>
      </c>
      <c r="AT650">
        <v>3.5830000000000002</v>
      </c>
      <c r="AU650" t="s">
        <v>65</v>
      </c>
      <c r="AV650">
        <v>7</v>
      </c>
      <c r="AW650">
        <v>5</v>
      </c>
      <c r="AX650" t="s">
        <v>1500</v>
      </c>
      <c r="AY650" t="s">
        <v>1501</v>
      </c>
      <c r="AZ650" t="s">
        <v>1502</v>
      </c>
      <c r="BA650">
        <v>0.23713000000000001</v>
      </c>
      <c r="BB650">
        <v>0.97899999999999998</v>
      </c>
      <c r="BC650" t="s">
        <v>69</v>
      </c>
      <c r="BD650">
        <v>0.16400000000000001</v>
      </c>
      <c r="BE650">
        <v>0.16400000000000001</v>
      </c>
    </row>
    <row r="651" spans="1:57">
      <c r="A651">
        <v>0</v>
      </c>
      <c r="B651">
        <v>0</v>
      </c>
      <c r="C651">
        <v>0</v>
      </c>
      <c r="D651">
        <v>1040</v>
      </c>
      <c r="E651" t="s">
        <v>1503</v>
      </c>
      <c r="F651" t="s">
        <v>5762</v>
      </c>
      <c r="G651" t="s">
        <v>57</v>
      </c>
      <c r="H651">
        <v>1077440</v>
      </c>
      <c r="I651">
        <v>1078180</v>
      </c>
      <c r="J651" t="s">
        <v>1504</v>
      </c>
      <c r="K651">
        <v>247</v>
      </c>
      <c r="L651" t="s">
        <v>59</v>
      </c>
      <c r="M651">
        <v>5</v>
      </c>
      <c r="N651" t="str">
        <f>HYPERLINK("Gene1040-zp_tree_all.dnd", "Gene1040-tree")</f>
        <v>Gene1040-tree</v>
      </c>
      <c r="O651">
        <v>4</v>
      </c>
      <c r="P651">
        <v>1</v>
      </c>
      <c r="Q651">
        <v>4</v>
      </c>
      <c r="R651">
        <v>1</v>
      </c>
      <c r="S651">
        <v>0.2</v>
      </c>
      <c r="T651" t="s">
        <v>60</v>
      </c>
      <c r="U651" t="s">
        <v>61</v>
      </c>
      <c r="V651" t="s">
        <v>62</v>
      </c>
      <c r="W651" t="s">
        <v>62</v>
      </c>
      <c r="X651">
        <v>0</v>
      </c>
      <c r="Y651">
        <v>0</v>
      </c>
      <c r="Z651">
        <v>2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2</v>
      </c>
      <c r="AK651">
        <v>0</v>
      </c>
      <c r="AL651">
        <v>5</v>
      </c>
      <c r="AM651">
        <v>2</v>
      </c>
      <c r="AN651">
        <v>20</v>
      </c>
      <c r="AO651">
        <v>3</v>
      </c>
      <c r="AP651">
        <v>23</v>
      </c>
      <c r="AQ651">
        <v>0</v>
      </c>
      <c r="AR651" t="s">
        <v>1505</v>
      </c>
      <c r="AS651" t="s">
        <v>64</v>
      </c>
      <c r="AT651">
        <v>0.52200000000000002</v>
      </c>
      <c r="AU651" t="s">
        <v>65</v>
      </c>
      <c r="AV651">
        <v>43</v>
      </c>
      <c r="AW651">
        <v>3</v>
      </c>
      <c r="AX651" t="s">
        <v>1506</v>
      </c>
      <c r="AY651" t="s">
        <v>1507</v>
      </c>
      <c r="AZ651" t="s">
        <v>1508</v>
      </c>
      <c r="BA651">
        <v>1.5509999999999999E-2</v>
      </c>
      <c r="BB651">
        <v>1</v>
      </c>
      <c r="BC651" t="s">
        <v>69</v>
      </c>
      <c r="BD651">
        <v>0.42099999999999999</v>
      </c>
      <c r="BE651">
        <v>0.24299999999999999</v>
      </c>
    </row>
    <row r="652" spans="1:57">
      <c r="A652">
        <v>0</v>
      </c>
      <c r="B652">
        <v>0</v>
      </c>
      <c r="C652">
        <v>0</v>
      </c>
      <c r="D652">
        <v>1048</v>
      </c>
      <c r="E652" t="s">
        <v>1509</v>
      </c>
      <c r="F652" t="s">
        <v>5762</v>
      </c>
      <c r="G652" t="s">
        <v>57</v>
      </c>
      <c r="H652">
        <v>1086117</v>
      </c>
      <c r="I652">
        <v>1087175</v>
      </c>
      <c r="J652" t="s">
        <v>1510</v>
      </c>
      <c r="K652">
        <v>353</v>
      </c>
      <c r="L652" t="s">
        <v>83</v>
      </c>
      <c r="M652">
        <v>4</v>
      </c>
      <c r="N652" t="str">
        <f>HYPERLINK("Gene1048-zp_tree_all.dnd", "Gene1048-tree")</f>
        <v>Gene1048-tree</v>
      </c>
      <c r="O652">
        <v>0</v>
      </c>
      <c r="P652">
        <v>4</v>
      </c>
      <c r="Q652">
        <v>0</v>
      </c>
      <c r="R652">
        <v>4</v>
      </c>
      <c r="S652">
        <v>1</v>
      </c>
      <c r="T652" t="s">
        <v>62</v>
      </c>
      <c r="U652" t="s">
        <v>60</v>
      </c>
      <c r="V652" t="s">
        <v>62</v>
      </c>
      <c r="W652" t="s">
        <v>62</v>
      </c>
      <c r="X652">
        <v>0</v>
      </c>
      <c r="Y652">
        <v>0</v>
      </c>
      <c r="Z652">
        <v>12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9</v>
      </c>
      <c r="AK652">
        <v>0</v>
      </c>
      <c r="AL652">
        <v>4</v>
      </c>
      <c r="AM652">
        <v>1</v>
      </c>
      <c r="AN652">
        <v>48</v>
      </c>
      <c r="AO652">
        <v>9</v>
      </c>
      <c r="AP652">
        <v>8</v>
      </c>
      <c r="AQ652">
        <v>3</v>
      </c>
      <c r="AR652" t="s">
        <v>1511</v>
      </c>
      <c r="AS652" t="s">
        <v>1512</v>
      </c>
      <c r="AT652">
        <v>1.2749999999999999</v>
      </c>
      <c r="AU652" t="s">
        <v>65</v>
      </c>
      <c r="AV652">
        <v>56</v>
      </c>
      <c r="AW652">
        <v>12</v>
      </c>
      <c r="AX652" t="s">
        <v>1513</v>
      </c>
      <c r="AY652" t="s">
        <v>1514</v>
      </c>
      <c r="AZ652" t="s">
        <v>1515</v>
      </c>
      <c r="BA652">
        <v>6.3039999999999999E-2</v>
      </c>
      <c r="BB652">
        <v>1</v>
      </c>
      <c r="BC652" t="s">
        <v>69</v>
      </c>
      <c r="BD652">
        <v>-0.06</v>
      </c>
      <c r="BE652">
        <v>-0.66700000000000004</v>
      </c>
    </row>
    <row r="653" spans="1:57">
      <c r="A653">
        <v>0</v>
      </c>
      <c r="B653">
        <v>0</v>
      </c>
      <c r="C653">
        <v>0</v>
      </c>
      <c r="D653">
        <v>1059</v>
      </c>
      <c r="E653" t="s">
        <v>1521</v>
      </c>
      <c r="F653" t="s">
        <v>5762</v>
      </c>
      <c r="G653" t="s">
        <v>57</v>
      </c>
      <c r="H653">
        <v>1098412</v>
      </c>
      <c r="I653">
        <v>1099143</v>
      </c>
      <c r="J653" t="s">
        <v>1522</v>
      </c>
      <c r="K653">
        <v>244</v>
      </c>
      <c r="L653" t="s">
        <v>83</v>
      </c>
      <c r="M653">
        <v>4</v>
      </c>
      <c r="N653" t="str">
        <f>HYPERLINK("Gene1059-zp_tree_all.dnd", "Gene1059-tree")</f>
        <v>Gene1059-tree</v>
      </c>
      <c r="O653">
        <v>2</v>
      </c>
      <c r="P653">
        <v>2</v>
      </c>
      <c r="Q653">
        <v>2</v>
      </c>
      <c r="R653">
        <v>2</v>
      </c>
      <c r="S653">
        <v>0.5</v>
      </c>
      <c r="T653" t="s">
        <v>135</v>
      </c>
      <c r="U653" t="s">
        <v>135</v>
      </c>
      <c r="V653" t="s">
        <v>62</v>
      </c>
      <c r="W653" t="s">
        <v>62</v>
      </c>
      <c r="X653">
        <v>0</v>
      </c>
      <c r="Y653">
        <v>0</v>
      </c>
      <c r="Z653">
        <v>8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8</v>
      </c>
      <c r="AK653">
        <v>0</v>
      </c>
      <c r="AL653">
        <v>4</v>
      </c>
      <c r="AM653">
        <v>1</v>
      </c>
      <c r="AN653">
        <v>31</v>
      </c>
      <c r="AO653">
        <v>8</v>
      </c>
      <c r="AP653">
        <v>1</v>
      </c>
      <c r="AQ653">
        <v>0</v>
      </c>
      <c r="AR653" t="s">
        <v>1523</v>
      </c>
      <c r="AS653" t="s">
        <v>64</v>
      </c>
      <c r="AT653">
        <v>0.53800000000000003</v>
      </c>
      <c r="AU653" t="s">
        <v>65</v>
      </c>
      <c r="AV653">
        <v>32</v>
      </c>
      <c r="AW653">
        <v>8</v>
      </c>
      <c r="AX653" t="s">
        <v>1524</v>
      </c>
      <c r="AY653" t="s">
        <v>1525</v>
      </c>
      <c r="AZ653" t="s">
        <v>1526</v>
      </c>
      <c r="BA653">
        <v>7.2900000000000006E-2</v>
      </c>
      <c r="BB653">
        <v>1</v>
      </c>
      <c r="BC653" t="s">
        <v>69</v>
      </c>
      <c r="BD653">
        <v>-0.70199999999999996</v>
      </c>
      <c r="BE653">
        <v>-0.70199999999999996</v>
      </c>
    </row>
    <row r="654" spans="1:57">
      <c r="A654">
        <v>0</v>
      </c>
      <c r="B654">
        <v>0</v>
      </c>
      <c r="C654">
        <v>2</v>
      </c>
      <c r="D654">
        <v>1083</v>
      </c>
      <c r="E654" t="s">
        <v>1546</v>
      </c>
      <c r="F654" t="s">
        <v>5762</v>
      </c>
      <c r="G654" t="s">
        <v>57</v>
      </c>
      <c r="H654">
        <v>1121550</v>
      </c>
      <c r="I654">
        <v>1122170</v>
      </c>
      <c r="J654" t="s">
        <v>1547</v>
      </c>
      <c r="K654">
        <v>207</v>
      </c>
      <c r="L654" t="s">
        <v>59</v>
      </c>
      <c r="M654">
        <v>5</v>
      </c>
      <c r="N654" t="str">
        <f>HYPERLINK("Gene1083-zp_tree_all.dnd", "Gene1083-tree")</f>
        <v>Gene1083-tree</v>
      </c>
      <c r="O654">
        <v>3</v>
      </c>
      <c r="P654">
        <v>2</v>
      </c>
      <c r="Q654">
        <v>3</v>
      </c>
      <c r="R654">
        <v>2</v>
      </c>
      <c r="S654">
        <v>0.4</v>
      </c>
      <c r="T654" t="s">
        <v>84</v>
      </c>
      <c r="U654" t="s">
        <v>135</v>
      </c>
      <c r="V654" t="s">
        <v>62</v>
      </c>
      <c r="W654" t="s">
        <v>62</v>
      </c>
      <c r="X654">
        <v>1</v>
      </c>
      <c r="Y654">
        <v>2</v>
      </c>
      <c r="Z654">
        <v>6</v>
      </c>
      <c r="AA654">
        <v>0.25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5</v>
      </c>
      <c r="AK654">
        <v>0</v>
      </c>
      <c r="AL654">
        <v>4</v>
      </c>
      <c r="AM654">
        <v>2</v>
      </c>
      <c r="AN654">
        <v>18</v>
      </c>
      <c r="AO654">
        <v>5</v>
      </c>
      <c r="AP654">
        <v>18</v>
      </c>
      <c r="AQ654">
        <v>3</v>
      </c>
      <c r="AR654" t="s">
        <v>1548</v>
      </c>
      <c r="AS654" t="s">
        <v>1549</v>
      </c>
      <c r="AT654">
        <v>0.33400000000000002</v>
      </c>
      <c r="AU654" t="s">
        <v>65</v>
      </c>
      <c r="AV654">
        <v>36</v>
      </c>
      <c r="AW654">
        <v>8</v>
      </c>
      <c r="AX654" t="s">
        <v>1550</v>
      </c>
      <c r="AY654" t="s">
        <v>1551</v>
      </c>
      <c r="AZ654" t="s">
        <v>1552</v>
      </c>
      <c r="BA654">
        <v>6.0290000000000003E-2</v>
      </c>
      <c r="BB654">
        <v>1</v>
      </c>
      <c r="BC654" t="s">
        <v>69</v>
      </c>
      <c r="BD654">
        <v>0.54300000000000004</v>
      </c>
      <c r="BE654">
        <v>4.5999999999999999E-2</v>
      </c>
    </row>
    <row r="655" spans="1:57">
      <c r="A655">
        <v>0</v>
      </c>
      <c r="B655">
        <v>0</v>
      </c>
      <c r="C655">
        <v>0</v>
      </c>
      <c r="D655">
        <v>1084</v>
      </c>
      <c r="E655" t="s">
        <v>1553</v>
      </c>
      <c r="F655" t="s">
        <v>5762</v>
      </c>
      <c r="G655" t="s">
        <v>57</v>
      </c>
      <c r="H655">
        <v>1122175</v>
      </c>
      <c r="I655">
        <v>1122678</v>
      </c>
      <c r="J655" t="s">
        <v>1554</v>
      </c>
      <c r="K655">
        <v>168</v>
      </c>
      <c r="L655" t="s">
        <v>59</v>
      </c>
      <c r="M655">
        <v>5</v>
      </c>
      <c r="N655" t="str">
        <f>HYPERLINK("Gene1084-zp_tree_all.dnd", "Gene1084-tree")</f>
        <v>Gene1084-tree</v>
      </c>
      <c r="O655">
        <v>3</v>
      </c>
      <c r="P655">
        <v>2</v>
      </c>
      <c r="Q655">
        <v>3</v>
      </c>
      <c r="R655">
        <v>2</v>
      </c>
      <c r="S655">
        <v>0.4</v>
      </c>
      <c r="T655" t="s">
        <v>84</v>
      </c>
      <c r="U655" t="s">
        <v>135</v>
      </c>
      <c r="V655" t="s">
        <v>62</v>
      </c>
      <c r="W655" t="s">
        <v>62</v>
      </c>
      <c r="X655">
        <v>0</v>
      </c>
      <c r="Y655">
        <v>0</v>
      </c>
      <c r="Z655">
        <v>5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2</v>
      </c>
      <c r="AK655">
        <v>0</v>
      </c>
      <c r="AL655">
        <v>4</v>
      </c>
      <c r="AM655">
        <v>1</v>
      </c>
      <c r="AN655">
        <v>19</v>
      </c>
      <c r="AO655">
        <v>3</v>
      </c>
      <c r="AP655">
        <v>12</v>
      </c>
      <c r="AQ655">
        <v>3</v>
      </c>
      <c r="AR655" t="s">
        <v>1555</v>
      </c>
      <c r="AS655" t="s">
        <v>1556</v>
      </c>
      <c r="AT655">
        <v>0.71899999999999997</v>
      </c>
      <c r="AU655" t="s">
        <v>65</v>
      </c>
      <c r="AV655">
        <v>31</v>
      </c>
      <c r="AW655">
        <v>6</v>
      </c>
      <c r="AX655" t="s">
        <v>1557</v>
      </c>
      <c r="AY655" t="s">
        <v>1558</v>
      </c>
      <c r="AZ655" t="s">
        <v>1559</v>
      </c>
      <c r="BA655">
        <v>5.2249999999999998E-2</v>
      </c>
      <c r="BB655">
        <v>1</v>
      </c>
      <c r="BC655" t="s">
        <v>69</v>
      </c>
      <c r="BD655">
        <v>0.17299999999999999</v>
      </c>
      <c r="BE655">
        <v>-6.8000000000000005E-2</v>
      </c>
    </row>
    <row r="656" spans="1:57">
      <c r="A656">
        <v>0</v>
      </c>
      <c r="B656">
        <v>0</v>
      </c>
      <c r="C656">
        <v>4</v>
      </c>
      <c r="D656">
        <v>1091</v>
      </c>
      <c r="E656" t="s">
        <v>1573</v>
      </c>
      <c r="F656" t="s">
        <v>5762</v>
      </c>
      <c r="G656" t="s">
        <v>57</v>
      </c>
      <c r="H656">
        <v>1129715</v>
      </c>
      <c r="I656">
        <v>1130701</v>
      </c>
      <c r="J656" t="s">
        <v>1574</v>
      </c>
      <c r="K656">
        <v>329</v>
      </c>
      <c r="L656" t="s">
        <v>59</v>
      </c>
      <c r="M656">
        <v>5</v>
      </c>
      <c r="N656" t="str">
        <f>HYPERLINK("Gene1091-zp_tree_all.dnd", "Gene1091-tree")</f>
        <v>Gene1091-tree</v>
      </c>
      <c r="O656">
        <v>1</v>
      </c>
      <c r="P656">
        <v>4</v>
      </c>
      <c r="Q656">
        <v>1</v>
      </c>
      <c r="R656">
        <v>4</v>
      </c>
      <c r="S656">
        <v>0.8</v>
      </c>
      <c r="T656" t="s">
        <v>61</v>
      </c>
      <c r="U656" t="s">
        <v>60</v>
      </c>
      <c r="V656" t="s">
        <v>62</v>
      </c>
      <c r="W656" t="s">
        <v>62</v>
      </c>
      <c r="X656">
        <v>2</v>
      </c>
      <c r="Y656">
        <v>4</v>
      </c>
      <c r="Z656">
        <v>17</v>
      </c>
      <c r="AA656">
        <v>0.19048000000000001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14</v>
      </c>
      <c r="AK656">
        <v>0</v>
      </c>
      <c r="AL656">
        <v>5</v>
      </c>
      <c r="AM656">
        <v>2</v>
      </c>
      <c r="AN656">
        <v>34</v>
      </c>
      <c r="AO656">
        <v>15</v>
      </c>
      <c r="AP656">
        <v>15</v>
      </c>
      <c r="AQ656">
        <v>7</v>
      </c>
      <c r="AR656" t="s">
        <v>1575</v>
      </c>
      <c r="AS656" t="s">
        <v>1576</v>
      </c>
      <c r="AT656">
        <v>7.3999999999999996E-2</v>
      </c>
      <c r="AU656" t="s">
        <v>65</v>
      </c>
      <c r="AV656">
        <v>49</v>
      </c>
      <c r="AW656">
        <v>22</v>
      </c>
      <c r="AX656" t="s">
        <v>1577</v>
      </c>
      <c r="AY656" t="s">
        <v>1578</v>
      </c>
      <c r="AZ656" t="s">
        <v>1579</v>
      </c>
      <c r="BA656">
        <v>0.12003</v>
      </c>
      <c r="BB656">
        <v>1</v>
      </c>
      <c r="BC656" t="s">
        <v>69</v>
      </c>
      <c r="BD656">
        <v>-0.14899999999999999</v>
      </c>
      <c r="BE656">
        <v>-0.14899999999999999</v>
      </c>
    </row>
    <row r="657" spans="1:57">
      <c r="A657">
        <v>0</v>
      </c>
      <c r="B657">
        <v>0</v>
      </c>
      <c r="C657">
        <v>0</v>
      </c>
      <c r="D657">
        <v>1110</v>
      </c>
      <c r="E657" t="s">
        <v>1587</v>
      </c>
      <c r="F657" t="s">
        <v>5762</v>
      </c>
      <c r="G657" t="s">
        <v>57</v>
      </c>
      <c r="H657">
        <v>1152244</v>
      </c>
      <c r="I657">
        <v>1153146</v>
      </c>
      <c r="J657" t="s">
        <v>1588</v>
      </c>
      <c r="K657">
        <v>301</v>
      </c>
      <c r="L657" t="s">
        <v>83</v>
      </c>
      <c r="M657">
        <v>4</v>
      </c>
      <c r="N657" t="str">
        <f>HYPERLINK("Gene1110-zp_tree_all.dnd", "Gene1110-tree")</f>
        <v>Gene1110-tree</v>
      </c>
      <c r="O657">
        <v>1</v>
      </c>
      <c r="P657">
        <v>3</v>
      </c>
      <c r="Q657">
        <v>1</v>
      </c>
      <c r="R657">
        <v>3</v>
      </c>
      <c r="S657">
        <v>0.75</v>
      </c>
      <c r="T657" t="s">
        <v>61</v>
      </c>
      <c r="U657" t="s">
        <v>84</v>
      </c>
      <c r="V657" t="s">
        <v>62</v>
      </c>
      <c r="W657" t="s">
        <v>62</v>
      </c>
      <c r="X657">
        <v>0</v>
      </c>
      <c r="Y657">
        <v>0</v>
      </c>
      <c r="Z657">
        <v>9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9</v>
      </c>
      <c r="AK657">
        <v>0</v>
      </c>
      <c r="AL657">
        <v>4</v>
      </c>
      <c r="AM657">
        <v>1</v>
      </c>
      <c r="AN657">
        <v>38</v>
      </c>
      <c r="AO657">
        <v>9</v>
      </c>
      <c r="AP657">
        <v>4</v>
      </c>
      <c r="AQ657">
        <v>0</v>
      </c>
      <c r="AR657" t="s">
        <v>1589</v>
      </c>
      <c r="AS657" t="s">
        <v>64</v>
      </c>
      <c r="AT657">
        <v>0.70499999999999996</v>
      </c>
      <c r="AU657" t="s">
        <v>65</v>
      </c>
      <c r="AV657">
        <v>42</v>
      </c>
      <c r="AW657">
        <v>9</v>
      </c>
      <c r="AX657" t="s">
        <v>1590</v>
      </c>
      <c r="AY657" t="s">
        <v>1591</v>
      </c>
      <c r="AZ657" t="s">
        <v>1592</v>
      </c>
      <c r="BA657">
        <v>5.6930000000000001E-2</v>
      </c>
      <c r="BB657">
        <v>1</v>
      </c>
      <c r="BC657" t="s">
        <v>69</v>
      </c>
      <c r="BD657">
        <v>-0.47799999999999998</v>
      </c>
      <c r="BE657">
        <v>-0.47799999999999998</v>
      </c>
    </row>
    <row r="658" spans="1:57">
      <c r="A658">
        <v>0</v>
      </c>
      <c r="B658">
        <v>0</v>
      </c>
      <c r="C658">
        <v>0</v>
      </c>
      <c r="D658">
        <v>1111</v>
      </c>
      <c r="E658" t="s">
        <v>1593</v>
      </c>
      <c r="F658" t="s">
        <v>5762</v>
      </c>
      <c r="G658" t="s">
        <v>57</v>
      </c>
      <c r="H658">
        <v>1153265</v>
      </c>
      <c r="I658">
        <v>1153618</v>
      </c>
      <c r="J658" t="s">
        <v>1547</v>
      </c>
      <c r="K658">
        <v>118</v>
      </c>
      <c r="L658" t="s">
        <v>59</v>
      </c>
      <c r="M658">
        <v>5</v>
      </c>
      <c r="N658" t="str">
        <f>HYPERLINK("Gene1111-zp_tree_all.dnd", "Gene1111-tree")</f>
        <v>Gene1111-tree</v>
      </c>
      <c r="O658">
        <v>3</v>
      </c>
      <c r="P658">
        <v>2</v>
      </c>
      <c r="Q658">
        <v>3</v>
      </c>
      <c r="R658">
        <v>2</v>
      </c>
      <c r="S658">
        <v>0.4</v>
      </c>
      <c r="T658" t="s">
        <v>84</v>
      </c>
      <c r="U658" t="s">
        <v>135</v>
      </c>
      <c r="V658" t="s">
        <v>62</v>
      </c>
      <c r="W658" t="s">
        <v>62</v>
      </c>
      <c r="X658">
        <v>0</v>
      </c>
      <c r="Y658">
        <v>0</v>
      </c>
      <c r="Z658">
        <v>5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2</v>
      </c>
      <c r="AK658">
        <v>0</v>
      </c>
      <c r="AL658">
        <v>3</v>
      </c>
      <c r="AM658">
        <v>2</v>
      </c>
      <c r="AN658">
        <v>10</v>
      </c>
      <c r="AO658">
        <v>2</v>
      </c>
      <c r="AP658">
        <v>5</v>
      </c>
      <c r="AQ658">
        <v>3</v>
      </c>
      <c r="AR658" t="s">
        <v>1594</v>
      </c>
      <c r="AS658" t="s">
        <v>1595</v>
      </c>
      <c r="AT658">
        <v>0.68500000000000005</v>
      </c>
      <c r="AU658" t="s">
        <v>65</v>
      </c>
      <c r="AV658">
        <v>15</v>
      </c>
      <c r="AW658">
        <v>5</v>
      </c>
      <c r="AX658" t="s">
        <v>1596</v>
      </c>
      <c r="AY658" t="s">
        <v>1597</v>
      </c>
      <c r="AZ658" t="s">
        <v>1598</v>
      </c>
      <c r="BA658">
        <v>0.11767</v>
      </c>
      <c r="BB658">
        <v>1</v>
      </c>
      <c r="BC658" t="s">
        <v>69</v>
      </c>
      <c r="BD658">
        <v>0</v>
      </c>
      <c r="BE658">
        <v>0</v>
      </c>
    </row>
    <row r="659" spans="1:57">
      <c r="A659">
        <v>0</v>
      </c>
      <c r="B659">
        <v>0</v>
      </c>
      <c r="C659">
        <v>0</v>
      </c>
      <c r="D659">
        <v>1118</v>
      </c>
      <c r="E659" t="s">
        <v>1599</v>
      </c>
      <c r="F659" t="s">
        <v>5762</v>
      </c>
      <c r="G659" t="s">
        <v>57</v>
      </c>
      <c r="H659">
        <v>1162267</v>
      </c>
      <c r="I659">
        <v>1163127</v>
      </c>
      <c r="J659" t="s">
        <v>987</v>
      </c>
      <c r="K659">
        <v>287</v>
      </c>
      <c r="L659" t="s">
        <v>59</v>
      </c>
      <c r="M659">
        <v>5</v>
      </c>
      <c r="N659" t="str">
        <f>HYPERLINK("Gene1118-zp_tree_all.dnd", "Gene1118-tree")</f>
        <v>Gene1118-tree</v>
      </c>
      <c r="O659">
        <v>0</v>
      </c>
      <c r="P659">
        <v>5</v>
      </c>
      <c r="Q659">
        <v>0</v>
      </c>
      <c r="R659">
        <v>5</v>
      </c>
      <c r="S659">
        <v>1</v>
      </c>
      <c r="T659" t="s">
        <v>62</v>
      </c>
      <c r="U659" t="s">
        <v>98</v>
      </c>
      <c r="V659" t="s">
        <v>62</v>
      </c>
      <c r="W659" t="s">
        <v>62</v>
      </c>
      <c r="X659">
        <v>0</v>
      </c>
      <c r="Y659">
        <v>0</v>
      </c>
      <c r="Z659">
        <v>8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6</v>
      </c>
      <c r="AK659">
        <v>0</v>
      </c>
      <c r="AL659">
        <v>5</v>
      </c>
      <c r="AM659">
        <v>1</v>
      </c>
      <c r="AN659">
        <v>34</v>
      </c>
      <c r="AO659">
        <v>6</v>
      </c>
      <c r="AP659">
        <v>22</v>
      </c>
      <c r="AQ659">
        <v>2</v>
      </c>
      <c r="AR659" t="s">
        <v>1600</v>
      </c>
      <c r="AS659" t="s">
        <v>1601</v>
      </c>
      <c r="AT659">
        <v>1.524</v>
      </c>
      <c r="AU659" t="s">
        <v>65</v>
      </c>
      <c r="AV659">
        <v>56</v>
      </c>
      <c r="AW659">
        <v>8</v>
      </c>
      <c r="AX659" t="s">
        <v>1602</v>
      </c>
      <c r="AY659" t="s">
        <v>1603</v>
      </c>
      <c r="AZ659" t="s">
        <v>1604</v>
      </c>
      <c r="BA659">
        <v>3.7159999999999999E-2</v>
      </c>
      <c r="BB659">
        <v>1</v>
      </c>
      <c r="BC659" t="s">
        <v>69</v>
      </c>
      <c r="BD659">
        <v>0.182</v>
      </c>
      <c r="BE659">
        <v>-8.5000000000000006E-2</v>
      </c>
    </row>
    <row r="660" spans="1:57">
      <c r="A660">
        <v>0</v>
      </c>
      <c r="B660">
        <v>0</v>
      </c>
      <c r="C660">
        <v>0</v>
      </c>
      <c r="D660">
        <v>1147</v>
      </c>
      <c r="E660" t="s">
        <v>1605</v>
      </c>
      <c r="F660" t="s">
        <v>5762</v>
      </c>
      <c r="G660" t="s">
        <v>57</v>
      </c>
      <c r="H660">
        <v>1188689</v>
      </c>
      <c r="I660">
        <v>1189528</v>
      </c>
      <c r="J660" t="s">
        <v>1547</v>
      </c>
      <c r="K660">
        <v>280</v>
      </c>
      <c r="L660" t="s">
        <v>59</v>
      </c>
      <c r="M660">
        <v>5</v>
      </c>
      <c r="N660" t="str">
        <f>HYPERLINK("Gene1147-zp_tree_all.dnd", "Gene1147-tree")</f>
        <v>Gene1147-tree</v>
      </c>
      <c r="O660">
        <v>4</v>
      </c>
      <c r="P660">
        <v>1</v>
      </c>
      <c r="Q660">
        <v>3</v>
      </c>
      <c r="R660">
        <v>1</v>
      </c>
      <c r="S660">
        <v>0.25</v>
      </c>
      <c r="T660" t="s">
        <v>119</v>
      </c>
      <c r="U660" t="s">
        <v>61</v>
      </c>
      <c r="V660" t="s">
        <v>62</v>
      </c>
      <c r="W660" t="s">
        <v>62</v>
      </c>
      <c r="X660">
        <v>0</v>
      </c>
      <c r="Y660">
        <v>0</v>
      </c>
      <c r="Z660">
        <v>3</v>
      </c>
      <c r="AA660">
        <v>0</v>
      </c>
      <c r="AB660">
        <v>0</v>
      </c>
      <c r="AC660">
        <v>0</v>
      </c>
      <c r="AD660">
        <v>0</v>
      </c>
      <c r="AE660">
        <v>2</v>
      </c>
      <c r="AF660">
        <v>0</v>
      </c>
      <c r="AG660">
        <v>0</v>
      </c>
      <c r="AH660">
        <v>0</v>
      </c>
      <c r="AI660">
        <v>0</v>
      </c>
      <c r="AJ660">
        <v>1</v>
      </c>
      <c r="AK660">
        <v>0</v>
      </c>
      <c r="AL660">
        <v>4</v>
      </c>
      <c r="AM660">
        <v>1</v>
      </c>
      <c r="AN660">
        <v>31</v>
      </c>
      <c r="AO660">
        <v>1</v>
      </c>
      <c r="AP660">
        <v>17</v>
      </c>
      <c r="AQ660">
        <v>2</v>
      </c>
      <c r="AR660" t="s">
        <v>1606</v>
      </c>
      <c r="AS660" t="s">
        <v>1607</v>
      </c>
      <c r="AT660">
        <v>1.65</v>
      </c>
      <c r="AU660" t="s">
        <v>65</v>
      </c>
      <c r="AV660">
        <v>48</v>
      </c>
      <c r="AW660">
        <v>3</v>
      </c>
      <c r="AX660" t="s">
        <v>1608</v>
      </c>
      <c r="AY660" t="s">
        <v>1609</v>
      </c>
      <c r="AZ660" t="s">
        <v>1610</v>
      </c>
      <c r="BA660">
        <v>2.1260000000000001E-2</v>
      </c>
      <c r="BB660">
        <v>1</v>
      </c>
      <c r="BC660" t="s">
        <v>69</v>
      </c>
      <c r="BD660">
        <v>0.61499999999999999</v>
      </c>
      <c r="BE660">
        <v>1.2999999999999999E-2</v>
      </c>
    </row>
    <row r="661" spans="1:57">
      <c r="A661">
        <v>0</v>
      </c>
      <c r="B661">
        <v>0</v>
      </c>
      <c r="C661">
        <v>0</v>
      </c>
      <c r="D661">
        <v>1167</v>
      </c>
      <c r="E661" t="s">
        <v>1620</v>
      </c>
      <c r="F661" t="s">
        <v>5762</v>
      </c>
      <c r="G661" t="s">
        <v>57</v>
      </c>
      <c r="H661">
        <v>1207597</v>
      </c>
      <c r="I661">
        <v>1207785</v>
      </c>
      <c r="J661" t="s">
        <v>1621</v>
      </c>
      <c r="K661">
        <v>63</v>
      </c>
      <c r="L661" t="s">
        <v>59</v>
      </c>
      <c r="M661">
        <v>5</v>
      </c>
      <c r="N661" t="str">
        <f>HYPERLINK("Gene1167-zp_tree_all.dnd", "Gene1167-tree")</f>
        <v>Gene1167-tree</v>
      </c>
      <c r="O661">
        <v>4</v>
      </c>
      <c r="P661">
        <v>0</v>
      </c>
      <c r="Q661">
        <v>4</v>
      </c>
      <c r="R661">
        <v>0</v>
      </c>
      <c r="S661">
        <v>0</v>
      </c>
      <c r="T661" t="s">
        <v>60</v>
      </c>
      <c r="U661" t="s">
        <v>62</v>
      </c>
      <c r="V661" t="s">
        <v>62</v>
      </c>
      <c r="W661" t="s">
        <v>62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2</v>
      </c>
      <c r="AM661">
        <v>1</v>
      </c>
      <c r="AN661">
        <v>3</v>
      </c>
      <c r="AO661">
        <v>0</v>
      </c>
      <c r="AP661">
        <v>8</v>
      </c>
      <c r="AQ661">
        <v>0</v>
      </c>
      <c r="AR661" t="s">
        <v>64</v>
      </c>
      <c r="AS661" t="s">
        <v>64</v>
      </c>
      <c r="AT661">
        <v>0</v>
      </c>
      <c r="AU661" t="s">
        <v>65</v>
      </c>
      <c r="AV661">
        <v>11</v>
      </c>
      <c r="AW661">
        <v>0</v>
      </c>
      <c r="AX661" t="s">
        <v>1622</v>
      </c>
      <c r="AY661" t="s">
        <v>1623</v>
      </c>
      <c r="AZ661" t="s">
        <v>64</v>
      </c>
      <c r="BA661">
        <v>0</v>
      </c>
      <c r="BB661">
        <v>1</v>
      </c>
      <c r="BC661" t="s">
        <v>69</v>
      </c>
      <c r="BD661">
        <v>1.3420000000000001</v>
      </c>
      <c r="BE661">
        <v>0.59599999999999997</v>
      </c>
    </row>
    <row r="662" spans="1:57">
      <c r="A662">
        <v>0</v>
      </c>
      <c r="B662">
        <v>0</v>
      </c>
      <c r="C662">
        <v>0</v>
      </c>
      <c r="D662">
        <v>1172</v>
      </c>
      <c r="E662" t="s">
        <v>1624</v>
      </c>
      <c r="F662" t="s">
        <v>5762</v>
      </c>
      <c r="G662" t="s">
        <v>57</v>
      </c>
      <c r="H662">
        <v>1211477</v>
      </c>
      <c r="I662">
        <v>1212460</v>
      </c>
      <c r="J662" t="s">
        <v>1625</v>
      </c>
      <c r="K662">
        <v>328</v>
      </c>
      <c r="L662" t="s">
        <v>59</v>
      </c>
      <c r="M662">
        <v>5</v>
      </c>
      <c r="N662" t="str">
        <f>HYPERLINK("Gene1172-zp_tree_all.dnd", "Gene1172-tree")</f>
        <v>Gene1172-tree</v>
      </c>
      <c r="O662">
        <v>3</v>
      </c>
      <c r="P662">
        <v>2</v>
      </c>
      <c r="Q662">
        <v>2</v>
      </c>
      <c r="R662">
        <v>2</v>
      </c>
      <c r="S662">
        <v>0.5</v>
      </c>
      <c r="T662" t="s">
        <v>217</v>
      </c>
      <c r="U662" t="s">
        <v>135</v>
      </c>
      <c r="V662" t="s">
        <v>62</v>
      </c>
      <c r="W662" t="s">
        <v>62</v>
      </c>
      <c r="X662">
        <v>0</v>
      </c>
      <c r="Y662">
        <v>0</v>
      </c>
      <c r="Z662">
        <v>5</v>
      </c>
      <c r="AA662">
        <v>0</v>
      </c>
      <c r="AB662">
        <v>0</v>
      </c>
      <c r="AC662">
        <v>0</v>
      </c>
      <c r="AD662">
        <v>0</v>
      </c>
      <c r="AE662">
        <v>1</v>
      </c>
      <c r="AF662">
        <v>0</v>
      </c>
      <c r="AG662">
        <v>0</v>
      </c>
      <c r="AH662">
        <v>0</v>
      </c>
      <c r="AI662">
        <v>0</v>
      </c>
      <c r="AJ662">
        <v>4</v>
      </c>
      <c r="AK662">
        <v>0</v>
      </c>
      <c r="AL662">
        <v>4</v>
      </c>
      <c r="AM662">
        <v>1</v>
      </c>
      <c r="AN662">
        <v>26</v>
      </c>
      <c r="AO662">
        <v>4</v>
      </c>
      <c r="AP662">
        <v>31</v>
      </c>
      <c r="AQ662">
        <v>2</v>
      </c>
      <c r="AR662" t="s">
        <v>1626</v>
      </c>
      <c r="AS662" t="s">
        <v>1627</v>
      </c>
      <c r="AT662">
        <v>0.93300000000000005</v>
      </c>
      <c r="AU662" t="s">
        <v>65</v>
      </c>
      <c r="AV662">
        <v>57</v>
      </c>
      <c r="AW662">
        <v>6</v>
      </c>
      <c r="AX662" t="s">
        <v>1628</v>
      </c>
      <c r="AY662" t="s">
        <v>1629</v>
      </c>
      <c r="AZ662" t="s">
        <v>1630</v>
      </c>
      <c r="BA662">
        <v>2.5780000000000001E-2</v>
      </c>
      <c r="BB662">
        <v>1</v>
      </c>
      <c r="BC662" t="s">
        <v>69</v>
      </c>
      <c r="BD662">
        <v>0.625</v>
      </c>
      <c r="BE662">
        <v>0.496</v>
      </c>
    </row>
    <row r="663" spans="1:57">
      <c r="A663">
        <v>0</v>
      </c>
      <c r="B663">
        <v>0</v>
      </c>
      <c r="C663">
        <v>0</v>
      </c>
      <c r="D663">
        <v>1178</v>
      </c>
      <c r="E663" t="s">
        <v>1631</v>
      </c>
      <c r="F663" t="s">
        <v>5762</v>
      </c>
      <c r="G663" t="s">
        <v>57</v>
      </c>
      <c r="H663">
        <v>1217326</v>
      </c>
      <c r="I663">
        <v>1218075</v>
      </c>
      <c r="J663" t="s">
        <v>1632</v>
      </c>
      <c r="K663">
        <v>250</v>
      </c>
      <c r="L663" t="s">
        <v>59</v>
      </c>
      <c r="M663">
        <v>5</v>
      </c>
      <c r="N663" t="str">
        <f>HYPERLINK("Gene1178-zp_tree_all.dnd", "Gene1178-tree")</f>
        <v>Gene1178-tree</v>
      </c>
      <c r="O663">
        <v>4</v>
      </c>
      <c r="P663">
        <v>1</v>
      </c>
      <c r="Q663">
        <v>4</v>
      </c>
      <c r="R663">
        <v>1</v>
      </c>
      <c r="S663">
        <v>0.2</v>
      </c>
      <c r="T663" t="s">
        <v>60</v>
      </c>
      <c r="U663" t="s">
        <v>61</v>
      </c>
      <c r="V663" t="s">
        <v>62</v>
      </c>
      <c r="W663" t="s">
        <v>62</v>
      </c>
      <c r="X663">
        <v>0</v>
      </c>
      <c r="Y663">
        <v>0</v>
      </c>
      <c r="Z663">
        <v>5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4</v>
      </c>
      <c r="AK663">
        <v>0</v>
      </c>
      <c r="AL663">
        <v>5</v>
      </c>
      <c r="AM663">
        <v>2</v>
      </c>
      <c r="AN663">
        <v>20</v>
      </c>
      <c r="AO663">
        <v>4</v>
      </c>
      <c r="AP663">
        <v>24</v>
      </c>
      <c r="AQ663">
        <v>1</v>
      </c>
      <c r="AR663" t="s">
        <v>1633</v>
      </c>
      <c r="AS663" t="s">
        <v>1634</v>
      </c>
      <c r="AT663">
        <v>0.433</v>
      </c>
      <c r="AU663" t="s">
        <v>65</v>
      </c>
      <c r="AV663">
        <v>44</v>
      </c>
      <c r="AW663">
        <v>5</v>
      </c>
      <c r="AX663" t="s">
        <v>1635</v>
      </c>
      <c r="AY663" t="s">
        <v>1636</v>
      </c>
      <c r="AZ663" t="s">
        <v>1637</v>
      </c>
      <c r="BA663">
        <v>2.409E-2</v>
      </c>
      <c r="BB663">
        <v>1</v>
      </c>
      <c r="BC663" t="s">
        <v>69</v>
      </c>
      <c r="BD663">
        <v>0.81299999999999994</v>
      </c>
      <c r="BE663">
        <v>0.67</v>
      </c>
    </row>
    <row r="664" spans="1:57">
      <c r="A664">
        <v>0</v>
      </c>
      <c r="B664">
        <v>0</v>
      </c>
      <c r="C664">
        <v>0</v>
      </c>
      <c r="D664">
        <v>1181</v>
      </c>
      <c r="E664" t="s">
        <v>1638</v>
      </c>
      <c r="F664" t="s">
        <v>5762</v>
      </c>
      <c r="G664" t="s">
        <v>57</v>
      </c>
      <c r="H664">
        <v>1221594</v>
      </c>
      <c r="I664">
        <v>1222526</v>
      </c>
      <c r="J664" t="s">
        <v>1639</v>
      </c>
      <c r="K664">
        <v>311</v>
      </c>
      <c r="L664" t="s">
        <v>83</v>
      </c>
      <c r="M664">
        <v>4</v>
      </c>
      <c r="N664" t="str">
        <f>HYPERLINK("Gene1181-zp_tree_all.dnd", "Gene1181-tree")</f>
        <v>Gene1181-tree</v>
      </c>
      <c r="O664">
        <v>3</v>
      </c>
      <c r="P664">
        <v>1</v>
      </c>
      <c r="Q664">
        <v>3</v>
      </c>
      <c r="R664">
        <v>1</v>
      </c>
      <c r="S664">
        <v>0.25</v>
      </c>
      <c r="T664" t="s">
        <v>84</v>
      </c>
      <c r="U664" t="s">
        <v>61</v>
      </c>
      <c r="V664" t="s">
        <v>62</v>
      </c>
      <c r="W664" t="s">
        <v>62</v>
      </c>
      <c r="X664">
        <v>0</v>
      </c>
      <c r="Y664">
        <v>0</v>
      </c>
      <c r="Z664">
        <v>3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3</v>
      </c>
      <c r="AK664">
        <v>0</v>
      </c>
      <c r="AL664">
        <v>4</v>
      </c>
      <c r="AM664">
        <v>1</v>
      </c>
      <c r="AN664">
        <v>45</v>
      </c>
      <c r="AO664">
        <v>3</v>
      </c>
      <c r="AP664">
        <v>1</v>
      </c>
      <c r="AQ664">
        <v>0</v>
      </c>
      <c r="AR664" t="s">
        <v>1640</v>
      </c>
      <c r="AS664" t="s">
        <v>64</v>
      </c>
      <c r="AT664">
        <v>0.42499999999999999</v>
      </c>
      <c r="AU664" t="s">
        <v>65</v>
      </c>
      <c r="AV664">
        <v>46</v>
      </c>
      <c r="AW664">
        <v>3</v>
      </c>
      <c r="AX664" t="s">
        <v>1641</v>
      </c>
      <c r="AY664" t="s">
        <v>1642</v>
      </c>
      <c r="AZ664" t="s">
        <v>1643</v>
      </c>
      <c r="BA664">
        <v>1.9179999999999999E-2</v>
      </c>
      <c r="BB664">
        <v>1</v>
      </c>
      <c r="BC664" t="s">
        <v>69</v>
      </c>
      <c r="BD664">
        <v>-0.73499999999999999</v>
      </c>
      <c r="BE664">
        <v>-0.73499999999999999</v>
      </c>
    </row>
    <row r="665" spans="1:57">
      <c r="A665">
        <v>0</v>
      </c>
      <c r="B665">
        <v>0</v>
      </c>
      <c r="C665">
        <v>0</v>
      </c>
      <c r="D665">
        <v>1182</v>
      </c>
      <c r="E665" t="s">
        <v>1644</v>
      </c>
      <c r="F665" t="s">
        <v>5762</v>
      </c>
      <c r="G665" t="s">
        <v>57</v>
      </c>
      <c r="H665">
        <v>1222533</v>
      </c>
      <c r="I665">
        <v>1223447</v>
      </c>
      <c r="J665" t="s">
        <v>1639</v>
      </c>
      <c r="K665">
        <v>305</v>
      </c>
      <c r="L665" t="s">
        <v>59</v>
      </c>
      <c r="M665">
        <v>5</v>
      </c>
      <c r="N665" t="str">
        <f>HYPERLINK("Gene1182-zp_tree_all.dnd", "Gene1182-tree")</f>
        <v>Gene1182-tree</v>
      </c>
      <c r="O665">
        <v>3</v>
      </c>
      <c r="P665">
        <v>2</v>
      </c>
      <c r="Q665">
        <v>3</v>
      </c>
      <c r="R665">
        <v>2</v>
      </c>
      <c r="S665">
        <v>0.4</v>
      </c>
      <c r="T665" t="s">
        <v>84</v>
      </c>
      <c r="U665" t="s">
        <v>135</v>
      </c>
      <c r="V665" t="s">
        <v>62</v>
      </c>
      <c r="W665" t="s">
        <v>62</v>
      </c>
      <c r="X665">
        <v>0</v>
      </c>
      <c r="Y665">
        <v>0</v>
      </c>
      <c r="Z665">
        <v>3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2</v>
      </c>
      <c r="AK665">
        <v>0</v>
      </c>
      <c r="AL665">
        <v>5</v>
      </c>
      <c r="AM665">
        <v>2</v>
      </c>
      <c r="AN665">
        <v>32</v>
      </c>
      <c r="AO665">
        <v>2</v>
      </c>
      <c r="AP665">
        <v>22</v>
      </c>
      <c r="AQ665">
        <v>1</v>
      </c>
      <c r="AR665" t="s">
        <v>1645</v>
      </c>
      <c r="AS665" t="s">
        <v>1646</v>
      </c>
      <c r="AT665">
        <v>0.313</v>
      </c>
      <c r="AU665" t="s">
        <v>65</v>
      </c>
      <c r="AV665">
        <v>54</v>
      </c>
      <c r="AW665">
        <v>3</v>
      </c>
      <c r="AX665" t="s">
        <v>1647</v>
      </c>
      <c r="AY665" t="s">
        <v>1648</v>
      </c>
      <c r="AZ665" t="s">
        <v>1649</v>
      </c>
      <c r="BA665">
        <v>1.5810000000000001E-2</v>
      </c>
      <c r="BB665">
        <v>1</v>
      </c>
      <c r="BC665" t="s">
        <v>69</v>
      </c>
      <c r="BD665">
        <v>0.374</v>
      </c>
      <c r="BE665">
        <v>0.22600000000000001</v>
      </c>
    </row>
    <row r="666" spans="1:57">
      <c r="A666">
        <v>0</v>
      </c>
      <c r="B666">
        <v>0</v>
      </c>
      <c r="C666">
        <v>0</v>
      </c>
      <c r="D666">
        <v>1183</v>
      </c>
      <c r="E666" t="s">
        <v>1650</v>
      </c>
      <c r="F666" t="s">
        <v>5762</v>
      </c>
      <c r="G666" t="s">
        <v>57</v>
      </c>
      <c r="H666">
        <v>1223455</v>
      </c>
      <c r="I666">
        <v>1224528</v>
      </c>
      <c r="J666" t="s">
        <v>1625</v>
      </c>
      <c r="K666">
        <v>358</v>
      </c>
      <c r="L666" t="s">
        <v>83</v>
      </c>
      <c r="M666">
        <v>4</v>
      </c>
      <c r="N666" t="str">
        <f>HYPERLINK("Gene1183-zp_tree_all.dnd", "Gene1183-tree")</f>
        <v>Gene1183-tree</v>
      </c>
      <c r="O666">
        <v>1</v>
      </c>
      <c r="P666">
        <v>3</v>
      </c>
      <c r="Q666">
        <v>1</v>
      </c>
      <c r="R666">
        <v>3</v>
      </c>
      <c r="S666">
        <v>0.75</v>
      </c>
      <c r="T666" t="s">
        <v>61</v>
      </c>
      <c r="U666" t="s">
        <v>84</v>
      </c>
      <c r="V666" t="s">
        <v>62</v>
      </c>
      <c r="W666" t="s">
        <v>62</v>
      </c>
      <c r="X666">
        <v>0</v>
      </c>
      <c r="Y666">
        <v>0</v>
      </c>
      <c r="Z666">
        <v>5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4</v>
      </c>
      <c r="AK666">
        <v>0</v>
      </c>
      <c r="AL666">
        <v>4</v>
      </c>
      <c r="AM666">
        <v>1</v>
      </c>
      <c r="AN666">
        <v>53</v>
      </c>
      <c r="AO666">
        <v>4</v>
      </c>
      <c r="AP666">
        <v>8</v>
      </c>
      <c r="AQ666">
        <v>1</v>
      </c>
      <c r="AR666" t="s">
        <v>1651</v>
      </c>
      <c r="AS666" t="s">
        <v>1652</v>
      </c>
      <c r="AT666">
        <v>0.95099999999999996</v>
      </c>
      <c r="AU666" t="s">
        <v>65</v>
      </c>
      <c r="AV666">
        <v>61</v>
      </c>
      <c r="AW666">
        <v>5</v>
      </c>
      <c r="AX666" t="s">
        <v>1653</v>
      </c>
      <c r="AY666" t="s">
        <v>1654</v>
      </c>
      <c r="AZ666" t="s">
        <v>1655</v>
      </c>
      <c r="BA666">
        <v>2.3980000000000001E-2</v>
      </c>
      <c r="BB666">
        <v>1</v>
      </c>
      <c r="BC666" t="s">
        <v>69</v>
      </c>
      <c r="BD666">
        <v>-0.15</v>
      </c>
      <c r="BE666">
        <v>-0.45800000000000002</v>
      </c>
    </row>
    <row r="667" spans="1:57">
      <c r="A667">
        <v>0</v>
      </c>
      <c r="B667">
        <v>0</v>
      </c>
      <c r="C667">
        <v>0</v>
      </c>
      <c r="D667">
        <v>1184</v>
      </c>
      <c r="E667" t="s">
        <v>1656</v>
      </c>
      <c r="F667" t="s">
        <v>5762</v>
      </c>
      <c r="G667" t="s">
        <v>57</v>
      </c>
      <c r="H667">
        <v>1224533</v>
      </c>
      <c r="I667">
        <v>1225447</v>
      </c>
      <c r="J667" t="s">
        <v>1625</v>
      </c>
      <c r="K667">
        <v>305</v>
      </c>
      <c r="L667" t="s">
        <v>83</v>
      </c>
      <c r="M667">
        <v>4</v>
      </c>
      <c r="N667" t="str">
        <f>HYPERLINK("Gene1184-zp_tree_all.dnd", "Gene1184-tree")</f>
        <v>Gene1184-tree</v>
      </c>
      <c r="O667">
        <v>3</v>
      </c>
      <c r="P667">
        <v>1</v>
      </c>
      <c r="Q667">
        <v>3</v>
      </c>
      <c r="R667">
        <v>1</v>
      </c>
      <c r="S667">
        <v>0.25</v>
      </c>
      <c r="T667" t="s">
        <v>84</v>
      </c>
      <c r="U667" t="s">
        <v>61</v>
      </c>
      <c r="V667" t="s">
        <v>62</v>
      </c>
      <c r="W667" t="s">
        <v>62</v>
      </c>
      <c r="X667">
        <v>0</v>
      </c>
      <c r="Y667">
        <v>0</v>
      </c>
      <c r="Z667">
        <v>4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4</v>
      </c>
      <c r="AK667">
        <v>0</v>
      </c>
      <c r="AL667">
        <v>4</v>
      </c>
      <c r="AM667">
        <v>1</v>
      </c>
      <c r="AN667">
        <v>56</v>
      </c>
      <c r="AO667">
        <v>4</v>
      </c>
      <c r="AP667">
        <v>2</v>
      </c>
      <c r="AQ667">
        <v>0</v>
      </c>
      <c r="AR667" t="s">
        <v>1657</v>
      </c>
      <c r="AS667" t="s">
        <v>64</v>
      </c>
      <c r="AT667">
        <v>0.56000000000000005</v>
      </c>
      <c r="AU667" t="s">
        <v>65</v>
      </c>
      <c r="AV667">
        <v>58</v>
      </c>
      <c r="AW667">
        <v>4</v>
      </c>
      <c r="AX667" t="s">
        <v>1658</v>
      </c>
      <c r="AY667" t="s">
        <v>1659</v>
      </c>
      <c r="AZ667" t="s">
        <v>1660</v>
      </c>
      <c r="BA667">
        <v>1.883E-2</v>
      </c>
      <c r="BB667">
        <v>1</v>
      </c>
      <c r="BC667" t="s">
        <v>69</v>
      </c>
      <c r="BD667">
        <v>-0.48399999999999999</v>
      </c>
      <c r="BE667">
        <v>-0.64900000000000002</v>
      </c>
    </row>
    <row r="668" spans="1:57">
      <c r="A668">
        <v>0</v>
      </c>
      <c r="B668">
        <v>0</v>
      </c>
      <c r="C668">
        <v>0</v>
      </c>
      <c r="D668">
        <v>1186</v>
      </c>
      <c r="E668" t="s">
        <v>1661</v>
      </c>
      <c r="F668" t="s">
        <v>5762</v>
      </c>
      <c r="G668" t="s">
        <v>57</v>
      </c>
      <c r="H668">
        <v>1226938</v>
      </c>
      <c r="I668">
        <v>1227513</v>
      </c>
      <c r="J668" t="s">
        <v>1662</v>
      </c>
      <c r="K668">
        <v>192</v>
      </c>
      <c r="L668" t="s">
        <v>59</v>
      </c>
      <c r="M668">
        <v>5</v>
      </c>
      <c r="N668" t="str">
        <f>HYPERLINK("Gene1186-zp_tree_all.dnd", "Gene1186-tree")</f>
        <v>Gene1186-tree</v>
      </c>
      <c r="O668">
        <v>4</v>
      </c>
      <c r="P668">
        <v>1</v>
      </c>
      <c r="Q668">
        <v>4</v>
      </c>
      <c r="R668">
        <v>1</v>
      </c>
      <c r="S668">
        <v>0.2</v>
      </c>
      <c r="T668" t="s">
        <v>60</v>
      </c>
      <c r="U668" t="s">
        <v>61</v>
      </c>
      <c r="V668" t="s">
        <v>62</v>
      </c>
      <c r="W668" t="s">
        <v>62</v>
      </c>
      <c r="X668">
        <v>0</v>
      </c>
      <c r="Y668">
        <v>0</v>
      </c>
      <c r="Z668">
        <v>2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2</v>
      </c>
      <c r="AK668">
        <v>0</v>
      </c>
      <c r="AL668">
        <v>5</v>
      </c>
      <c r="AM668">
        <v>2</v>
      </c>
      <c r="AN668">
        <v>9</v>
      </c>
      <c r="AO668">
        <v>2</v>
      </c>
      <c r="AP668">
        <v>9</v>
      </c>
      <c r="AQ668">
        <v>0</v>
      </c>
      <c r="AR668" t="s">
        <v>1663</v>
      </c>
      <c r="AS668" t="s">
        <v>64</v>
      </c>
      <c r="AT668">
        <v>0.505</v>
      </c>
      <c r="AU668" t="s">
        <v>65</v>
      </c>
      <c r="AV668">
        <v>18</v>
      </c>
      <c r="AW668">
        <v>2</v>
      </c>
      <c r="AX668" t="s">
        <v>1664</v>
      </c>
      <c r="AY668" t="s">
        <v>1665</v>
      </c>
      <c r="AZ668" t="s">
        <v>1666</v>
      </c>
      <c r="BA668">
        <v>2.196E-2</v>
      </c>
      <c r="BB668">
        <v>1</v>
      </c>
      <c r="BC668" t="s">
        <v>69</v>
      </c>
      <c r="BD668">
        <v>0.22700000000000001</v>
      </c>
      <c r="BE668">
        <v>0.22700000000000001</v>
      </c>
    </row>
    <row r="669" spans="1:57">
      <c r="A669">
        <v>0</v>
      </c>
      <c r="B669">
        <v>2</v>
      </c>
      <c r="C669">
        <v>0</v>
      </c>
      <c r="D669">
        <v>1187</v>
      </c>
      <c r="E669" t="s">
        <v>1667</v>
      </c>
      <c r="F669" t="s">
        <v>5762</v>
      </c>
      <c r="G669" t="s">
        <v>57</v>
      </c>
      <c r="H669">
        <v>1227697</v>
      </c>
      <c r="I669">
        <v>1228089</v>
      </c>
      <c r="J669" t="s">
        <v>1668</v>
      </c>
      <c r="K669">
        <v>131</v>
      </c>
      <c r="L669" t="s">
        <v>59</v>
      </c>
      <c r="M669">
        <v>5</v>
      </c>
      <c r="N669" t="str">
        <f>HYPERLINK("Gene1187-zp_tree_all.dnd", "Gene1187-tree")</f>
        <v>Gene1187-tree</v>
      </c>
      <c r="O669">
        <v>3</v>
      </c>
      <c r="P669">
        <v>2</v>
      </c>
      <c r="Q669">
        <v>3</v>
      </c>
      <c r="R669">
        <v>2</v>
      </c>
      <c r="S669">
        <v>0.4</v>
      </c>
      <c r="T669" t="s">
        <v>84</v>
      </c>
      <c r="U669" t="s">
        <v>135</v>
      </c>
      <c r="V669" t="s">
        <v>62</v>
      </c>
      <c r="W669" t="s">
        <v>62</v>
      </c>
      <c r="X669">
        <v>1</v>
      </c>
      <c r="Y669">
        <v>2</v>
      </c>
      <c r="Z669">
        <v>1</v>
      </c>
      <c r="AA669">
        <v>0.66666999999999998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2</v>
      </c>
      <c r="AH669">
        <v>0</v>
      </c>
      <c r="AI669">
        <v>2</v>
      </c>
      <c r="AJ669">
        <v>0</v>
      </c>
      <c r="AK669">
        <v>1</v>
      </c>
      <c r="AL669">
        <v>3</v>
      </c>
      <c r="AM669">
        <v>2</v>
      </c>
      <c r="AN669">
        <v>7</v>
      </c>
      <c r="AO669">
        <v>1</v>
      </c>
      <c r="AP669">
        <v>5</v>
      </c>
      <c r="AQ669">
        <v>2</v>
      </c>
      <c r="AR669" t="s">
        <v>1669</v>
      </c>
      <c r="AS669" t="s">
        <v>1670</v>
      </c>
      <c r="AT669">
        <v>1.2849999999999999</v>
      </c>
      <c r="AU669" t="s">
        <v>65</v>
      </c>
      <c r="AV669">
        <v>12</v>
      </c>
      <c r="AW669">
        <v>3</v>
      </c>
      <c r="AX669" t="s">
        <v>1671</v>
      </c>
      <c r="AY669" t="s">
        <v>1672</v>
      </c>
      <c r="AZ669" t="s">
        <v>1673</v>
      </c>
      <c r="BA669">
        <v>5.6340000000000001E-2</v>
      </c>
      <c r="BB669">
        <v>1</v>
      </c>
      <c r="BC669" t="s">
        <v>69</v>
      </c>
      <c r="BD669">
        <v>0.30399999999999999</v>
      </c>
      <c r="BE669">
        <v>0.30399999999999999</v>
      </c>
    </row>
    <row r="670" spans="1:57">
      <c r="A670">
        <v>0</v>
      </c>
      <c r="B670">
        <v>0</v>
      </c>
      <c r="C670">
        <v>0</v>
      </c>
      <c r="D670">
        <v>1189</v>
      </c>
      <c r="E670" t="s">
        <v>1674</v>
      </c>
      <c r="F670" t="s">
        <v>5762</v>
      </c>
      <c r="G670" t="s">
        <v>57</v>
      </c>
      <c r="H670">
        <v>1228961</v>
      </c>
      <c r="I670">
        <v>1229098</v>
      </c>
      <c r="J670" t="s">
        <v>1675</v>
      </c>
      <c r="K670">
        <v>46</v>
      </c>
      <c r="L670" t="s">
        <v>59</v>
      </c>
      <c r="M670">
        <v>5</v>
      </c>
      <c r="N670" t="str">
        <f>HYPERLINK("Gene1189-zp_tree_all.dnd", "Gene1189-tree")</f>
        <v>Gene1189-tree</v>
      </c>
    </row>
    <row r="671" spans="1:57">
      <c r="A671">
        <v>0</v>
      </c>
      <c r="B671">
        <v>0</v>
      </c>
      <c r="C671">
        <v>2</v>
      </c>
      <c r="D671">
        <v>1197</v>
      </c>
      <c r="E671" t="s">
        <v>1683</v>
      </c>
      <c r="F671" t="s">
        <v>5762</v>
      </c>
      <c r="G671" t="s">
        <v>57</v>
      </c>
      <c r="H671">
        <v>1236609</v>
      </c>
      <c r="I671">
        <v>1236974</v>
      </c>
      <c r="J671" t="s">
        <v>118</v>
      </c>
      <c r="K671">
        <v>122</v>
      </c>
      <c r="L671" t="s">
        <v>59</v>
      </c>
      <c r="M671">
        <v>5</v>
      </c>
      <c r="N671" t="str">
        <f>HYPERLINK("Gene1197-zp_tree_all.dnd", "Gene1197-tree")</f>
        <v>Gene1197-tree</v>
      </c>
      <c r="O671">
        <v>0</v>
      </c>
      <c r="P671">
        <v>5</v>
      </c>
      <c r="Q671">
        <v>0</v>
      </c>
      <c r="R671">
        <v>5</v>
      </c>
      <c r="S671">
        <v>1</v>
      </c>
      <c r="T671" t="s">
        <v>62</v>
      </c>
      <c r="U671" t="s">
        <v>98</v>
      </c>
      <c r="V671" t="s">
        <v>62</v>
      </c>
      <c r="W671" t="s">
        <v>62</v>
      </c>
      <c r="X671">
        <v>1</v>
      </c>
      <c r="Y671">
        <v>2</v>
      </c>
      <c r="Z671">
        <v>7</v>
      </c>
      <c r="AA671">
        <v>0.22222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2</v>
      </c>
      <c r="AI671">
        <v>2</v>
      </c>
      <c r="AJ671">
        <v>4</v>
      </c>
      <c r="AK671">
        <v>0.33333000000000002</v>
      </c>
      <c r="AL671">
        <v>4</v>
      </c>
      <c r="AM671">
        <v>2</v>
      </c>
      <c r="AN671">
        <v>5</v>
      </c>
      <c r="AO671">
        <v>5</v>
      </c>
      <c r="AP671">
        <v>8</v>
      </c>
      <c r="AQ671">
        <v>4</v>
      </c>
      <c r="AR671" t="s">
        <v>1684</v>
      </c>
      <c r="AS671" t="s">
        <v>1685</v>
      </c>
      <c r="AT671">
        <v>0.71099999999999997</v>
      </c>
      <c r="AU671" t="s">
        <v>65</v>
      </c>
      <c r="AV671">
        <v>13</v>
      </c>
      <c r="AW671">
        <v>9</v>
      </c>
      <c r="AX671" t="s">
        <v>1686</v>
      </c>
      <c r="AY671" t="s">
        <v>1687</v>
      </c>
      <c r="AZ671" t="s">
        <v>1688</v>
      </c>
      <c r="BA671">
        <v>0.17311000000000001</v>
      </c>
      <c r="BB671">
        <v>1</v>
      </c>
      <c r="BC671" t="s">
        <v>69</v>
      </c>
      <c r="BD671">
        <v>0.629</v>
      </c>
      <c r="BE671">
        <v>0.16900000000000001</v>
      </c>
    </row>
    <row r="672" spans="1:57">
      <c r="A672">
        <v>0</v>
      </c>
      <c r="B672">
        <v>0</v>
      </c>
      <c r="C672">
        <v>0</v>
      </c>
      <c r="D672">
        <v>1198</v>
      </c>
      <c r="E672" t="s">
        <v>1689</v>
      </c>
      <c r="F672" t="s">
        <v>5762</v>
      </c>
      <c r="G672" t="s">
        <v>57</v>
      </c>
      <c r="H672">
        <v>1237006</v>
      </c>
      <c r="I672">
        <v>1237638</v>
      </c>
      <c r="J672" t="s">
        <v>1690</v>
      </c>
      <c r="K672">
        <v>211</v>
      </c>
      <c r="L672" t="s">
        <v>83</v>
      </c>
      <c r="M672">
        <v>4</v>
      </c>
      <c r="N672" t="str">
        <f>HYPERLINK("Gene1198-zp_tree_all.dnd", "Gene1198-tree")</f>
        <v>Gene1198-tree</v>
      </c>
      <c r="O672">
        <v>3</v>
      </c>
      <c r="P672">
        <v>1</v>
      </c>
      <c r="Q672">
        <v>3</v>
      </c>
      <c r="R672">
        <v>1</v>
      </c>
      <c r="S672">
        <v>0.25</v>
      </c>
      <c r="T672" t="s">
        <v>84</v>
      </c>
      <c r="U672" t="s">
        <v>61</v>
      </c>
      <c r="V672" t="s">
        <v>62</v>
      </c>
      <c r="W672" t="s">
        <v>62</v>
      </c>
      <c r="X672">
        <v>0</v>
      </c>
      <c r="Y672">
        <v>0</v>
      </c>
      <c r="Z672">
        <v>2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2</v>
      </c>
      <c r="AK672">
        <v>0</v>
      </c>
      <c r="AL672">
        <v>4</v>
      </c>
      <c r="AM672">
        <v>0</v>
      </c>
      <c r="AN672">
        <v>35</v>
      </c>
      <c r="AO672">
        <v>2</v>
      </c>
      <c r="AP672">
        <v>0</v>
      </c>
      <c r="AQ672">
        <v>0</v>
      </c>
      <c r="AR672" t="s">
        <v>1691</v>
      </c>
      <c r="AS672" t="s">
        <v>64</v>
      </c>
      <c r="AT672">
        <v>0.48399999999999999</v>
      </c>
      <c r="AU672" t="s">
        <v>65</v>
      </c>
      <c r="AV672">
        <v>35</v>
      </c>
      <c r="AW672">
        <v>2</v>
      </c>
      <c r="AX672" t="s">
        <v>1692</v>
      </c>
      <c r="AY672" t="s">
        <v>1693</v>
      </c>
      <c r="AZ672" t="s">
        <v>1694</v>
      </c>
      <c r="BA672">
        <v>1.413E-2</v>
      </c>
      <c r="BB672">
        <v>1</v>
      </c>
      <c r="BC672" t="s">
        <v>69</v>
      </c>
      <c r="BD672">
        <v>-0.86399999999999999</v>
      </c>
      <c r="BE672">
        <v>-0.86399999999999999</v>
      </c>
    </row>
    <row r="673" spans="1:57">
      <c r="A673">
        <v>0</v>
      </c>
      <c r="B673">
        <v>0</v>
      </c>
      <c r="C673">
        <v>0</v>
      </c>
      <c r="D673">
        <v>1199</v>
      </c>
      <c r="E673" t="s">
        <v>1695</v>
      </c>
      <c r="F673" t="s">
        <v>5762</v>
      </c>
      <c r="G673" t="s">
        <v>57</v>
      </c>
      <c r="H673">
        <v>1237660</v>
      </c>
      <c r="I673">
        <v>1238457</v>
      </c>
      <c r="J673" t="s">
        <v>1696</v>
      </c>
      <c r="K673">
        <v>266</v>
      </c>
      <c r="L673" t="s">
        <v>83</v>
      </c>
      <c r="M673">
        <v>4</v>
      </c>
      <c r="N673" t="str">
        <f>HYPERLINK("Gene1199-zp_tree_all.dnd", "Gene1199-tree")</f>
        <v>Gene1199-tree</v>
      </c>
      <c r="O673">
        <v>3</v>
      </c>
      <c r="P673">
        <v>1</v>
      </c>
      <c r="Q673">
        <v>3</v>
      </c>
      <c r="R673">
        <v>1</v>
      </c>
      <c r="S673">
        <v>0.25</v>
      </c>
      <c r="T673" t="s">
        <v>84</v>
      </c>
      <c r="U673" t="s">
        <v>61</v>
      </c>
      <c r="V673" t="s">
        <v>62</v>
      </c>
      <c r="W673" t="s">
        <v>62</v>
      </c>
      <c r="X673">
        <v>0</v>
      </c>
      <c r="Y673">
        <v>0</v>
      </c>
      <c r="Z673">
        <v>1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1</v>
      </c>
      <c r="AK673">
        <v>0</v>
      </c>
      <c r="AL673">
        <v>4</v>
      </c>
      <c r="AM673">
        <v>0</v>
      </c>
      <c r="AN673">
        <v>44</v>
      </c>
      <c r="AO673">
        <v>1</v>
      </c>
      <c r="AP673">
        <v>0</v>
      </c>
      <c r="AQ673">
        <v>0</v>
      </c>
      <c r="AR673" t="s">
        <v>1697</v>
      </c>
      <c r="AS673" t="s">
        <v>64</v>
      </c>
      <c r="AT673">
        <v>0.41199999999999998</v>
      </c>
      <c r="AU673" t="s">
        <v>65</v>
      </c>
      <c r="AV673">
        <v>44</v>
      </c>
      <c r="AW673">
        <v>1</v>
      </c>
      <c r="AX673" t="s">
        <v>1698</v>
      </c>
      <c r="AY673" t="s">
        <v>1699</v>
      </c>
      <c r="AZ673" t="s">
        <v>1700</v>
      </c>
      <c r="BA673">
        <v>5.9500000000000004E-3</v>
      </c>
      <c r="BB673">
        <v>1</v>
      </c>
      <c r="BC673" t="s">
        <v>69</v>
      </c>
      <c r="BD673">
        <v>-0.86599999999999999</v>
      </c>
      <c r="BE673">
        <v>-0.86599999999999999</v>
      </c>
    </row>
    <row r="674" spans="1:57">
      <c r="A674">
        <v>0</v>
      </c>
      <c r="B674">
        <v>0</v>
      </c>
      <c r="C674">
        <v>0</v>
      </c>
      <c r="D674">
        <v>1223</v>
      </c>
      <c r="E674" t="s">
        <v>1703</v>
      </c>
      <c r="F674" t="s">
        <v>5762</v>
      </c>
      <c r="G674" t="s">
        <v>57</v>
      </c>
      <c r="H674">
        <v>1256109</v>
      </c>
      <c r="I674">
        <v>1256360</v>
      </c>
      <c r="J674" t="s">
        <v>1082</v>
      </c>
      <c r="K674">
        <v>84</v>
      </c>
      <c r="L674" t="s">
        <v>112</v>
      </c>
      <c r="M674">
        <v>4</v>
      </c>
      <c r="N674" t="str">
        <f>HYPERLINK("Gene1223-zp_tree_all.dnd", "Gene1223-tree")</f>
        <v>Gene1223-tree</v>
      </c>
      <c r="O674">
        <v>3</v>
      </c>
      <c r="P674">
        <v>1</v>
      </c>
      <c r="Q674">
        <v>3</v>
      </c>
      <c r="R674">
        <v>1</v>
      </c>
      <c r="S674">
        <v>0.25</v>
      </c>
      <c r="T674" t="s">
        <v>84</v>
      </c>
      <c r="U674" t="s">
        <v>61</v>
      </c>
      <c r="V674" t="s">
        <v>62</v>
      </c>
      <c r="W674" t="s">
        <v>62</v>
      </c>
      <c r="X674">
        <v>0</v>
      </c>
      <c r="Y674">
        <v>0</v>
      </c>
      <c r="Z674">
        <v>3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3</v>
      </c>
      <c r="AK674">
        <v>0</v>
      </c>
      <c r="AL674">
        <v>4</v>
      </c>
      <c r="AM674">
        <v>1</v>
      </c>
      <c r="AN674">
        <v>12</v>
      </c>
      <c r="AO674">
        <v>3</v>
      </c>
      <c r="AP674">
        <v>1</v>
      </c>
      <c r="AQ674">
        <v>0</v>
      </c>
      <c r="AR674" t="s">
        <v>1704</v>
      </c>
      <c r="AS674" t="s">
        <v>64</v>
      </c>
      <c r="AT674">
        <v>0.496</v>
      </c>
      <c r="AU674" t="s">
        <v>65</v>
      </c>
      <c r="AV674">
        <v>13</v>
      </c>
      <c r="AW674">
        <v>3</v>
      </c>
      <c r="AX674" t="s">
        <v>1705</v>
      </c>
      <c r="AY674" t="s">
        <v>1706</v>
      </c>
      <c r="AZ674" t="s">
        <v>1707</v>
      </c>
      <c r="BA674">
        <v>5.8560000000000001E-2</v>
      </c>
      <c r="BB674">
        <v>1</v>
      </c>
      <c r="BC674" t="s">
        <v>69</v>
      </c>
      <c r="BD674">
        <v>-0.22600000000000001</v>
      </c>
      <c r="BE674">
        <v>-0.84699999999999998</v>
      </c>
    </row>
    <row r="675" spans="1:57">
      <c r="A675">
        <v>0</v>
      </c>
      <c r="B675">
        <v>0</v>
      </c>
      <c r="C675">
        <v>0</v>
      </c>
      <c r="D675">
        <v>1272</v>
      </c>
      <c r="E675" t="s">
        <v>1731</v>
      </c>
      <c r="F675" t="s">
        <v>5762</v>
      </c>
      <c r="G675" t="s">
        <v>57</v>
      </c>
      <c r="H675">
        <v>1298612</v>
      </c>
      <c r="I675">
        <v>1299031</v>
      </c>
      <c r="J675" t="s">
        <v>170</v>
      </c>
      <c r="K675">
        <v>140</v>
      </c>
      <c r="L675" t="s">
        <v>59</v>
      </c>
      <c r="M675">
        <v>5</v>
      </c>
      <c r="N675" t="str">
        <f>HYPERLINK("Gene1272-zp_tree_all.dnd", "Gene1272-tree")</f>
        <v>Gene1272-tree</v>
      </c>
      <c r="O675">
        <v>4</v>
      </c>
      <c r="P675">
        <v>1</v>
      </c>
      <c r="Q675">
        <v>4</v>
      </c>
      <c r="R675">
        <v>1</v>
      </c>
      <c r="S675">
        <v>0.2</v>
      </c>
      <c r="T675" t="s">
        <v>60</v>
      </c>
      <c r="U675" t="s">
        <v>61</v>
      </c>
      <c r="V675" t="s">
        <v>62</v>
      </c>
      <c r="W675" t="s">
        <v>62</v>
      </c>
      <c r="X675">
        <v>0</v>
      </c>
      <c r="Y675">
        <v>0</v>
      </c>
      <c r="Z675">
        <v>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1</v>
      </c>
      <c r="AK675">
        <v>0</v>
      </c>
      <c r="AL675">
        <v>4</v>
      </c>
      <c r="AM675">
        <v>2</v>
      </c>
      <c r="AN675">
        <v>4</v>
      </c>
      <c r="AO675">
        <v>1</v>
      </c>
      <c r="AP675">
        <v>16</v>
      </c>
      <c r="AQ675">
        <v>1</v>
      </c>
      <c r="AR675" t="s">
        <v>1732</v>
      </c>
      <c r="AS675" t="s">
        <v>1733</v>
      </c>
      <c r="AT675">
        <v>0.50700000000000001</v>
      </c>
      <c r="AU675" t="s">
        <v>65</v>
      </c>
      <c r="AV675">
        <v>20</v>
      </c>
      <c r="AW675">
        <v>2</v>
      </c>
      <c r="AX675" t="s">
        <v>1734</v>
      </c>
      <c r="AY675" t="s">
        <v>1735</v>
      </c>
      <c r="AZ675" t="s">
        <v>1736</v>
      </c>
      <c r="BA675">
        <v>2.4039999999999999E-2</v>
      </c>
      <c r="BB675">
        <v>1</v>
      </c>
      <c r="BC675" t="s">
        <v>69</v>
      </c>
      <c r="BD675">
        <v>1.2629999999999999</v>
      </c>
      <c r="BE675">
        <v>1.2629999999999999</v>
      </c>
    </row>
    <row r="676" spans="1:57">
      <c r="A676">
        <v>0</v>
      </c>
      <c r="B676">
        <v>0</v>
      </c>
      <c r="C676">
        <v>0</v>
      </c>
      <c r="D676">
        <v>1273</v>
      </c>
      <c r="E676" t="s">
        <v>1737</v>
      </c>
      <c r="F676" t="s">
        <v>5762</v>
      </c>
      <c r="G676" t="s">
        <v>57</v>
      </c>
      <c r="H676">
        <v>1299074</v>
      </c>
      <c r="I676">
        <v>1300249</v>
      </c>
      <c r="J676" t="s">
        <v>1738</v>
      </c>
      <c r="K676">
        <v>392</v>
      </c>
      <c r="L676" t="s">
        <v>59</v>
      </c>
      <c r="M676">
        <v>5</v>
      </c>
      <c r="N676" t="str">
        <f>HYPERLINK("Gene1273-zp_tree_all.dnd", "Gene1273-tree")</f>
        <v>Gene1273-tree</v>
      </c>
      <c r="O676">
        <v>3</v>
      </c>
      <c r="P676">
        <v>2</v>
      </c>
      <c r="Q676">
        <v>3</v>
      </c>
      <c r="R676">
        <v>2</v>
      </c>
      <c r="S676">
        <v>0.4</v>
      </c>
      <c r="T676" t="s">
        <v>84</v>
      </c>
      <c r="U676" t="s">
        <v>135</v>
      </c>
      <c r="V676" t="s">
        <v>62</v>
      </c>
      <c r="W676" t="s">
        <v>62</v>
      </c>
      <c r="X676">
        <v>0</v>
      </c>
      <c r="Y676">
        <v>0</v>
      </c>
      <c r="Z676">
        <v>4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2</v>
      </c>
      <c r="AK676">
        <v>0</v>
      </c>
      <c r="AL676">
        <v>5</v>
      </c>
      <c r="AM676">
        <v>2</v>
      </c>
      <c r="AN676">
        <v>33</v>
      </c>
      <c r="AO676">
        <v>2</v>
      </c>
      <c r="AP676">
        <v>20</v>
      </c>
      <c r="AQ676">
        <v>2</v>
      </c>
      <c r="AR676" t="s">
        <v>1739</v>
      </c>
      <c r="AS676" t="s">
        <v>1740</v>
      </c>
      <c r="AT676">
        <v>0.38300000000000001</v>
      </c>
      <c r="AU676" t="s">
        <v>65</v>
      </c>
      <c r="AV676">
        <v>53</v>
      </c>
      <c r="AW676">
        <v>4</v>
      </c>
      <c r="AX676" t="s">
        <v>1741</v>
      </c>
      <c r="AY676" t="s">
        <v>1742</v>
      </c>
      <c r="AZ676" t="s">
        <v>1743</v>
      </c>
      <c r="BA676">
        <v>2.6530000000000001E-2</v>
      </c>
      <c r="BB676">
        <v>1</v>
      </c>
      <c r="BC676" t="s">
        <v>69</v>
      </c>
      <c r="BD676">
        <v>4.7E-2</v>
      </c>
      <c r="BE676">
        <v>4.7E-2</v>
      </c>
    </row>
    <row r="677" spans="1:57">
      <c r="A677">
        <v>0</v>
      </c>
      <c r="B677">
        <v>0</v>
      </c>
      <c r="C677">
        <v>0</v>
      </c>
      <c r="D677">
        <v>1275</v>
      </c>
      <c r="E677" t="s">
        <v>1744</v>
      </c>
      <c r="F677" t="s">
        <v>5762</v>
      </c>
      <c r="G677" t="s">
        <v>57</v>
      </c>
      <c r="H677">
        <v>1301939</v>
      </c>
      <c r="I677">
        <v>1303315</v>
      </c>
      <c r="J677" t="s">
        <v>1745</v>
      </c>
      <c r="K677">
        <v>459</v>
      </c>
      <c r="L677" t="s">
        <v>59</v>
      </c>
      <c r="M677">
        <v>5</v>
      </c>
      <c r="N677" t="str">
        <f>HYPERLINK("Gene1275-zp_tree_all.dnd", "Gene1275-tree")</f>
        <v>Gene1275-tree</v>
      </c>
      <c r="O677">
        <v>0</v>
      </c>
      <c r="P677">
        <v>5</v>
      </c>
      <c r="Q677">
        <v>0</v>
      </c>
      <c r="R677">
        <v>5</v>
      </c>
      <c r="S677">
        <v>1</v>
      </c>
      <c r="T677" t="s">
        <v>62</v>
      </c>
      <c r="U677" t="s">
        <v>98</v>
      </c>
      <c r="V677" t="s">
        <v>62</v>
      </c>
      <c r="W677" t="s">
        <v>62</v>
      </c>
      <c r="X677">
        <v>0</v>
      </c>
      <c r="Y677">
        <v>0</v>
      </c>
      <c r="Z677">
        <v>11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8</v>
      </c>
      <c r="AK677">
        <v>0</v>
      </c>
      <c r="AL677">
        <v>5</v>
      </c>
      <c r="AM677">
        <v>2</v>
      </c>
      <c r="AN677">
        <v>37</v>
      </c>
      <c r="AO677">
        <v>8</v>
      </c>
      <c r="AP677">
        <v>51</v>
      </c>
      <c r="AQ677">
        <v>3</v>
      </c>
      <c r="AR677" t="s">
        <v>1746</v>
      </c>
      <c r="AS677" t="s">
        <v>1747</v>
      </c>
      <c r="AT677">
        <v>3.04</v>
      </c>
      <c r="AU677" t="s">
        <v>286</v>
      </c>
      <c r="AV677">
        <v>88</v>
      </c>
      <c r="AW677">
        <v>11</v>
      </c>
      <c r="AX677" t="s">
        <v>1748</v>
      </c>
      <c r="AY677" t="s">
        <v>1749</v>
      </c>
      <c r="AZ677" t="s">
        <v>1750</v>
      </c>
      <c r="BA677">
        <v>3.3020000000000001E-2</v>
      </c>
      <c r="BB677">
        <v>1</v>
      </c>
      <c r="BC677" t="s">
        <v>69</v>
      </c>
      <c r="BD677">
        <v>0.63600000000000001</v>
      </c>
      <c r="BE677">
        <v>0.41799999999999998</v>
      </c>
    </row>
    <row r="678" spans="1:57">
      <c r="A678">
        <v>0</v>
      </c>
      <c r="B678">
        <v>0</v>
      </c>
      <c r="C678">
        <v>0</v>
      </c>
      <c r="D678">
        <v>1286</v>
      </c>
      <c r="E678" t="s">
        <v>1764</v>
      </c>
      <c r="F678" t="s">
        <v>5762</v>
      </c>
      <c r="G678" t="s">
        <v>57</v>
      </c>
      <c r="H678">
        <v>1314453</v>
      </c>
      <c r="I678">
        <v>1315721</v>
      </c>
      <c r="J678" t="s">
        <v>1765</v>
      </c>
      <c r="K678">
        <v>423</v>
      </c>
      <c r="L678" t="s">
        <v>59</v>
      </c>
      <c r="M678">
        <v>5</v>
      </c>
      <c r="N678" t="str">
        <f>HYPERLINK("Gene1286-zp_tree_all.dnd", "Gene1286-tree")</f>
        <v>Gene1286-tree</v>
      </c>
      <c r="O678">
        <v>0</v>
      </c>
      <c r="P678">
        <v>5</v>
      </c>
      <c r="Q678">
        <v>0</v>
      </c>
      <c r="R678">
        <v>5</v>
      </c>
      <c r="S678">
        <v>1</v>
      </c>
      <c r="T678" t="s">
        <v>62</v>
      </c>
      <c r="U678" t="s">
        <v>98</v>
      </c>
      <c r="V678" t="s">
        <v>62</v>
      </c>
      <c r="W678" t="s">
        <v>62</v>
      </c>
      <c r="X678">
        <v>0</v>
      </c>
      <c r="Y678">
        <v>0</v>
      </c>
      <c r="Z678">
        <v>13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10</v>
      </c>
      <c r="AK678">
        <v>0</v>
      </c>
      <c r="AL678">
        <v>3</v>
      </c>
      <c r="AM678">
        <v>2</v>
      </c>
      <c r="AN678">
        <v>26</v>
      </c>
      <c r="AO678">
        <v>9</v>
      </c>
      <c r="AP678">
        <v>19</v>
      </c>
      <c r="AQ678">
        <v>4</v>
      </c>
      <c r="AR678" t="s">
        <v>1766</v>
      </c>
      <c r="AS678" t="s">
        <v>1767</v>
      </c>
      <c r="AT678">
        <v>0.72399999999999998</v>
      </c>
      <c r="AU678" t="s">
        <v>65</v>
      </c>
      <c r="AV678">
        <v>45</v>
      </c>
      <c r="AW678">
        <v>13</v>
      </c>
      <c r="AX678" t="s">
        <v>1768</v>
      </c>
      <c r="AY678" t="s">
        <v>1769</v>
      </c>
      <c r="AZ678" t="s">
        <v>1770</v>
      </c>
      <c r="BA678">
        <v>7.3649999999999993E-2</v>
      </c>
      <c r="BB678">
        <v>1</v>
      </c>
      <c r="BC678" t="s">
        <v>69</v>
      </c>
      <c r="BD678">
        <v>-1.0999999999999999E-2</v>
      </c>
      <c r="BE678">
        <v>-1.0999999999999999E-2</v>
      </c>
    </row>
    <row r="679" spans="1:57">
      <c r="A679">
        <v>0</v>
      </c>
      <c r="B679">
        <v>0</v>
      </c>
      <c r="C679">
        <v>0</v>
      </c>
      <c r="D679">
        <v>1287</v>
      </c>
      <c r="E679" t="s">
        <v>1771</v>
      </c>
      <c r="F679" t="s">
        <v>5762</v>
      </c>
      <c r="G679" t="s">
        <v>57</v>
      </c>
      <c r="H679">
        <v>1315869</v>
      </c>
      <c r="I679">
        <v>1317002</v>
      </c>
      <c r="J679" t="s">
        <v>828</v>
      </c>
      <c r="K679">
        <v>378</v>
      </c>
      <c r="L679" t="s">
        <v>59</v>
      </c>
      <c r="M679">
        <v>5</v>
      </c>
      <c r="N679" t="str">
        <f>HYPERLINK("Gene1287-zp_tree_all.dnd", "Gene1287-tree")</f>
        <v>Gene1287-tree</v>
      </c>
      <c r="O679">
        <v>4</v>
      </c>
      <c r="P679">
        <v>1</v>
      </c>
      <c r="Q679">
        <v>4</v>
      </c>
      <c r="R679">
        <v>1</v>
      </c>
      <c r="S679">
        <v>0.2</v>
      </c>
      <c r="T679" t="s">
        <v>60</v>
      </c>
      <c r="U679" t="s">
        <v>61</v>
      </c>
      <c r="V679" t="s">
        <v>62</v>
      </c>
      <c r="W679" t="s">
        <v>62</v>
      </c>
      <c r="X679">
        <v>0</v>
      </c>
      <c r="Y679">
        <v>0</v>
      </c>
      <c r="Z679">
        <v>2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1</v>
      </c>
      <c r="AK679">
        <v>0</v>
      </c>
      <c r="AL679">
        <v>5</v>
      </c>
      <c r="AM679">
        <v>2</v>
      </c>
      <c r="AN679">
        <v>21</v>
      </c>
      <c r="AO679">
        <v>1</v>
      </c>
      <c r="AP679">
        <v>19</v>
      </c>
      <c r="AQ679">
        <v>1</v>
      </c>
      <c r="AR679" t="s">
        <v>1772</v>
      </c>
      <c r="AS679" t="s">
        <v>1773</v>
      </c>
      <c r="AT679">
        <v>3.5000000000000003E-2</v>
      </c>
      <c r="AU679" t="s">
        <v>65</v>
      </c>
      <c r="AV679">
        <v>40</v>
      </c>
      <c r="AW679">
        <v>2</v>
      </c>
      <c r="AX679" t="s">
        <v>1774</v>
      </c>
      <c r="AY679" t="s">
        <v>1775</v>
      </c>
      <c r="AZ679" t="s">
        <v>1776</v>
      </c>
      <c r="BA679">
        <v>1.274E-2</v>
      </c>
      <c r="BB679">
        <v>1</v>
      </c>
      <c r="BC679" t="s">
        <v>69</v>
      </c>
      <c r="BD679">
        <v>0.23899999999999999</v>
      </c>
      <c r="BE679">
        <v>0.23899999999999999</v>
      </c>
    </row>
    <row r="680" spans="1:57">
      <c r="A680">
        <v>0</v>
      </c>
      <c r="B680">
        <v>0</v>
      </c>
      <c r="C680">
        <v>2</v>
      </c>
      <c r="D680">
        <v>1306</v>
      </c>
      <c r="E680" t="s">
        <v>1780</v>
      </c>
      <c r="F680" t="s">
        <v>5762</v>
      </c>
      <c r="G680" t="s">
        <v>57</v>
      </c>
      <c r="H680">
        <v>1328702</v>
      </c>
      <c r="I680">
        <v>1329526</v>
      </c>
      <c r="J680" t="s">
        <v>1781</v>
      </c>
      <c r="K680">
        <v>275</v>
      </c>
      <c r="L680" t="s">
        <v>59</v>
      </c>
      <c r="M680">
        <v>5</v>
      </c>
      <c r="N680" t="str">
        <f>HYPERLINK("Gene1306-zp_tree_all.dnd", "Gene1306-tree")</f>
        <v>Gene1306-tree</v>
      </c>
      <c r="O680">
        <v>1</v>
      </c>
      <c r="P680">
        <v>4</v>
      </c>
      <c r="Q680">
        <v>1</v>
      </c>
      <c r="R680">
        <v>4</v>
      </c>
      <c r="S680">
        <v>0.8</v>
      </c>
      <c r="T680" t="s">
        <v>61</v>
      </c>
      <c r="U680" t="s">
        <v>60</v>
      </c>
      <c r="V680" t="s">
        <v>62</v>
      </c>
      <c r="W680" t="s">
        <v>62</v>
      </c>
      <c r="X680">
        <v>1</v>
      </c>
      <c r="Y680">
        <v>2</v>
      </c>
      <c r="Z680">
        <v>8</v>
      </c>
      <c r="AA680">
        <v>0.2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6</v>
      </c>
      <c r="AK680">
        <v>0</v>
      </c>
      <c r="AL680">
        <v>5</v>
      </c>
      <c r="AM680">
        <v>2</v>
      </c>
      <c r="AN680">
        <v>13</v>
      </c>
      <c r="AO680">
        <v>6</v>
      </c>
      <c r="AP680">
        <v>25</v>
      </c>
      <c r="AQ680">
        <v>4</v>
      </c>
      <c r="AR680" t="s">
        <v>1782</v>
      </c>
      <c r="AS680" t="s">
        <v>1783</v>
      </c>
      <c r="AT680">
        <v>1.1839999999999999</v>
      </c>
      <c r="AU680" t="s">
        <v>65</v>
      </c>
      <c r="AV680">
        <v>38</v>
      </c>
      <c r="AW680">
        <v>10</v>
      </c>
      <c r="AX680" t="s">
        <v>1784</v>
      </c>
      <c r="AY680" t="s">
        <v>1785</v>
      </c>
      <c r="AZ680" t="s">
        <v>1786</v>
      </c>
      <c r="BA680">
        <v>6.2979999999999994E-2</v>
      </c>
      <c r="BB680">
        <v>1</v>
      </c>
      <c r="BC680" t="s">
        <v>69</v>
      </c>
      <c r="BD680">
        <v>0.75800000000000001</v>
      </c>
      <c r="BE680">
        <v>0.58699999999999997</v>
      </c>
    </row>
    <row r="681" spans="1:57">
      <c r="A681">
        <v>0</v>
      </c>
      <c r="B681">
        <v>0</v>
      </c>
      <c r="C681">
        <v>0</v>
      </c>
      <c r="D681">
        <v>1307</v>
      </c>
      <c r="E681" t="s">
        <v>1787</v>
      </c>
      <c r="F681" t="s">
        <v>5762</v>
      </c>
      <c r="G681" t="s">
        <v>57</v>
      </c>
      <c r="H681">
        <v>1329555</v>
      </c>
      <c r="I681">
        <v>1330487</v>
      </c>
      <c r="J681" t="s">
        <v>1788</v>
      </c>
      <c r="K681">
        <v>311</v>
      </c>
      <c r="L681" t="s">
        <v>59</v>
      </c>
      <c r="M681">
        <v>5</v>
      </c>
      <c r="N681" t="str">
        <f>HYPERLINK("Gene1307-zp_tree_all.dnd", "Gene1307-tree")</f>
        <v>Gene1307-tree</v>
      </c>
      <c r="O681">
        <v>5</v>
      </c>
      <c r="P681">
        <v>0</v>
      </c>
      <c r="Q681">
        <v>5</v>
      </c>
      <c r="R681">
        <v>0</v>
      </c>
      <c r="S681">
        <v>0</v>
      </c>
      <c r="T681" t="s">
        <v>98</v>
      </c>
      <c r="U681" t="s">
        <v>62</v>
      </c>
      <c r="V681" t="s">
        <v>62</v>
      </c>
      <c r="W681" t="s">
        <v>62</v>
      </c>
      <c r="X681">
        <v>0</v>
      </c>
      <c r="Y681">
        <v>0</v>
      </c>
      <c r="Z681">
        <v>1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5</v>
      </c>
      <c r="AM681">
        <v>2</v>
      </c>
      <c r="AN681">
        <v>30</v>
      </c>
      <c r="AO681">
        <v>0</v>
      </c>
      <c r="AP681">
        <v>23</v>
      </c>
      <c r="AQ681">
        <v>1</v>
      </c>
      <c r="AR681" t="s">
        <v>64</v>
      </c>
      <c r="AS681" t="s">
        <v>1789</v>
      </c>
      <c r="AT681">
        <v>0.83299999999999996</v>
      </c>
      <c r="AU681" t="s">
        <v>65</v>
      </c>
      <c r="AV681">
        <v>53</v>
      </c>
      <c r="AW681">
        <v>1</v>
      </c>
      <c r="AX681" t="s">
        <v>1790</v>
      </c>
      <c r="AY681" t="s">
        <v>1791</v>
      </c>
      <c r="AZ681" t="s">
        <v>1792</v>
      </c>
      <c r="BA681">
        <v>6.4000000000000003E-3</v>
      </c>
      <c r="BB681">
        <v>1</v>
      </c>
      <c r="BC681" t="s">
        <v>69</v>
      </c>
      <c r="BD681">
        <v>0.28399999999999997</v>
      </c>
      <c r="BE681">
        <v>0.13300000000000001</v>
      </c>
    </row>
    <row r="682" spans="1:57">
      <c r="A682">
        <v>0</v>
      </c>
      <c r="B682">
        <v>0</v>
      </c>
      <c r="C682">
        <v>0</v>
      </c>
      <c r="D682">
        <v>1312</v>
      </c>
      <c r="E682" t="s">
        <v>1793</v>
      </c>
      <c r="F682" t="s">
        <v>5762</v>
      </c>
      <c r="G682" t="s">
        <v>57</v>
      </c>
      <c r="H682">
        <v>1332187</v>
      </c>
      <c r="I682">
        <v>1332402</v>
      </c>
      <c r="J682" t="s">
        <v>1781</v>
      </c>
      <c r="K682">
        <v>72</v>
      </c>
      <c r="L682" t="s">
        <v>112</v>
      </c>
      <c r="M682">
        <v>4</v>
      </c>
      <c r="N682" t="str">
        <f>HYPERLINK("Gene1312-zp_tree_all.dnd", "Gene1312-tree")</f>
        <v>Gene1312-tree</v>
      </c>
    </row>
    <row r="683" spans="1:57">
      <c r="A683">
        <v>0</v>
      </c>
      <c r="B683">
        <v>0</v>
      </c>
      <c r="C683">
        <v>0</v>
      </c>
      <c r="D683">
        <v>1339</v>
      </c>
      <c r="E683" t="s">
        <v>1798</v>
      </c>
      <c r="F683" t="s">
        <v>5762</v>
      </c>
      <c r="G683" t="s">
        <v>57</v>
      </c>
      <c r="H683">
        <v>1356447</v>
      </c>
      <c r="I683">
        <v>1357415</v>
      </c>
      <c r="J683" t="s">
        <v>1799</v>
      </c>
      <c r="K683">
        <v>323</v>
      </c>
      <c r="L683" t="s">
        <v>83</v>
      </c>
      <c r="M683">
        <v>4</v>
      </c>
      <c r="N683" t="str">
        <f>HYPERLINK("Gene1339-zp_tree_all.dnd", "Gene1339-tree")</f>
        <v>Gene1339-tree</v>
      </c>
      <c r="O683">
        <v>1</v>
      </c>
      <c r="P683">
        <v>3</v>
      </c>
      <c r="Q683">
        <v>1</v>
      </c>
      <c r="R683">
        <v>3</v>
      </c>
      <c r="S683">
        <v>0.75</v>
      </c>
      <c r="T683" t="s">
        <v>61</v>
      </c>
      <c r="U683" t="s">
        <v>84</v>
      </c>
      <c r="V683" t="s">
        <v>62</v>
      </c>
      <c r="W683" t="s">
        <v>62</v>
      </c>
      <c r="X683">
        <v>0</v>
      </c>
      <c r="Y683">
        <v>0</v>
      </c>
      <c r="Z683">
        <v>9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9</v>
      </c>
      <c r="AK683">
        <v>0</v>
      </c>
      <c r="AL683">
        <v>4</v>
      </c>
      <c r="AM683">
        <v>1</v>
      </c>
      <c r="AN683">
        <v>42</v>
      </c>
      <c r="AO683">
        <v>9</v>
      </c>
      <c r="AP683">
        <v>3</v>
      </c>
      <c r="AQ683">
        <v>0</v>
      </c>
      <c r="AR683" t="s">
        <v>1800</v>
      </c>
      <c r="AS683" t="s">
        <v>64</v>
      </c>
      <c r="AT683">
        <v>0.77600000000000002</v>
      </c>
      <c r="AU683" t="s">
        <v>65</v>
      </c>
      <c r="AV683">
        <v>45</v>
      </c>
      <c r="AW683">
        <v>9</v>
      </c>
      <c r="AX683" t="s">
        <v>1801</v>
      </c>
      <c r="AY683" t="s">
        <v>1802</v>
      </c>
      <c r="AZ683" t="s">
        <v>1803</v>
      </c>
      <c r="BA683">
        <v>5.0970000000000001E-2</v>
      </c>
      <c r="BB683">
        <v>1</v>
      </c>
      <c r="BC683" t="s">
        <v>69</v>
      </c>
      <c r="BD683">
        <v>-0.69099999999999995</v>
      </c>
      <c r="BE683">
        <v>-0.69099999999999995</v>
      </c>
    </row>
    <row r="684" spans="1:57">
      <c r="A684">
        <v>0</v>
      </c>
      <c r="B684">
        <v>0</v>
      </c>
      <c r="C684">
        <v>0</v>
      </c>
      <c r="D684">
        <v>1343</v>
      </c>
      <c r="E684" t="s">
        <v>1804</v>
      </c>
      <c r="F684" t="s">
        <v>5762</v>
      </c>
      <c r="G684" t="s">
        <v>57</v>
      </c>
      <c r="H684">
        <v>1361242</v>
      </c>
      <c r="I684">
        <v>1362165</v>
      </c>
      <c r="J684" t="s">
        <v>1805</v>
      </c>
      <c r="K684">
        <v>308</v>
      </c>
      <c r="L684" t="s">
        <v>59</v>
      </c>
      <c r="M684">
        <v>5</v>
      </c>
      <c r="N684" t="str">
        <f>HYPERLINK("Gene1343-zp_tree_all.dnd", "Gene1343-tree")</f>
        <v>Gene1343-tree</v>
      </c>
      <c r="O684">
        <v>3</v>
      </c>
      <c r="P684">
        <v>2</v>
      </c>
      <c r="Q684">
        <v>3</v>
      </c>
      <c r="R684">
        <v>2</v>
      </c>
      <c r="S684">
        <v>0.4</v>
      </c>
      <c r="T684" t="s">
        <v>84</v>
      </c>
      <c r="U684" t="s">
        <v>135</v>
      </c>
      <c r="V684" t="s">
        <v>62</v>
      </c>
      <c r="W684" t="s">
        <v>62</v>
      </c>
      <c r="X684">
        <v>0</v>
      </c>
      <c r="Y684">
        <v>0</v>
      </c>
      <c r="Z684">
        <v>6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3</v>
      </c>
      <c r="AK684">
        <v>0</v>
      </c>
      <c r="AL684">
        <v>5</v>
      </c>
      <c r="AM684">
        <v>2</v>
      </c>
      <c r="AN684">
        <v>29</v>
      </c>
      <c r="AO684">
        <v>3</v>
      </c>
      <c r="AP684">
        <v>21</v>
      </c>
      <c r="AQ684">
        <v>3</v>
      </c>
      <c r="AR684" t="s">
        <v>1806</v>
      </c>
      <c r="AS684" t="s">
        <v>1807</v>
      </c>
      <c r="AT684">
        <v>0.187</v>
      </c>
      <c r="AU684" t="s">
        <v>65</v>
      </c>
      <c r="AV684">
        <v>50</v>
      </c>
      <c r="AW684">
        <v>6</v>
      </c>
      <c r="AX684" t="s">
        <v>1808</v>
      </c>
      <c r="AY684" t="s">
        <v>1809</v>
      </c>
      <c r="AZ684" t="s">
        <v>1810</v>
      </c>
      <c r="BA684">
        <v>3.9030000000000002E-2</v>
      </c>
      <c r="BB684">
        <v>1</v>
      </c>
      <c r="BC684" t="s">
        <v>69</v>
      </c>
      <c r="BD684">
        <v>0.19600000000000001</v>
      </c>
      <c r="BE684">
        <v>4.7E-2</v>
      </c>
    </row>
    <row r="685" spans="1:57">
      <c r="A685">
        <v>0</v>
      </c>
      <c r="B685">
        <v>0</v>
      </c>
      <c r="C685">
        <v>0</v>
      </c>
      <c r="D685">
        <v>1353</v>
      </c>
      <c r="E685" t="s">
        <v>1811</v>
      </c>
      <c r="F685" t="s">
        <v>5762</v>
      </c>
      <c r="G685" t="s">
        <v>57</v>
      </c>
      <c r="H685">
        <v>1372035</v>
      </c>
      <c r="I685">
        <v>1372550</v>
      </c>
      <c r="J685" t="s">
        <v>1812</v>
      </c>
      <c r="K685">
        <v>172</v>
      </c>
      <c r="L685" t="s">
        <v>112</v>
      </c>
      <c r="M685">
        <v>4</v>
      </c>
      <c r="N685" t="str">
        <f>HYPERLINK("Gene1353-zp_tree_all.dnd", "Gene1353-tree")</f>
        <v>Gene1353-tree</v>
      </c>
      <c r="O685">
        <v>3</v>
      </c>
      <c r="P685">
        <v>1</v>
      </c>
      <c r="Q685">
        <v>3</v>
      </c>
      <c r="R685">
        <v>1</v>
      </c>
      <c r="S685">
        <v>0.25</v>
      </c>
      <c r="T685" t="s">
        <v>84</v>
      </c>
      <c r="U685" t="s">
        <v>61</v>
      </c>
      <c r="V685" t="s">
        <v>62</v>
      </c>
      <c r="W685" t="s">
        <v>62</v>
      </c>
      <c r="X685">
        <v>0</v>
      </c>
      <c r="Y685">
        <v>0</v>
      </c>
      <c r="Z685">
        <v>2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1</v>
      </c>
      <c r="AK685">
        <v>0</v>
      </c>
      <c r="AL685">
        <v>4</v>
      </c>
      <c r="AM685">
        <v>1</v>
      </c>
      <c r="AN685">
        <v>19</v>
      </c>
      <c r="AO685">
        <v>1</v>
      </c>
      <c r="AP685">
        <v>12</v>
      </c>
      <c r="AQ685">
        <v>1</v>
      </c>
      <c r="AR685" t="s">
        <v>1813</v>
      </c>
      <c r="AS685" t="s">
        <v>1814</v>
      </c>
      <c r="AT685">
        <v>0.30499999999999999</v>
      </c>
      <c r="AU685" t="s">
        <v>65</v>
      </c>
      <c r="AV685">
        <v>31</v>
      </c>
      <c r="AW685">
        <v>2</v>
      </c>
      <c r="AX685" t="s">
        <v>1815</v>
      </c>
      <c r="AY685" t="s">
        <v>1816</v>
      </c>
      <c r="AZ685" t="s">
        <v>1817</v>
      </c>
      <c r="BA685">
        <v>2.044E-2</v>
      </c>
      <c r="BB685">
        <v>1</v>
      </c>
      <c r="BC685" t="s">
        <v>69</v>
      </c>
      <c r="BD685">
        <v>1.5640000000000001</v>
      </c>
      <c r="BE685">
        <v>1.5640000000000001</v>
      </c>
    </row>
    <row r="686" spans="1:57">
      <c r="A686">
        <v>0</v>
      </c>
      <c r="B686">
        <v>0</v>
      </c>
      <c r="C686">
        <v>0</v>
      </c>
      <c r="D686">
        <v>1380</v>
      </c>
      <c r="E686" t="s">
        <v>1818</v>
      </c>
      <c r="F686" t="s">
        <v>5762</v>
      </c>
      <c r="G686" t="s">
        <v>57</v>
      </c>
      <c r="H686">
        <v>1395371</v>
      </c>
      <c r="I686">
        <v>1395505</v>
      </c>
      <c r="J686" t="s">
        <v>170</v>
      </c>
      <c r="K686">
        <v>45</v>
      </c>
      <c r="L686" t="s">
        <v>59</v>
      </c>
      <c r="M686">
        <v>5</v>
      </c>
      <c r="N686" t="str">
        <f>HYPERLINK("Gene1380-zp_tree_all.dnd", "Gene1380-tree")</f>
        <v>Gene1380-tree</v>
      </c>
    </row>
    <row r="687" spans="1:57">
      <c r="A687">
        <v>0</v>
      </c>
      <c r="B687">
        <v>0</v>
      </c>
      <c r="C687">
        <v>0</v>
      </c>
      <c r="D687">
        <v>1383</v>
      </c>
      <c r="E687" t="s">
        <v>1826</v>
      </c>
      <c r="F687" t="s">
        <v>5762</v>
      </c>
      <c r="G687" t="s">
        <v>57</v>
      </c>
      <c r="H687">
        <v>1397938</v>
      </c>
      <c r="I687">
        <v>1398090</v>
      </c>
      <c r="J687" t="s">
        <v>118</v>
      </c>
      <c r="K687">
        <v>51</v>
      </c>
      <c r="L687" t="s">
        <v>59</v>
      </c>
      <c r="M687">
        <v>5</v>
      </c>
      <c r="N687" t="str">
        <f>HYPERLINK("Gene1383-zp_tree_all.dnd", "Gene1383-tree")</f>
        <v>Gene1383-tree</v>
      </c>
      <c r="O687">
        <v>5</v>
      </c>
      <c r="P687">
        <v>0</v>
      </c>
      <c r="Q687">
        <v>5</v>
      </c>
      <c r="R687">
        <v>0</v>
      </c>
      <c r="S687">
        <v>0</v>
      </c>
      <c r="T687" t="s">
        <v>98</v>
      </c>
      <c r="U687" t="s">
        <v>62</v>
      </c>
      <c r="V687" t="s">
        <v>62</v>
      </c>
      <c r="W687" t="s">
        <v>62</v>
      </c>
      <c r="X687">
        <v>0</v>
      </c>
      <c r="Y687">
        <v>0</v>
      </c>
      <c r="Z687">
        <v>2</v>
      </c>
      <c r="AA687">
        <v>0</v>
      </c>
      <c r="AB687">
        <v>0</v>
      </c>
      <c r="AC687">
        <v>0</v>
      </c>
      <c r="AD687">
        <v>0</v>
      </c>
      <c r="AE687">
        <v>2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3</v>
      </c>
      <c r="AM687">
        <v>1</v>
      </c>
      <c r="AN687">
        <v>5</v>
      </c>
      <c r="AO687">
        <v>0</v>
      </c>
      <c r="AP687">
        <v>2</v>
      </c>
      <c r="AQ687">
        <v>2</v>
      </c>
      <c r="AR687" t="s">
        <v>64</v>
      </c>
      <c r="AS687" t="s">
        <v>1827</v>
      </c>
      <c r="AT687">
        <v>0</v>
      </c>
      <c r="AU687" t="s">
        <v>65</v>
      </c>
      <c r="AV687">
        <v>7</v>
      </c>
      <c r="AW687">
        <v>2</v>
      </c>
      <c r="AX687" t="s">
        <v>1828</v>
      </c>
      <c r="AY687" t="s">
        <v>1829</v>
      </c>
      <c r="AZ687" t="s">
        <v>1830</v>
      </c>
      <c r="BA687">
        <v>9.7970000000000002E-2</v>
      </c>
      <c r="BB687">
        <v>1</v>
      </c>
      <c r="BC687" t="s">
        <v>69</v>
      </c>
      <c r="BD687">
        <v>0.66100000000000003</v>
      </c>
      <c r="BE687">
        <v>-7.2999999999999995E-2</v>
      </c>
    </row>
    <row r="688" spans="1:57">
      <c r="A688">
        <v>0</v>
      </c>
      <c r="B688">
        <v>0</v>
      </c>
      <c r="C688">
        <v>2</v>
      </c>
      <c r="D688">
        <v>1385</v>
      </c>
      <c r="E688" t="s">
        <v>1831</v>
      </c>
      <c r="F688" t="s">
        <v>5762</v>
      </c>
      <c r="G688" t="s">
        <v>57</v>
      </c>
      <c r="H688">
        <v>1398496</v>
      </c>
      <c r="I688">
        <v>1398957</v>
      </c>
      <c r="J688" t="s">
        <v>1014</v>
      </c>
      <c r="K688">
        <v>154</v>
      </c>
      <c r="L688" t="s">
        <v>59</v>
      </c>
      <c r="M688">
        <v>5</v>
      </c>
      <c r="N688" t="str">
        <f>HYPERLINK("Gene1385-zp_tree_all.dnd", "Gene1385-tree")</f>
        <v>Gene1385-tree</v>
      </c>
      <c r="O688">
        <v>3</v>
      </c>
      <c r="P688">
        <v>2</v>
      </c>
      <c r="Q688">
        <v>3</v>
      </c>
      <c r="R688">
        <v>2</v>
      </c>
      <c r="S688">
        <v>0.4</v>
      </c>
      <c r="T688" t="s">
        <v>84</v>
      </c>
      <c r="U688" t="s">
        <v>135</v>
      </c>
      <c r="V688" t="s">
        <v>62</v>
      </c>
      <c r="W688" t="s">
        <v>62</v>
      </c>
      <c r="X688">
        <v>1</v>
      </c>
      <c r="Y688">
        <v>2</v>
      </c>
      <c r="Z688">
        <v>0</v>
      </c>
      <c r="AA688">
        <v>1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2</v>
      </c>
      <c r="AI688">
        <v>2</v>
      </c>
      <c r="AJ688">
        <v>0</v>
      </c>
      <c r="AK688">
        <v>1</v>
      </c>
      <c r="AL688">
        <v>4</v>
      </c>
      <c r="AM688">
        <v>1</v>
      </c>
      <c r="AN688">
        <v>11</v>
      </c>
      <c r="AO688">
        <v>2</v>
      </c>
      <c r="AP688">
        <v>13</v>
      </c>
      <c r="AQ688">
        <v>0</v>
      </c>
      <c r="AR688" t="s">
        <v>1832</v>
      </c>
      <c r="AS688" t="s">
        <v>64</v>
      </c>
      <c r="AT688">
        <v>1.827</v>
      </c>
      <c r="AU688" t="s">
        <v>65</v>
      </c>
      <c r="AV688">
        <v>24</v>
      </c>
      <c r="AW688">
        <v>2</v>
      </c>
      <c r="AX688" t="s">
        <v>1833</v>
      </c>
      <c r="AY688" t="s">
        <v>1834</v>
      </c>
      <c r="AZ688" t="s">
        <v>1835</v>
      </c>
      <c r="BA688">
        <v>1.7139999999999999E-2</v>
      </c>
      <c r="BB688">
        <v>1</v>
      </c>
      <c r="BC688" t="s">
        <v>69</v>
      </c>
      <c r="BD688">
        <v>0.31</v>
      </c>
      <c r="BE688">
        <v>0.31</v>
      </c>
    </row>
    <row r="689" spans="1:57">
      <c r="A689">
        <v>0</v>
      </c>
      <c r="B689">
        <v>0</v>
      </c>
      <c r="C689">
        <v>2</v>
      </c>
      <c r="D689">
        <v>1396</v>
      </c>
      <c r="E689" t="s">
        <v>1836</v>
      </c>
      <c r="F689" t="s">
        <v>5762</v>
      </c>
      <c r="G689" t="s">
        <v>57</v>
      </c>
      <c r="H689">
        <v>1411892</v>
      </c>
      <c r="I689">
        <v>1412644</v>
      </c>
      <c r="J689" t="s">
        <v>1837</v>
      </c>
      <c r="K689">
        <v>251</v>
      </c>
      <c r="L689" t="s">
        <v>59</v>
      </c>
      <c r="M689">
        <v>5</v>
      </c>
      <c r="N689" t="str">
        <f>HYPERLINK("Gene1396-zp_tree_all.dnd", "Gene1396-tree")</f>
        <v>Gene1396-tree</v>
      </c>
      <c r="O689">
        <v>4</v>
      </c>
      <c r="P689">
        <v>1</v>
      </c>
      <c r="Q689">
        <v>4</v>
      </c>
      <c r="R689">
        <v>1</v>
      </c>
      <c r="S689">
        <v>0.2</v>
      </c>
      <c r="T689" t="s">
        <v>60</v>
      </c>
      <c r="U689" t="s">
        <v>61</v>
      </c>
      <c r="V689" t="s">
        <v>62</v>
      </c>
      <c r="W689" t="s">
        <v>62</v>
      </c>
      <c r="X689">
        <v>1</v>
      </c>
      <c r="Y689">
        <v>2</v>
      </c>
      <c r="Z689">
        <v>2</v>
      </c>
      <c r="AA689">
        <v>0.5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2</v>
      </c>
      <c r="AK689">
        <v>0</v>
      </c>
      <c r="AL689">
        <v>4</v>
      </c>
      <c r="AM689">
        <v>1</v>
      </c>
      <c r="AN689">
        <v>8</v>
      </c>
      <c r="AO689">
        <v>2</v>
      </c>
      <c r="AP689">
        <v>21</v>
      </c>
      <c r="AQ689">
        <v>2</v>
      </c>
      <c r="AR689" t="s">
        <v>1838</v>
      </c>
      <c r="AS689" t="s">
        <v>1839</v>
      </c>
      <c r="AT689">
        <v>0.41499999999999998</v>
      </c>
      <c r="AU689" t="s">
        <v>65</v>
      </c>
      <c r="AV689">
        <v>29</v>
      </c>
      <c r="AW689">
        <v>4</v>
      </c>
      <c r="AX689" t="s">
        <v>1840</v>
      </c>
      <c r="AY689" t="s">
        <v>1841</v>
      </c>
      <c r="AZ689" t="s">
        <v>1842</v>
      </c>
      <c r="BA689">
        <v>2.741E-2</v>
      </c>
      <c r="BB689">
        <v>1</v>
      </c>
      <c r="BC689" t="s">
        <v>69</v>
      </c>
      <c r="BD689">
        <v>1.167</v>
      </c>
      <c r="BE689">
        <v>0.66400000000000003</v>
      </c>
    </row>
    <row r="690" spans="1:57">
      <c r="A690">
        <v>0</v>
      </c>
      <c r="B690">
        <v>0</v>
      </c>
      <c r="C690">
        <v>0</v>
      </c>
      <c r="D690">
        <v>1416</v>
      </c>
      <c r="E690" t="s">
        <v>1853</v>
      </c>
      <c r="F690" t="s">
        <v>5762</v>
      </c>
      <c r="G690" t="s">
        <v>57</v>
      </c>
      <c r="H690">
        <v>1430684</v>
      </c>
      <c r="I690">
        <v>1430938</v>
      </c>
      <c r="J690" t="s">
        <v>1854</v>
      </c>
      <c r="K690">
        <v>85</v>
      </c>
      <c r="L690" t="s">
        <v>59</v>
      </c>
      <c r="M690">
        <v>5</v>
      </c>
      <c r="N690" t="str">
        <f>HYPERLINK("Gene1416-zp_tree_all.dnd", "Gene1416-tree")</f>
        <v>Gene1416-tree</v>
      </c>
      <c r="O690">
        <v>4</v>
      </c>
      <c r="P690">
        <v>0</v>
      </c>
      <c r="Q690">
        <v>4</v>
      </c>
      <c r="R690">
        <v>0</v>
      </c>
      <c r="S690">
        <v>0</v>
      </c>
      <c r="T690" t="s">
        <v>60</v>
      </c>
      <c r="U690" t="s">
        <v>62</v>
      </c>
      <c r="V690" t="s">
        <v>62</v>
      </c>
      <c r="W690" t="s">
        <v>62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2</v>
      </c>
      <c r="AM690">
        <v>1</v>
      </c>
      <c r="AN690">
        <v>2</v>
      </c>
      <c r="AO690">
        <v>0</v>
      </c>
      <c r="AP690">
        <v>3</v>
      </c>
      <c r="AQ690">
        <v>0</v>
      </c>
      <c r="AR690" t="s">
        <v>64</v>
      </c>
      <c r="AS690" t="s">
        <v>64</v>
      </c>
      <c r="AT690">
        <v>0</v>
      </c>
      <c r="AU690" t="s">
        <v>65</v>
      </c>
      <c r="AV690">
        <v>5</v>
      </c>
      <c r="AW690">
        <v>0</v>
      </c>
      <c r="AX690" t="s">
        <v>1855</v>
      </c>
      <c r="AY690" t="s">
        <v>1856</v>
      </c>
      <c r="AZ690" t="s">
        <v>64</v>
      </c>
      <c r="BA690">
        <v>0</v>
      </c>
      <c r="BB690">
        <v>1</v>
      </c>
      <c r="BC690" t="s">
        <v>69</v>
      </c>
      <c r="BD690">
        <v>0.56200000000000006</v>
      </c>
      <c r="BE690">
        <v>0.56200000000000006</v>
      </c>
    </row>
    <row r="691" spans="1:57">
      <c r="A691">
        <v>0</v>
      </c>
      <c r="B691">
        <v>0</v>
      </c>
      <c r="C691">
        <v>0</v>
      </c>
      <c r="D691">
        <v>1419</v>
      </c>
      <c r="E691" t="s">
        <v>1863</v>
      </c>
      <c r="F691" t="s">
        <v>5762</v>
      </c>
      <c r="G691" t="s">
        <v>57</v>
      </c>
      <c r="H691">
        <v>1433199</v>
      </c>
      <c r="I691">
        <v>1433633</v>
      </c>
      <c r="J691" t="s">
        <v>1864</v>
      </c>
      <c r="K691">
        <v>145</v>
      </c>
      <c r="L691" t="s">
        <v>59</v>
      </c>
      <c r="M691">
        <v>5</v>
      </c>
      <c r="N691" t="str">
        <f>HYPERLINK("Gene1419-zp_tree_all.dnd", "Gene1419-tree")</f>
        <v>Gene1419-tree</v>
      </c>
      <c r="O691">
        <v>4</v>
      </c>
      <c r="P691">
        <v>1</v>
      </c>
      <c r="Q691">
        <v>4</v>
      </c>
      <c r="R691">
        <v>1</v>
      </c>
      <c r="S691">
        <v>0.2</v>
      </c>
      <c r="T691" t="s">
        <v>60</v>
      </c>
      <c r="U691" t="s">
        <v>61</v>
      </c>
      <c r="V691" t="s">
        <v>62</v>
      </c>
      <c r="W691" t="s">
        <v>62</v>
      </c>
      <c r="X691">
        <v>0</v>
      </c>
      <c r="Y691">
        <v>0</v>
      </c>
      <c r="Z691">
        <v>2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2</v>
      </c>
      <c r="AK691">
        <v>0</v>
      </c>
      <c r="AL691">
        <v>4</v>
      </c>
      <c r="AM691">
        <v>2</v>
      </c>
      <c r="AN691">
        <v>8</v>
      </c>
      <c r="AO691">
        <v>2</v>
      </c>
      <c r="AP691">
        <v>9</v>
      </c>
      <c r="AQ691">
        <v>0</v>
      </c>
      <c r="AR691" t="s">
        <v>1865</v>
      </c>
      <c r="AS691" t="s">
        <v>64</v>
      </c>
      <c r="AT691">
        <v>0.63900000000000001</v>
      </c>
      <c r="AU691" t="s">
        <v>65</v>
      </c>
      <c r="AV691">
        <v>17</v>
      </c>
      <c r="AW691">
        <v>2</v>
      </c>
      <c r="AX691" t="s">
        <v>1866</v>
      </c>
      <c r="AY691" t="s">
        <v>1867</v>
      </c>
      <c r="AZ691" t="s">
        <v>1868</v>
      </c>
      <c r="BA691">
        <v>2.333E-2</v>
      </c>
      <c r="BB691">
        <v>1</v>
      </c>
      <c r="BC691" t="s">
        <v>69</v>
      </c>
      <c r="BD691">
        <v>0.22700000000000001</v>
      </c>
      <c r="BE691">
        <v>0.22700000000000001</v>
      </c>
    </row>
    <row r="692" spans="1:57">
      <c r="A692">
        <v>0</v>
      </c>
      <c r="B692">
        <v>0</v>
      </c>
      <c r="C692">
        <v>2</v>
      </c>
      <c r="D692">
        <v>1425</v>
      </c>
      <c r="E692" t="s">
        <v>1882</v>
      </c>
      <c r="F692" t="s">
        <v>5762</v>
      </c>
      <c r="G692" t="s">
        <v>57</v>
      </c>
      <c r="H692">
        <v>1440100</v>
      </c>
      <c r="I692">
        <v>1440546</v>
      </c>
      <c r="J692" t="s">
        <v>1883</v>
      </c>
      <c r="K692">
        <v>149</v>
      </c>
      <c r="L692" t="s">
        <v>59</v>
      </c>
      <c r="M692">
        <v>5</v>
      </c>
      <c r="N692" t="str">
        <f>HYPERLINK("Gene1425-zp_tree_all.dnd", "Gene1425-tree")</f>
        <v>Gene1425-tree</v>
      </c>
      <c r="O692">
        <v>3</v>
      </c>
      <c r="P692">
        <v>2</v>
      </c>
      <c r="Q692">
        <v>3</v>
      </c>
      <c r="R692">
        <v>2</v>
      </c>
      <c r="S692">
        <v>0.4</v>
      </c>
      <c r="T692" t="s">
        <v>84</v>
      </c>
      <c r="U692" t="s">
        <v>135</v>
      </c>
      <c r="V692" t="s">
        <v>62</v>
      </c>
      <c r="W692" t="s">
        <v>62</v>
      </c>
      <c r="X692">
        <v>1</v>
      </c>
      <c r="Y692">
        <v>2</v>
      </c>
      <c r="Z692">
        <v>1</v>
      </c>
      <c r="AA692">
        <v>0.66666999999999998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2</v>
      </c>
      <c r="AK692">
        <v>0</v>
      </c>
      <c r="AL692">
        <v>5</v>
      </c>
      <c r="AM692">
        <v>2</v>
      </c>
      <c r="AN692">
        <v>12</v>
      </c>
      <c r="AO692">
        <v>2</v>
      </c>
      <c r="AP692">
        <v>11</v>
      </c>
      <c r="AQ692">
        <v>1</v>
      </c>
      <c r="AR692" t="s">
        <v>1884</v>
      </c>
      <c r="AS692" t="s">
        <v>1885</v>
      </c>
      <c r="AT692">
        <v>0.46400000000000002</v>
      </c>
      <c r="AU692" t="s">
        <v>65</v>
      </c>
      <c r="AV692">
        <v>23</v>
      </c>
      <c r="AW692">
        <v>3</v>
      </c>
      <c r="AX692" t="s">
        <v>1886</v>
      </c>
      <c r="AY692" t="s">
        <v>1887</v>
      </c>
      <c r="AZ692" t="s">
        <v>1888</v>
      </c>
      <c r="BA692">
        <v>2.631E-2</v>
      </c>
      <c r="BB692">
        <v>1</v>
      </c>
      <c r="BC692" t="s">
        <v>69</v>
      </c>
      <c r="BD692">
        <v>0.31</v>
      </c>
      <c r="BE692">
        <v>0</v>
      </c>
    </row>
    <row r="693" spans="1:57">
      <c r="A693">
        <v>0</v>
      </c>
      <c r="B693">
        <v>0</v>
      </c>
      <c r="C693">
        <v>4</v>
      </c>
      <c r="D693">
        <v>1430</v>
      </c>
      <c r="E693" t="s">
        <v>1889</v>
      </c>
      <c r="F693" t="s">
        <v>5762</v>
      </c>
      <c r="G693" t="s">
        <v>57</v>
      </c>
      <c r="H693">
        <v>1444099</v>
      </c>
      <c r="I693">
        <v>1445295</v>
      </c>
      <c r="J693" t="s">
        <v>1890</v>
      </c>
      <c r="K693">
        <v>399</v>
      </c>
      <c r="L693" t="s">
        <v>83</v>
      </c>
      <c r="M693">
        <v>4</v>
      </c>
      <c r="N693" t="str">
        <f>HYPERLINK("Gene1430-zp_tree_all.dnd", "Gene1430-tree")</f>
        <v>Gene1430-tree</v>
      </c>
      <c r="O693">
        <v>0</v>
      </c>
      <c r="P693">
        <v>4</v>
      </c>
      <c r="Q693">
        <v>0</v>
      </c>
      <c r="R693">
        <v>4</v>
      </c>
      <c r="S693">
        <v>1</v>
      </c>
      <c r="T693" t="s">
        <v>62</v>
      </c>
      <c r="U693" t="s">
        <v>60</v>
      </c>
      <c r="V693" t="s">
        <v>62</v>
      </c>
      <c r="W693" t="s">
        <v>62</v>
      </c>
      <c r="X693">
        <v>2</v>
      </c>
      <c r="Y693">
        <v>4</v>
      </c>
      <c r="Z693">
        <v>25</v>
      </c>
      <c r="AA693">
        <v>0.13793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4</v>
      </c>
      <c r="AI693">
        <v>4</v>
      </c>
      <c r="AJ693">
        <v>24</v>
      </c>
      <c r="AK693">
        <v>0.14285999999999999</v>
      </c>
      <c r="AL693">
        <v>4</v>
      </c>
      <c r="AM693">
        <v>1</v>
      </c>
      <c r="AN693">
        <v>38</v>
      </c>
      <c r="AO693">
        <v>29</v>
      </c>
      <c r="AP693">
        <v>1</v>
      </c>
      <c r="AQ693">
        <v>1</v>
      </c>
      <c r="AR693" t="s">
        <v>1891</v>
      </c>
      <c r="AS693" t="s">
        <v>1892</v>
      </c>
      <c r="AT693">
        <v>0.36</v>
      </c>
      <c r="AU693" t="s">
        <v>65</v>
      </c>
      <c r="AV693">
        <v>39</v>
      </c>
      <c r="AW693">
        <v>30</v>
      </c>
      <c r="AX693" t="s">
        <v>1893</v>
      </c>
      <c r="AY693" t="s">
        <v>1894</v>
      </c>
      <c r="AZ693" t="s">
        <v>1895</v>
      </c>
      <c r="BA693">
        <v>0.21038000000000001</v>
      </c>
      <c r="BB693">
        <v>1</v>
      </c>
      <c r="BC693" t="s">
        <v>69</v>
      </c>
      <c r="BD693">
        <v>-0.628</v>
      </c>
      <c r="BE693">
        <v>-0.77300000000000002</v>
      </c>
    </row>
    <row r="694" spans="1:57">
      <c r="A694">
        <v>0</v>
      </c>
      <c r="B694">
        <v>0</v>
      </c>
      <c r="C694">
        <v>0</v>
      </c>
      <c r="D694">
        <v>1436</v>
      </c>
      <c r="E694" t="s">
        <v>1898</v>
      </c>
      <c r="F694" t="s">
        <v>5762</v>
      </c>
      <c r="G694" t="s">
        <v>57</v>
      </c>
      <c r="H694">
        <v>1448013</v>
      </c>
      <c r="I694">
        <v>1448204</v>
      </c>
      <c r="J694" t="s">
        <v>1899</v>
      </c>
      <c r="K694">
        <v>64</v>
      </c>
      <c r="L694" t="s">
        <v>59</v>
      </c>
      <c r="M694">
        <v>5</v>
      </c>
      <c r="N694" t="str">
        <f>HYPERLINK("Gene1436-zp_tree_all.dnd", "Gene1436-tree")</f>
        <v>Gene1436-tree</v>
      </c>
    </row>
    <row r="695" spans="1:57">
      <c r="A695">
        <v>0</v>
      </c>
      <c r="B695">
        <v>0</v>
      </c>
      <c r="C695">
        <v>0</v>
      </c>
      <c r="D695">
        <v>1443</v>
      </c>
      <c r="E695" t="s">
        <v>1900</v>
      </c>
      <c r="F695" t="s">
        <v>5762</v>
      </c>
      <c r="G695" t="s">
        <v>57</v>
      </c>
      <c r="H695">
        <v>1456092</v>
      </c>
      <c r="I695">
        <v>1456955</v>
      </c>
      <c r="J695" t="s">
        <v>1901</v>
      </c>
      <c r="K695">
        <v>288</v>
      </c>
      <c r="L695" t="s">
        <v>59</v>
      </c>
      <c r="M695">
        <v>5</v>
      </c>
      <c r="N695" t="str">
        <f>HYPERLINK("Gene1443-zp_tree_all.dnd", "Gene1443-tree")</f>
        <v>Gene1443-tree</v>
      </c>
      <c r="O695">
        <v>4</v>
      </c>
      <c r="P695">
        <v>1</v>
      </c>
      <c r="Q695">
        <v>4</v>
      </c>
      <c r="R695">
        <v>1</v>
      </c>
      <c r="S695">
        <v>0.2</v>
      </c>
      <c r="T695" t="s">
        <v>60</v>
      </c>
      <c r="U695" t="s">
        <v>61</v>
      </c>
      <c r="V695" t="s">
        <v>62</v>
      </c>
      <c r="W695" t="s">
        <v>62</v>
      </c>
      <c r="X695">
        <v>0</v>
      </c>
      <c r="Y695">
        <v>0</v>
      </c>
      <c r="Z695">
        <v>1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1</v>
      </c>
      <c r="AK695">
        <v>0</v>
      </c>
      <c r="AL695">
        <v>5</v>
      </c>
      <c r="AM695">
        <v>2</v>
      </c>
      <c r="AN695">
        <v>20</v>
      </c>
      <c r="AO695">
        <v>1</v>
      </c>
      <c r="AP695">
        <v>24</v>
      </c>
      <c r="AQ695">
        <v>0</v>
      </c>
      <c r="AR695" t="s">
        <v>1902</v>
      </c>
      <c r="AS695" t="s">
        <v>64</v>
      </c>
      <c r="AT695">
        <v>0.503</v>
      </c>
      <c r="AU695" t="s">
        <v>65</v>
      </c>
      <c r="AV695">
        <v>44</v>
      </c>
      <c r="AW695">
        <v>1</v>
      </c>
      <c r="AX695" t="s">
        <v>1903</v>
      </c>
      <c r="AY695" t="s">
        <v>1904</v>
      </c>
      <c r="AZ695" t="s">
        <v>1905</v>
      </c>
      <c r="BA695">
        <v>4.2599999999999999E-3</v>
      </c>
      <c r="BB695">
        <v>1</v>
      </c>
      <c r="BC695" t="s">
        <v>69</v>
      </c>
      <c r="BD695">
        <v>0.79900000000000004</v>
      </c>
      <c r="BE695">
        <v>0.46300000000000002</v>
      </c>
    </row>
    <row r="696" spans="1:57">
      <c r="A696">
        <v>0</v>
      </c>
      <c r="B696">
        <v>0</v>
      </c>
      <c r="C696">
        <v>0</v>
      </c>
      <c r="D696">
        <v>1444</v>
      </c>
      <c r="E696" t="s">
        <v>1906</v>
      </c>
      <c r="F696" t="s">
        <v>5762</v>
      </c>
      <c r="G696" t="s">
        <v>57</v>
      </c>
      <c r="H696">
        <v>1457187</v>
      </c>
      <c r="I696">
        <v>1459283</v>
      </c>
      <c r="J696" t="s">
        <v>1907</v>
      </c>
      <c r="K696">
        <v>699</v>
      </c>
      <c r="L696" t="s">
        <v>83</v>
      </c>
      <c r="M696">
        <v>4</v>
      </c>
      <c r="N696" t="str">
        <f>HYPERLINK("Gene1444-zp_tree_all.dnd", "Gene1444-tree")</f>
        <v>Gene1444-tree</v>
      </c>
      <c r="O696">
        <v>2</v>
      </c>
      <c r="P696">
        <v>2</v>
      </c>
      <c r="Q696">
        <v>2</v>
      </c>
      <c r="R696">
        <v>2</v>
      </c>
      <c r="S696">
        <v>0.5</v>
      </c>
      <c r="T696" t="s">
        <v>135</v>
      </c>
      <c r="U696" t="s">
        <v>135</v>
      </c>
      <c r="V696" t="s">
        <v>62</v>
      </c>
      <c r="W696" t="s">
        <v>62</v>
      </c>
      <c r="X696">
        <v>0</v>
      </c>
      <c r="Y696">
        <v>0</v>
      </c>
      <c r="Z696">
        <v>10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9</v>
      </c>
      <c r="AK696">
        <v>0</v>
      </c>
      <c r="AL696">
        <v>4</v>
      </c>
      <c r="AM696">
        <v>1</v>
      </c>
      <c r="AN696">
        <v>102</v>
      </c>
      <c r="AO696">
        <v>10</v>
      </c>
      <c r="AP696">
        <v>2</v>
      </c>
      <c r="AQ696">
        <v>1</v>
      </c>
      <c r="AR696" t="s">
        <v>1908</v>
      </c>
      <c r="AS696" t="s">
        <v>1909</v>
      </c>
      <c r="AT696">
        <v>2.2570000000000001</v>
      </c>
      <c r="AU696" t="s">
        <v>65</v>
      </c>
      <c r="AV696">
        <v>104</v>
      </c>
      <c r="AW696">
        <v>11</v>
      </c>
      <c r="AX696" t="s">
        <v>1910</v>
      </c>
      <c r="AY696" t="s">
        <v>1911</v>
      </c>
      <c r="AZ696" t="s">
        <v>1912</v>
      </c>
      <c r="BA696">
        <v>3.0589999999999999E-2</v>
      </c>
      <c r="BB696">
        <v>1</v>
      </c>
      <c r="BC696" t="s">
        <v>69</v>
      </c>
      <c r="BD696">
        <v>-0.76</v>
      </c>
      <c r="BE696">
        <v>-0.76</v>
      </c>
    </row>
    <row r="697" spans="1:57">
      <c r="A697">
        <v>0</v>
      </c>
      <c r="B697">
        <v>0</v>
      </c>
      <c r="C697">
        <v>0</v>
      </c>
      <c r="D697">
        <v>1445</v>
      </c>
      <c r="E697" t="s">
        <v>1913</v>
      </c>
      <c r="F697" t="s">
        <v>5762</v>
      </c>
      <c r="G697" t="s">
        <v>57</v>
      </c>
      <c r="H697">
        <v>1459384</v>
      </c>
      <c r="I697">
        <v>1459647</v>
      </c>
      <c r="J697" t="s">
        <v>1914</v>
      </c>
      <c r="K697">
        <v>88</v>
      </c>
      <c r="L697" t="s">
        <v>59</v>
      </c>
      <c r="M697">
        <v>5</v>
      </c>
      <c r="N697" t="str">
        <f>HYPERLINK("Gene1445-zp_tree_all.dnd", "Gene1445-tree")</f>
        <v>Gene1445-tree</v>
      </c>
    </row>
    <row r="698" spans="1:57">
      <c r="A698">
        <v>0</v>
      </c>
      <c r="B698">
        <v>0</v>
      </c>
      <c r="C698">
        <v>0</v>
      </c>
      <c r="D698">
        <v>1446</v>
      </c>
      <c r="E698" t="s">
        <v>1915</v>
      </c>
      <c r="F698" t="s">
        <v>5762</v>
      </c>
      <c r="G698" t="s">
        <v>57</v>
      </c>
      <c r="H698">
        <v>1459650</v>
      </c>
      <c r="I698">
        <v>1461359</v>
      </c>
      <c r="J698" t="s">
        <v>1916</v>
      </c>
      <c r="K698">
        <v>570</v>
      </c>
      <c r="L698" t="s">
        <v>59</v>
      </c>
      <c r="M698">
        <v>5</v>
      </c>
      <c r="N698" t="str">
        <f>HYPERLINK("Gene1446-zp_tree_all.dnd", "Gene1446-tree")</f>
        <v>Gene1446-tree</v>
      </c>
      <c r="O698">
        <v>3</v>
      </c>
      <c r="P698">
        <v>2</v>
      </c>
      <c r="Q698">
        <v>3</v>
      </c>
      <c r="R698">
        <v>2</v>
      </c>
      <c r="S698">
        <v>0.4</v>
      </c>
      <c r="T698" t="s">
        <v>84</v>
      </c>
      <c r="U698" t="s">
        <v>135</v>
      </c>
      <c r="V698" t="s">
        <v>62</v>
      </c>
      <c r="W698" t="s">
        <v>62</v>
      </c>
      <c r="X698">
        <v>0</v>
      </c>
      <c r="Y698">
        <v>0</v>
      </c>
      <c r="Z698">
        <v>2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2</v>
      </c>
      <c r="AK698">
        <v>0</v>
      </c>
      <c r="AL698">
        <v>5</v>
      </c>
      <c r="AM698">
        <v>2</v>
      </c>
      <c r="AN698">
        <v>37</v>
      </c>
      <c r="AO698">
        <v>2</v>
      </c>
      <c r="AP698">
        <v>30</v>
      </c>
      <c r="AQ698">
        <v>0</v>
      </c>
      <c r="AR698" t="s">
        <v>1917</v>
      </c>
      <c r="AS698" t="s">
        <v>64</v>
      </c>
      <c r="AT698">
        <v>1.27</v>
      </c>
      <c r="AU698" t="s">
        <v>65</v>
      </c>
      <c r="AV698">
        <v>67</v>
      </c>
      <c r="AW698">
        <v>2</v>
      </c>
      <c r="AX698" t="s">
        <v>1918</v>
      </c>
      <c r="AY698" t="s">
        <v>1919</v>
      </c>
      <c r="AZ698" t="s">
        <v>1920</v>
      </c>
      <c r="BA698">
        <v>7.1300000000000001E-3</v>
      </c>
      <c r="BB698">
        <v>1</v>
      </c>
      <c r="BC698" t="s">
        <v>69</v>
      </c>
      <c r="BD698">
        <v>0.29099999999999998</v>
      </c>
      <c r="BE698">
        <v>6.9000000000000006E-2</v>
      </c>
    </row>
    <row r="699" spans="1:57">
      <c r="A699">
        <v>0</v>
      </c>
      <c r="B699">
        <v>2</v>
      </c>
      <c r="C699">
        <v>0</v>
      </c>
      <c r="D699">
        <v>1454</v>
      </c>
      <c r="E699" t="s">
        <v>1921</v>
      </c>
      <c r="F699" t="s">
        <v>5762</v>
      </c>
      <c r="G699" t="s">
        <v>57</v>
      </c>
      <c r="H699">
        <v>1470026</v>
      </c>
      <c r="I699">
        <v>1471843</v>
      </c>
      <c r="J699" t="s">
        <v>1922</v>
      </c>
      <c r="K699">
        <v>606</v>
      </c>
      <c r="L699" t="s">
        <v>59</v>
      </c>
      <c r="M699">
        <v>5</v>
      </c>
      <c r="N699" t="str">
        <f>HYPERLINK("Gene1454-zp_tree_all.dnd", "Gene1454-tree")</f>
        <v>Gene1454-tree</v>
      </c>
      <c r="O699">
        <v>1</v>
      </c>
      <c r="P699">
        <v>4</v>
      </c>
      <c r="Q699">
        <v>1</v>
      </c>
      <c r="R699">
        <v>4</v>
      </c>
      <c r="S699">
        <v>0.8</v>
      </c>
      <c r="T699" t="s">
        <v>61</v>
      </c>
      <c r="U699" t="s">
        <v>60</v>
      </c>
      <c r="V699" t="s">
        <v>62</v>
      </c>
      <c r="W699" t="s">
        <v>62</v>
      </c>
      <c r="X699">
        <v>1</v>
      </c>
      <c r="Y699">
        <v>2</v>
      </c>
      <c r="Z699">
        <v>11</v>
      </c>
      <c r="AA699">
        <v>0.15384999999999999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7</v>
      </c>
      <c r="AK699">
        <v>0</v>
      </c>
      <c r="AL699">
        <v>5</v>
      </c>
      <c r="AM699">
        <v>2</v>
      </c>
      <c r="AN699">
        <v>40</v>
      </c>
      <c r="AO699">
        <v>7</v>
      </c>
      <c r="AP699">
        <v>67</v>
      </c>
      <c r="AQ699">
        <v>6</v>
      </c>
      <c r="AR699" t="s">
        <v>1923</v>
      </c>
      <c r="AS699" t="s">
        <v>1924</v>
      </c>
      <c r="AT699">
        <v>0.99199999999999999</v>
      </c>
      <c r="AU699" t="s">
        <v>65</v>
      </c>
      <c r="AV699">
        <v>107</v>
      </c>
      <c r="AW699">
        <v>13</v>
      </c>
      <c r="AX699" t="s">
        <v>1925</v>
      </c>
      <c r="AY699" t="s">
        <v>1926</v>
      </c>
      <c r="AZ699" t="s">
        <v>1927</v>
      </c>
      <c r="BA699">
        <v>2.6880000000000001E-2</v>
      </c>
      <c r="BB699">
        <v>1</v>
      </c>
      <c r="BC699" t="s">
        <v>69</v>
      </c>
      <c r="BD699">
        <v>0.89700000000000002</v>
      </c>
      <c r="BE699">
        <v>0.71299999999999997</v>
      </c>
    </row>
    <row r="700" spans="1:57">
      <c r="A700">
        <v>0</v>
      </c>
      <c r="B700">
        <v>0</v>
      </c>
      <c r="C700">
        <v>0</v>
      </c>
      <c r="D700">
        <v>1467</v>
      </c>
      <c r="E700" t="s">
        <v>1941</v>
      </c>
      <c r="F700" t="s">
        <v>5762</v>
      </c>
      <c r="G700" t="s">
        <v>57</v>
      </c>
      <c r="H700">
        <v>1484117</v>
      </c>
      <c r="I700">
        <v>1484353</v>
      </c>
      <c r="J700" t="s">
        <v>1942</v>
      </c>
      <c r="K700">
        <v>79</v>
      </c>
      <c r="L700" t="s">
        <v>59</v>
      </c>
      <c r="M700">
        <v>5</v>
      </c>
      <c r="N700" t="str">
        <f>HYPERLINK("Gene1467-zp_tree_all.dnd", "Gene1467-tree")</f>
        <v>Gene1467-tree</v>
      </c>
      <c r="O700">
        <v>5</v>
      </c>
      <c r="P700">
        <v>0</v>
      </c>
      <c r="Q700">
        <v>5</v>
      </c>
      <c r="R700">
        <v>0</v>
      </c>
      <c r="S700">
        <v>0</v>
      </c>
      <c r="T700" t="s">
        <v>98</v>
      </c>
      <c r="U700" t="s">
        <v>62</v>
      </c>
      <c r="V700" t="s">
        <v>62</v>
      </c>
      <c r="W700" t="s">
        <v>62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4</v>
      </c>
      <c r="AM700">
        <v>2</v>
      </c>
      <c r="AN700">
        <v>4</v>
      </c>
      <c r="AO700">
        <v>0</v>
      </c>
      <c r="AP700">
        <v>2</v>
      </c>
      <c r="AQ700">
        <v>0</v>
      </c>
      <c r="AR700" t="s">
        <v>64</v>
      </c>
      <c r="AS700" t="s">
        <v>64</v>
      </c>
      <c r="AT700">
        <v>0</v>
      </c>
      <c r="AU700" t="s">
        <v>65</v>
      </c>
      <c r="AV700">
        <v>6</v>
      </c>
      <c r="AW700">
        <v>0</v>
      </c>
      <c r="AX700" t="s">
        <v>1943</v>
      </c>
      <c r="AY700" t="s">
        <v>1944</v>
      </c>
      <c r="AZ700" t="s">
        <v>64</v>
      </c>
      <c r="BA700">
        <v>0</v>
      </c>
      <c r="BB700">
        <v>1</v>
      </c>
      <c r="BC700" t="s">
        <v>69</v>
      </c>
      <c r="BD700">
        <v>-0.191</v>
      </c>
      <c r="BE700">
        <v>-0.191</v>
      </c>
    </row>
    <row r="701" spans="1:57">
      <c r="A701">
        <v>0</v>
      </c>
      <c r="B701">
        <v>0</v>
      </c>
      <c r="C701">
        <v>0</v>
      </c>
      <c r="D701">
        <v>1468</v>
      </c>
      <c r="E701" t="s">
        <v>1945</v>
      </c>
      <c r="F701" t="s">
        <v>5762</v>
      </c>
      <c r="G701" t="s">
        <v>57</v>
      </c>
      <c r="H701">
        <v>1484466</v>
      </c>
      <c r="I701">
        <v>1484981</v>
      </c>
      <c r="J701" t="s">
        <v>1946</v>
      </c>
      <c r="K701">
        <v>172</v>
      </c>
      <c r="L701" t="s">
        <v>59</v>
      </c>
      <c r="M701">
        <v>5</v>
      </c>
      <c r="N701" t="str">
        <f>HYPERLINK("Gene1468-zp_tree_all.dnd", "Gene1468-tree")</f>
        <v>Gene1468-tree</v>
      </c>
      <c r="O701">
        <v>4</v>
      </c>
      <c r="P701">
        <v>1</v>
      </c>
      <c r="Q701">
        <v>4</v>
      </c>
      <c r="R701">
        <v>1</v>
      </c>
      <c r="S701">
        <v>0.2</v>
      </c>
      <c r="T701" t="s">
        <v>60</v>
      </c>
      <c r="U701" t="s">
        <v>61</v>
      </c>
      <c r="V701" t="s">
        <v>62</v>
      </c>
      <c r="W701" t="s">
        <v>62</v>
      </c>
      <c r="X701">
        <v>0</v>
      </c>
      <c r="Y701">
        <v>0</v>
      </c>
      <c r="Z701">
        <v>3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1</v>
      </c>
      <c r="AK701">
        <v>0</v>
      </c>
      <c r="AL701">
        <v>4</v>
      </c>
      <c r="AM701">
        <v>1</v>
      </c>
      <c r="AN701">
        <v>9</v>
      </c>
      <c r="AO701">
        <v>1</v>
      </c>
      <c r="AP701">
        <v>10</v>
      </c>
      <c r="AQ701">
        <v>2</v>
      </c>
      <c r="AR701" t="s">
        <v>1947</v>
      </c>
      <c r="AS701" t="s">
        <v>1948</v>
      </c>
      <c r="AT701">
        <v>0.33200000000000002</v>
      </c>
      <c r="AU701" t="s">
        <v>65</v>
      </c>
      <c r="AV701">
        <v>19</v>
      </c>
      <c r="AW701">
        <v>3</v>
      </c>
      <c r="AX701" t="s">
        <v>1949</v>
      </c>
      <c r="AY701" t="s">
        <v>1950</v>
      </c>
      <c r="AZ701" t="s">
        <v>1951</v>
      </c>
      <c r="BA701">
        <v>4.7169999999999997E-2</v>
      </c>
      <c r="BB701">
        <v>1</v>
      </c>
      <c r="BC701" t="s">
        <v>69</v>
      </c>
      <c r="BD701">
        <v>0.60199999999999998</v>
      </c>
      <c r="BE701">
        <v>0.23499999999999999</v>
      </c>
    </row>
    <row r="702" spans="1:57">
      <c r="A702">
        <v>0</v>
      </c>
      <c r="B702">
        <v>0</v>
      </c>
      <c r="C702">
        <v>0</v>
      </c>
      <c r="D702">
        <v>1469</v>
      </c>
      <c r="E702" t="s">
        <v>1952</v>
      </c>
      <c r="F702" t="s">
        <v>5762</v>
      </c>
      <c r="G702" t="s">
        <v>57</v>
      </c>
      <c r="H702">
        <v>1485118</v>
      </c>
      <c r="I702">
        <v>1485312</v>
      </c>
      <c r="J702" t="s">
        <v>1953</v>
      </c>
      <c r="K702">
        <v>65</v>
      </c>
      <c r="L702" t="s">
        <v>59</v>
      </c>
      <c r="M702">
        <v>5</v>
      </c>
      <c r="N702" t="str">
        <f>HYPERLINK("Gene1469-zp_tree_all.dnd", "Gene1469-tree")</f>
        <v>Gene1469-tree</v>
      </c>
    </row>
    <row r="703" spans="1:57">
      <c r="A703">
        <v>0</v>
      </c>
      <c r="B703">
        <v>0</v>
      </c>
      <c r="C703">
        <v>0</v>
      </c>
      <c r="D703">
        <v>1475</v>
      </c>
      <c r="E703" t="s">
        <v>1954</v>
      </c>
      <c r="F703" t="s">
        <v>5762</v>
      </c>
      <c r="G703" t="s">
        <v>57</v>
      </c>
      <c r="H703">
        <v>1488973</v>
      </c>
      <c r="I703">
        <v>1489680</v>
      </c>
      <c r="J703" t="s">
        <v>1955</v>
      </c>
      <c r="K703">
        <v>236</v>
      </c>
      <c r="L703" t="s">
        <v>59</v>
      </c>
      <c r="M703">
        <v>5</v>
      </c>
      <c r="N703" t="str">
        <f>HYPERLINK("Gene1475-zp_tree_all.dnd", "Gene1475-tree")</f>
        <v>Gene1475-tree</v>
      </c>
      <c r="O703">
        <v>4</v>
      </c>
      <c r="P703">
        <v>1</v>
      </c>
      <c r="Q703">
        <v>4</v>
      </c>
      <c r="R703">
        <v>1</v>
      </c>
      <c r="S703">
        <v>0.2</v>
      </c>
      <c r="T703" t="s">
        <v>60</v>
      </c>
      <c r="U703" t="s">
        <v>61</v>
      </c>
      <c r="V703" t="s">
        <v>62</v>
      </c>
      <c r="W703" t="s">
        <v>62</v>
      </c>
      <c r="X703">
        <v>0</v>
      </c>
      <c r="Y703">
        <v>0</v>
      </c>
      <c r="Z703">
        <v>1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1</v>
      </c>
      <c r="AK703">
        <v>0</v>
      </c>
      <c r="AL703">
        <v>5</v>
      </c>
      <c r="AM703">
        <v>2</v>
      </c>
      <c r="AN703">
        <v>22</v>
      </c>
      <c r="AO703">
        <v>1</v>
      </c>
      <c r="AP703">
        <v>18</v>
      </c>
      <c r="AQ703">
        <v>1</v>
      </c>
      <c r="AR703" t="s">
        <v>1956</v>
      </c>
      <c r="AS703" t="s">
        <v>1957</v>
      </c>
      <c r="AT703">
        <v>6.9000000000000006E-2</v>
      </c>
      <c r="AU703" t="s">
        <v>65</v>
      </c>
      <c r="AV703">
        <v>40</v>
      </c>
      <c r="AW703">
        <v>2</v>
      </c>
      <c r="AX703" t="s">
        <v>1958</v>
      </c>
      <c r="AY703" t="s">
        <v>1959</v>
      </c>
      <c r="AZ703" t="s">
        <v>1960</v>
      </c>
      <c r="BA703">
        <v>1.508E-2</v>
      </c>
      <c r="BB703">
        <v>1</v>
      </c>
      <c r="BC703" t="s">
        <v>69</v>
      </c>
      <c r="BD703">
        <v>0.83399999999999996</v>
      </c>
      <c r="BE703">
        <v>0.83399999999999996</v>
      </c>
    </row>
    <row r="704" spans="1:57">
      <c r="A704">
        <v>0</v>
      </c>
      <c r="B704">
        <v>0</v>
      </c>
      <c r="C704">
        <v>0</v>
      </c>
      <c r="D704">
        <v>1477</v>
      </c>
      <c r="E704" t="s">
        <v>1961</v>
      </c>
      <c r="F704" t="s">
        <v>5762</v>
      </c>
      <c r="G704" t="s">
        <v>57</v>
      </c>
      <c r="H704">
        <v>1490939</v>
      </c>
      <c r="I704">
        <v>1491181</v>
      </c>
      <c r="J704" t="s">
        <v>170</v>
      </c>
      <c r="K704">
        <v>81</v>
      </c>
      <c r="L704" t="s">
        <v>59</v>
      </c>
      <c r="M704">
        <v>5</v>
      </c>
      <c r="N704" t="str">
        <f>HYPERLINK("Gene1477-zp_tree_all.dnd", "Gene1477-tree")</f>
        <v>Gene1477-tree</v>
      </c>
      <c r="O704">
        <v>5</v>
      </c>
      <c r="P704">
        <v>0</v>
      </c>
      <c r="Q704">
        <v>5</v>
      </c>
      <c r="R704">
        <v>0</v>
      </c>
      <c r="S704">
        <v>0</v>
      </c>
      <c r="T704" t="s">
        <v>98</v>
      </c>
      <c r="U704" t="s">
        <v>62</v>
      </c>
      <c r="V704" t="s">
        <v>62</v>
      </c>
      <c r="W704" t="s">
        <v>62</v>
      </c>
      <c r="X704">
        <v>0</v>
      </c>
      <c r="Y704">
        <v>0</v>
      </c>
      <c r="Z704">
        <v>2</v>
      </c>
      <c r="AA704">
        <v>0</v>
      </c>
      <c r="AB704">
        <v>0</v>
      </c>
      <c r="AC704">
        <v>0</v>
      </c>
      <c r="AD704">
        <v>0</v>
      </c>
      <c r="AE704">
        <v>2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4</v>
      </c>
      <c r="AM704">
        <v>2</v>
      </c>
      <c r="AN704">
        <v>6</v>
      </c>
      <c r="AO704">
        <v>0</v>
      </c>
      <c r="AP704">
        <v>5</v>
      </c>
      <c r="AQ704">
        <v>2</v>
      </c>
      <c r="AR704" t="s">
        <v>64</v>
      </c>
      <c r="AS704" t="s">
        <v>1962</v>
      </c>
      <c r="AT704">
        <v>1.028</v>
      </c>
      <c r="AU704" t="s">
        <v>65</v>
      </c>
      <c r="AV704">
        <v>11</v>
      </c>
      <c r="AW704">
        <v>2</v>
      </c>
      <c r="AX704" t="s">
        <v>1963</v>
      </c>
      <c r="AY704" t="s">
        <v>1964</v>
      </c>
      <c r="AZ704" t="s">
        <v>1965</v>
      </c>
      <c r="BA704">
        <v>5.6399999999999999E-2</v>
      </c>
      <c r="BB704">
        <v>1</v>
      </c>
      <c r="BC704" t="s">
        <v>69</v>
      </c>
      <c r="BD704">
        <v>0.41899999999999998</v>
      </c>
      <c r="BE704">
        <v>0.41899999999999998</v>
      </c>
    </row>
    <row r="705" spans="1:57">
      <c r="A705">
        <v>0</v>
      </c>
      <c r="B705">
        <v>0</v>
      </c>
      <c r="C705">
        <v>0</v>
      </c>
      <c r="D705">
        <v>1481</v>
      </c>
      <c r="E705" t="s">
        <v>1966</v>
      </c>
      <c r="F705" t="s">
        <v>5762</v>
      </c>
      <c r="G705" t="s">
        <v>57</v>
      </c>
      <c r="H705">
        <v>1493787</v>
      </c>
      <c r="I705">
        <v>1494359</v>
      </c>
      <c r="J705" t="s">
        <v>1967</v>
      </c>
      <c r="K705">
        <v>191</v>
      </c>
      <c r="L705" t="s">
        <v>83</v>
      </c>
      <c r="M705">
        <v>4</v>
      </c>
      <c r="N705" t="str">
        <f>HYPERLINK("Gene1481-zp_tree_all.dnd", "Gene1481-tree")</f>
        <v>Gene1481-tree</v>
      </c>
    </row>
    <row r="706" spans="1:57">
      <c r="A706">
        <v>0</v>
      </c>
      <c r="B706">
        <v>0</v>
      </c>
      <c r="C706">
        <v>0</v>
      </c>
      <c r="D706">
        <v>1493</v>
      </c>
      <c r="E706" t="s">
        <v>1968</v>
      </c>
      <c r="F706" t="s">
        <v>5762</v>
      </c>
      <c r="G706" t="s">
        <v>57</v>
      </c>
      <c r="H706">
        <v>1505416</v>
      </c>
      <c r="I706">
        <v>1506105</v>
      </c>
      <c r="J706" t="s">
        <v>1969</v>
      </c>
      <c r="K706">
        <v>230</v>
      </c>
      <c r="L706" t="s">
        <v>83</v>
      </c>
      <c r="M706">
        <v>4</v>
      </c>
      <c r="N706" t="str">
        <f>HYPERLINK("Gene1493-zp_tree_all.dnd", "Gene1493-tree")</f>
        <v>Gene1493-tree</v>
      </c>
      <c r="O706">
        <v>0</v>
      </c>
      <c r="P706">
        <v>4</v>
      </c>
      <c r="Q706">
        <v>0</v>
      </c>
      <c r="R706">
        <v>4</v>
      </c>
      <c r="S706">
        <v>1</v>
      </c>
      <c r="T706" t="s">
        <v>62</v>
      </c>
      <c r="U706" t="s">
        <v>60</v>
      </c>
      <c r="V706" t="s">
        <v>62</v>
      </c>
      <c r="W706" t="s">
        <v>62</v>
      </c>
      <c r="X706">
        <v>0</v>
      </c>
      <c r="Y706">
        <v>0</v>
      </c>
      <c r="Z706">
        <v>8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7</v>
      </c>
      <c r="AK706">
        <v>0</v>
      </c>
      <c r="AL706">
        <v>3</v>
      </c>
      <c r="AM706">
        <v>1</v>
      </c>
      <c r="AN706">
        <v>26</v>
      </c>
      <c r="AO706">
        <v>7</v>
      </c>
      <c r="AP706">
        <v>4</v>
      </c>
      <c r="AQ706">
        <v>1</v>
      </c>
      <c r="AR706" t="s">
        <v>1970</v>
      </c>
      <c r="AS706" t="s">
        <v>1971</v>
      </c>
      <c r="AT706">
        <v>4.8000000000000001E-2</v>
      </c>
      <c r="AU706" t="s">
        <v>65</v>
      </c>
      <c r="AV706">
        <v>30</v>
      </c>
      <c r="AW706">
        <v>8</v>
      </c>
      <c r="AX706" t="s">
        <v>1972</v>
      </c>
      <c r="AY706" t="s">
        <v>1973</v>
      </c>
      <c r="AZ706" t="s">
        <v>1974</v>
      </c>
      <c r="BA706">
        <v>7.5560000000000002E-2</v>
      </c>
      <c r="BB706">
        <v>1</v>
      </c>
      <c r="BC706" t="s">
        <v>69</v>
      </c>
      <c r="BD706">
        <v>-0.35</v>
      </c>
      <c r="BE706">
        <v>-0.60699999999999998</v>
      </c>
    </row>
    <row r="707" spans="1:57">
      <c r="A707">
        <v>0</v>
      </c>
      <c r="B707">
        <v>0</v>
      </c>
      <c r="C707">
        <v>0</v>
      </c>
      <c r="D707">
        <v>1495</v>
      </c>
      <c r="E707" t="s">
        <v>1975</v>
      </c>
      <c r="F707" t="s">
        <v>5762</v>
      </c>
      <c r="G707" t="s">
        <v>57</v>
      </c>
      <c r="H707">
        <v>1507578</v>
      </c>
      <c r="I707">
        <v>1508330</v>
      </c>
      <c r="J707" t="s">
        <v>1976</v>
      </c>
      <c r="K707">
        <v>251</v>
      </c>
      <c r="L707" t="s">
        <v>59</v>
      </c>
      <c r="M707">
        <v>5</v>
      </c>
      <c r="N707" t="str">
        <f>HYPERLINK("Gene1495-zp_tree_all.dnd", "Gene1495-tree")</f>
        <v>Gene1495-tree</v>
      </c>
      <c r="O707">
        <v>4</v>
      </c>
      <c r="P707">
        <v>1</v>
      </c>
      <c r="Q707">
        <v>4</v>
      </c>
      <c r="R707">
        <v>1</v>
      </c>
      <c r="S707">
        <v>0.2</v>
      </c>
      <c r="T707" t="s">
        <v>60</v>
      </c>
      <c r="U707" t="s">
        <v>61</v>
      </c>
      <c r="V707" t="s">
        <v>62</v>
      </c>
      <c r="W707" t="s">
        <v>62</v>
      </c>
      <c r="X707">
        <v>0</v>
      </c>
      <c r="Y707">
        <v>0</v>
      </c>
      <c r="Z707">
        <v>6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1</v>
      </c>
      <c r="AK707">
        <v>0</v>
      </c>
      <c r="AL707">
        <v>5</v>
      </c>
      <c r="AM707">
        <v>2</v>
      </c>
      <c r="AN707">
        <v>10</v>
      </c>
      <c r="AO707">
        <v>1</v>
      </c>
      <c r="AP707">
        <v>20</v>
      </c>
      <c r="AQ707">
        <v>5</v>
      </c>
      <c r="AR707" t="s">
        <v>1977</v>
      </c>
      <c r="AS707" t="s">
        <v>1978</v>
      </c>
      <c r="AT707">
        <v>0.372</v>
      </c>
      <c r="AU707" t="s">
        <v>65</v>
      </c>
      <c r="AV707">
        <v>30</v>
      </c>
      <c r="AW707">
        <v>6</v>
      </c>
      <c r="AX707" t="s">
        <v>1979</v>
      </c>
      <c r="AY707" t="s">
        <v>1980</v>
      </c>
      <c r="AZ707" t="s">
        <v>1981</v>
      </c>
      <c r="BA707">
        <v>5.9950000000000003E-2</v>
      </c>
      <c r="BB707">
        <v>1</v>
      </c>
      <c r="BC707" t="s">
        <v>69</v>
      </c>
      <c r="BD707">
        <v>1.139</v>
      </c>
      <c r="BE707">
        <v>0.95599999999999996</v>
      </c>
    </row>
    <row r="708" spans="1:57">
      <c r="A708">
        <v>0</v>
      </c>
      <c r="B708">
        <v>0</v>
      </c>
      <c r="C708">
        <v>2</v>
      </c>
      <c r="D708">
        <v>1496</v>
      </c>
      <c r="E708" t="s">
        <v>1982</v>
      </c>
      <c r="F708" t="s">
        <v>5762</v>
      </c>
      <c r="G708" t="s">
        <v>57</v>
      </c>
      <c r="H708">
        <v>1508330</v>
      </c>
      <c r="I708">
        <v>1509238</v>
      </c>
      <c r="J708" t="s">
        <v>1983</v>
      </c>
      <c r="K708">
        <v>303</v>
      </c>
      <c r="L708" t="s">
        <v>83</v>
      </c>
      <c r="M708">
        <v>4</v>
      </c>
      <c r="N708" t="str">
        <f>HYPERLINK("Gene1496-zp_tree_all.dnd", "Gene1496-tree")</f>
        <v>Gene1496-tree</v>
      </c>
      <c r="O708">
        <v>2</v>
      </c>
      <c r="P708">
        <v>2</v>
      </c>
      <c r="Q708">
        <v>2</v>
      </c>
      <c r="R708">
        <v>2</v>
      </c>
      <c r="S708">
        <v>0.5</v>
      </c>
      <c r="T708" t="s">
        <v>135</v>
      </c>
      <c r="U708" t="s">
        <v>135</v>
      </c>
      <c r="V708" t="s">
        <v>62</v>
      </c>
      <c r="W708" t="s">
        <v>62</v>
      </c>
      <c r="X708">
        <v>1</v>
      </c>
      <c r="Y708">
        <v>2</v>
      </c>
      <c r="Z708">
        <v>4</v>
      </c>
      <c r="AA708">
        <v>0.33333000000000002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2</v>
      </c>
      <c r="AI708">
        <v>2</v>
      </c>
      <c r="AJ708">
        <v>4</v>
      </c>
      <c r="AK708">
        <v>0.33333000000000002</v>
      </c>
      <c r="AL708">
        <v>3</v>
      </c>
      <c r="AM708">
        <v>1</v>
      </c>
      <c r="AN708">
        <v>33</v>
      </c>
      <c r="AO708">
        <v>7</v>
      </c>
      <c r="AP708">
        <v>6</v>
      </c>
      <c r="AQ708">
        <v>0</v>
      </c>
      <c r="AR708" t="s">
        <v>1984</v>
      </c>
      <c r="AS708" t="s">
        <v>64</v>
      </c>
      <c r="AT708">
        <v>0.72399999999999998</v>
      </c>
      <c r="AU708" t="s">
        <v>65</v>
      </c>
      <c r="AV708">
        <v>39</v>
      </c>
      <c r="AW708">
        <v>7</v>
      </c>
      <c r="AX708" t="s">
        <v>1985</v>
      </c>
      <c r="AY708" t="s">
        <v>1986</v>
      </c>
      <c r="AZ708" t="s">
        <v>1987</v>
      </c>
      <c r="BA708">
        <v>5.135E-2</v>
      </c>
      <c r="BB708">
        <v>1</v>
      </c>
      <c r="BC708" t="s">
        <v>69</v>
      </c>
      <c r="BD708">
        <v>-0.372</v>
      </c>
      <c r="BE708">
        <v>-0.58399999999999996</v>
      </c>
    </row>
    <row r="709" spans="1:57">
      <c r="A709">
        <v>0</v>
      </c>
      <c r="B709">
        <v>0</v>
      </c>
      <c r="C709">
        <v>0</v>
      </c>
      <c r="D709">
        <v>1498</v>
      </c>
      <c r="E709" t="s">
        <v>1988</v>
      </c>
      <c r="F709" t="s">
        <v>5762</v>
      </c>
      <c r="G709" t="s">
        <v>57</v>
      </c>
      <c r="H709">
        <v>1511308</v>
      </c>
      <c r="I709">
        <v>1511886</v>
      </c>
      <c r="J709" t="s">
        <v>1554</v>
      </c>
      <c r="K709">
        <v>193</v>
      </c>
      <c r="L709" t="s">
        <v>59</v>
      </c>
      <c r="M709">
        <v>5</v>
      </c>
      <c r="N709" t="str">
        <f>HYPERLINK("Gene1498-zp_tree_all.dnd", "Gene1498-tree")</f>
        <v>Gene1498-tree</v>
      </c>
      <c r="O709">
        <v>4</v>
      </c>
      <c r="P709">
        <v>1</v>
      </c>
      <c r="Q709">
        <v>3</v>
      </c>
      <c r="R709">
        <v>1</v>
      </c>
      <c r="S709">
        <v>0.25</v>
      </c>
      <c r="T709" t="s">
        <v>119</v>
      </c>
      <c r="U709" t="s">
        <v>61</v>
      </c>
      <c r="V709" t="s">
        <v>62</v>
      </c>
      <c r="W709" t="s">
        <v>62</v>
      </c>
      <c r="X709">
        <v>0</v>
      </c>
      <c r="Y709">
        <v>0</v>
      </c>
      <c r="Z709">
        <v>3</v>
      </c>
      <c r="AA709">
        <v>0</v>
      </c>
      <c r="AB709">
        <v>0</v>
      </c>
      <c r="AC709">
        <v>0</v>
      </c>
      <c r="AD709">
        <v>0</v>
      </c>
      <c r="AE709">
        <v>1</v>
      </c>
      <c r="AF709">
        <v>0</v>
      </c>
      <c r="AG709">
        <v>0</v>
      </c>
      <c r="AH709">
        <v>0</v>
      </c>
      <c r="AI709">
        <v>0</v>
      </c>
      <c r="AJ709">
        <v>2</v>
      </c>
      <c r="AK709">
        <v>0</v>
      </c>
      <c r="AL709">
        <v>4</v>
      </c>
      <c r="AM709">
        <v>1</v>
      </c>
      <c r="AN709">
        <v>7</v>
      </c>
      <c r="AO709">
        <v>2</v>
      </c>
      <c r="AP709">
        <v>20</v>
      </c>
      <c r="AQ709">
        <v>1</v>
      </c>
      <c r="AR709" t="s">
        <v>1989</v>
      </c>
      <c r="AS709" t="s">
        <v>1990</v>
      </c>
      <c r="AT709">
        <v>0.52100000000000002</v>
      </c>
      <c r="AU709" t="s">
        <v>65</v>
      </c>
      <c r="AV709">
        <v>27</v>
      </c>
      <c r="AW709">
        <v>3</v>
      </c>
      <c r="AX709" t="s">
        <v>1991</v>
      </c>
      <c r="AY709" t="s">
        <v>1992</v>
      </c>
      <c r="AZ709" t="s">
        <v>1993</v>
      </c>
      <c r="BA709">
        <v>2.7720000000000002E-2</v>
      </c>
      <c r="BB709">
        <v>1</v>
      </c>
      <c r="BC709" t="s">
        <v>69</v>
      </c>
      <c r="BD709">
        <v>1.3660000000000001</v>
      </c>
      <c r="BE709">
        <v>1.089</v>
      </c>
    </row>
    <row r="710" spans="1:57">
      <c r="A710">
        <v>0</v>
      </c>
      <c r="B710">
        <v>0</v>
      </c>
      <c r="C710">
        <v>0</v>
      </c>
      <c r="D710">
        <v>1500</v>
      </c>
      <c r="E710" t="s">
        <v>1994</v>
      </c>
      <c r="F710" t="s">
        <v>5762</v>
      </c>
      <c r="G710" t="s">
        <v>57</v>
      </c>
      <c r="H710">
        <v>1512373</v>
      </c>
      <c r="I710">
        <v>1513992</v>
      </c>
      <c r="J710" t="s">
        <v>1995</v>
      </c>
      <c r="K710">
        <v>540</v>
      </c>
      <c r="L710" t="s">
        <v>83</v>
      </c>
      <c r="M710">
        <v>4</v>
      </c>
      <c r="N710" t="str">
        <f>HYPERLINK("Gene1500-zp_tree_all.dnd", "Gene1500-tree")</f>
        <v>Gene1500-tree</v>
      </c>
      <c r="O710">
        <v>2</v>
      </c>
      <c r="P710">
        <v>2</v>
      </c>
      <c r="Q710">
        <v>2</v>
      </c>
      <c r="R710">
        <v>2</v>
      </c>
      <c r="S710">
        <v>0.5</v>
      </c>
      <c r="T710" t="s">
        <v>135</v>
      </c>
      <c r="U710" t="s">
        <v>135</v>
      </c>
      <c r="V710" t="s">
        <v>62</v>
      </c>
      <c r="W710" t="s">
        <v>62</v>
      </c>
      <c r="X710">
        <v>0</v>
      </c>
      <c r="Y710">
        <v>0</v>
      </c>
      <c r="Z710">
        <v>4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4</v>
      </c>
      <c r="AK710">
        <v>0</v>
      </c>
      <c r="AL710">
        <v>4</v>
      </c>
      <c r="AM710">
        <v>1</v>
      </c>
      <c r="AN710">
        <v>77</v>
      </c>
      <c r="AO710">
        <v>5</v>
      </c>
      <c r="AP710">
        <v>10</v>
      </c>
      <c r="AQ710">
        <v>0</v>
      </c>
      <c r="AR710" t="s">
        <v>1996</v>
      </c>
      <c r="AS710" t="s">
        <v>64</v>
      </c>
      <c r="AT710">
        <v>0.53800000000000003</v>
      </c>
      <c r="AU710" t="s">
        <v>65</v>
      </c>
      <c r="AV710">
        <v>87</v>
      </c>
      <c r="AW710">
        <v>5</v>
      </c>
      <c r="AX710" t="s">
        <v>1997</v>
      </c>
      <c r="AY710" t="s">
        <v>1998</v>
      </c>
      <c r="AZ710" t="s">
        <v>1999</v>
      </c>
      <c r="BA710">
        <v>1.3979999999999999E-2</v>
      </c>
      <c r="BB710">
        <v>1</v>
      </c>
      <c r="BC710" t="s">
        <v>69</v>
      </c>
      <c r="BD710">
        <v>-0.28499999999999998</v>
      </c>
      <c r="BE710">
        <v>-0.65600000000000003</v>
      </c>
    </row>
    <row r="711" spans="1:57">
      <c r="A711">
        <v>0</v>
      </c>
      <c r="B711">
        <v>0</v>
      </c>
      <c r="C711">
        <v>0</v>
      </c>
      <c r="D711">
        <v>1506</v>
      </c>
      <c r="E711" t="s">
        <v>2001</v>
      </c>
      <c r="F711" t="s">
        <v>5762</v>
      </c>
      <c r="G711" t="s">
        <v>57</v>
      </c>
      <c r="H711">
        <v>1518333</v>
      </c>
      <c r="I711">
        <v>1519616</v>
      </c>
      <c r="J711" t="s">
        <v>2002</v>
      </c>
      <c r="K711">
        <v>428</v>
      </c>
      <c r="L711" t="s">
        <v>83</v>
      </c>
      <c r="M711">
        <v>4</v>
      </c>
      <c r="N711" t="str">
        <f>HYPERLINK("Gene1506-zp_tree_all.dnd", "Gene1506-tree")</f>
        <v>Gene1506-tree</v>
      </c>
      <c r="O711">
        <v>2</v>
      </c>
      <c r="P711">
        <v>2</v>
      </c>
      <c r="Q711">
        <v>2</v>
      </c>
      <c r="R711">
        <v>2</v>
      </c>
      <c r="S711">
        <v>0.5</v>
      </c>
      <c r="T711" t="s">
        <v>135</v>
      </c>
      <c r="U711" t="s">
        <v>135</v>
      </c>
      <c r="V711" t="s">
        <v>62</v>
      </c>
      <c r="W711" t="s">
        <v>62</v>
      </c>
      <c r="X711">
        <v>0</v>
      </c>
      <c r="Y711">
        <v>0</v>
      </c>
      <c r="Z711">
        <v>10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10</v>
      </c>
      <c r="AK711">
        <v>0</v>
      </c>
      <c r="AL711">
        <v>4</v>
      </c>
      <c r="AM711">
        <v>1</v>
      </c>
      <c r="AN711">
        <v>55</v>
      </c>
      <c r="AO711">
        <v>10</v>
      </c>
      <c r="AP711">
        <v>8</v>
      </c>
      <c r="AQ711">
        <v>0</v>
      </c>
      <c r="AR711" t="s">
        <v>2003</v>
      </c>
      <c r="AS711" t="s">
        <v>64</v>
      </c>
      <c r="AT711">
        <v>0.52500000000000002</v>
      </c>
      <c r="AU711" t="s">
        <v>65</v>
      </c>
      <c r="AV711">
        <v>63</v>
      </c>
      <c r="AW711">
        <v>10</v>
      </c>
      <c r="AX711" t="s">
        <v>2004</v>
      </c>
      <c r="AY711" t="s">
        <v>2005</v>
      </c>
      <c r="AZ711" t="s">
        <v>2006</v>
      </c>
      <c r="BA711">
        <v>3.798E-2</v>
      </c>
      <c r="BB711">
        <v>1</v>
      </c>
      <c r="BC711" t="s">
        <v>69</v>
      </c>
      <c r="BD711">
        <v>-0.36899999999999999</v>
      </c>
      <c r="BE711">
        <v>-0.64200000000000002</v>
      </c>
    </row>
    <row r="712" spans="1:57">
      <c r="A712">
        <v>0</v>
      </c>
      <c r="B712">
        <v>0</v>
      </c>
      <c r="C712">
        <v>0</v>
      </c>
      <c r="D712">
        <v>1517</v>
      </c>
      <c r="E712" t="s">
        <v>2015</v>
      </c>
      <c r="F712" t="s">
        <v>5762</v>
      </c>
      <c r="G712" t="s">
        <v>57</v>
      </c>
      <c r="H712">
        <v>1528326</v>
      </c>
      <c r="I712">
        <v>1529438</v>
      </c>
      <c r="J712" t="s">
        <v>2016</v>
      </c>
      <c r="K712">
        <v>371</v>
      </c>
      <c r="L712" t="s">
        <v>59</v>
      </c>
      <c r="M712">
        <v>5</v>
      </c>
      <c r="N712" t="str">
        <f>HYPERLINK("Gene1517-zp_tree_all.dnd", "Gene1517-tree")</f>
        <v>Gene1517-tree</v>
      </c>
      <c r="O712">
        <v>5</v>
      </c>
      <c r="P712">
        <v>0</v>
      </c>
      <c r="Q712">
        <v>5</v>
      </c>
      <c r="R712">
        <v>0</v>
      </c>
      <c r="S712">
        <v>0</v>
      </c>
      <c r="T712" t="s">
        <v>98</v>
      </c>
      <c r="U712" t="s">
        <v>62</v>
      </c>
      <c r="V712" t="s">
        <v>62</v>
      </c>
      <c r="W712" t="s">
        <v>62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5</v>
      </c>
      <c r="AM712">
        <v>2</v>
      </c>
      <c r="AN712">
        <v>14</v>
      </c>
      <c r="AO712">
        <v>0</v>
      </c>
      <c r="AP712">
        <v>24</v>
      </c>
      <c r="AQ712">
        <v>0</v>
      </c>
      <c r="AR712" t="s">
        <v>64</v>
      </c>
      <c r="AS712" t="s">
        <v>64</v>
      </c>
      <c r="AT712">
        <v>0</v>
      </c>
      <c r="AU712" t="s">
        <v>65</v>
      </c>
      <c r="AV712">
        <v>38</v>
      </c>
      <c r="AW712">
        <v>0</v>
      </c>
      <c r="AX712" t="s">
        <v>2017</v>
      </c>
      <c r="AY712" t="s">
        <v>2018</v>
      </c>
      <c r="AZ712" t="s">
        <v>64</v>
      </c>
      <c r="BA712">
        <v>0</v>
      </c>
      <c r="BB712">
        <v>1</v>
      </c>
      <c r="BC712" t="s">
        <v>69</v>
      </c>
      <c r="BD712">
        <v>0.77800000000000002</v>
      </c>
      <c r="BE712">
        <v>0.77800000000000002</v>
      </c>
    </row>
    <row r="713" spans="1:57">
      <c r="A713">
        <v>0</v>
      </c>
      <c r="B713">
        <v>0</v>
      </c>
      <c r="C713">
        <v>0</v>
      </c>
      <c r="D713">
        <v>1518</v>
      </c>
      <c r="E713" t="s">
        <v>2019</v>
      </c>
      <c r="F713" t="s">
        <v>5762</v>
      </c>
      <c r="G713" t="s">
        <v>57</v>
      </c>
      <c r="H713">
        <v>1529445</v>
      </c>
      <c r="I713">
        <v>1530419</v>
      </c>
      <c r="J713" t="s">
        <v>2020</v>
      </c>
      <c r="K713">
        <v>325</v>
      </c>
      <c r="L713" t="s">
        <v>59</v>
      </c>
      <c r="M713">
        <v>5</v>
      </c>
      <c r="N713" t="str">
        <f>HYPERLINK("Gene1518-zp_tree_all.dnd", "Gene1518-tree")</f>
        <v>Gene1518-tree</v>
      </c>
      <c r="O713">
        <v>3</v>
      </c>
      <c r="P713">
        <v>2</v>
      </c>
      <c r="Q713">
        <v>3</v>
      </c>
      <c r="R713">
        <v>2</v>
      </c>
      <c r="S713">
        <v>0.4</v>
      </c>
      <c r="T713" t="s">
        <v>84</v>
      </c>
      <c r="U713" t="s">
        <v>135</v>
      </c>
      <c r="V713" t="s">
        <v>62</v>
      </c>
      <c r="W713" t="s">
        <v>62</v>
      </c>
      <c r="X713">
        <v>0</v>
      </c>
      <c r="Y713">
        <v>0</v>
      </c>
      <c r="Z713">
        <v>2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2</v>
      </c>
      <c r="AK713">
        <v>0</v>
      </c>
      <c r="AL713">
        <v>5</v>
      </c>
      <c r="AM713">
        <v>2</v>
      </c>
      <c r="AN713">
        <v>19</v>
      </c>
      <c r="AO713">
        <v>2</v>
      </c>
      <c r="AP713">
        <v>23</v>
      </c>
      <c r="AQ713">
        <v>0</v>
      </c>
      <c r="AR713" t="s">
        <v>2021</v>
      </c>
      <c r="AS713" t="s">
        <v>64</v>
      </c>
      <c r="AT713">
        <v>1.1910000000000001</v>
      </c>
      <c r="AU713" t="s">
        <v>65</v>
      </c>
      <c r="AV713">
        <v>42</v>
      </c>
      <c r="AW713">
        <v>2</v>
      </c>
      <c r="AX713" t="s">
        <v>2022</v>
      </c>
      <c r="AY713" t="s">
        <v>2023</v>
      </c>
      <c r="AZ713" t="s">
        <v>2024</v>
      </c>
      <c r="BA713">
        <v>1.128E-2</v>
      </c>
      <c r="BB713">
        <v>1</v>
      </c>
      <c r="BC713" t="s">
        <v>69</v>
      </c>
      <c r="BD713">
        <v>0.65800000000000003</v>
      </c>
      <c r="BE713">
        <v>0.122</v>
      </c>
    </row>
    <row r="714" spans="1:57">
      <c r="A714">
        <v>0</v>
      </c>
      <c r="B714">
        <v>0</v>
      </c>
      <c r="C714">
        <v>0</v>
      </c>
      <c r="D714">
        <v>1519</v>
      </c>
      <c r="E714" t="s">
        <v>2025</v>
      </c>
      <c r="F714" t="s">
        <v>5762</v>
      </c>
      <c r="G714" t="s">
        <v>57</v>
      </c>
      <c r="H714">
        <v>1530537</v>
      </c>
      <c r="I714">
        <v>1531862</v>
      </c>
      <c r="J714" t="s">
        <v>2026</v>
      </c>
      <c r="K714">
        <v>442</v>
      </c>
      <c r="L714" t="s">
        <v>59</v>
      </c>
      <c r="M714">
        <v>5</v>
      </c>
      <c r="N714" t="str">
        <f>HYPERLINK("Gene1519-zp_tree_all.dnd", "Gene1519-tree")</f>
        <v>Gene1519-tree</v>
      </c>
      <c r="O714">
        <v>5</v>
      </c>
      <c r="P714">
        <v>0</v>
      </c>
      <c r="Q714">
        <v>5</v>
      </c>
      <c r="R714">
        <v>0</v>
      </c>
      <c r="S714">
        <v>0</v>
      </c>
      <c r="T714" t="s">
        <v>98</v>
      </c>
      <c r="U714" t="s">
        <v>62</v>
      </c>
      <c r="V714" t="s">
        <v>62</v>
      </c>
      <c r="W714" t="s">
        <v>62</v>
      </c>
      <c r="X714">
        <v>0</v>
      </c>
      <c r="Y714">
        <v>0</v>
      </c>
      <c r="Z714">
        <v>3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5</v>
      </c>
      <c r="AM714">
        <v>1</v>
      </c>
      <c r="AN714">
        <v>17</v>
      </c>
      <c r="AO714">
        <v>0</v>
      </c>
      <c r="AP714">
        <v>13</v>
      </c>
      <c r="AQ714">
        <v>3</v>
      </c>
      <c r="AR714" t="s">
        <v>64</v>
      </c>
      <c r="AS714" t="s">
        <v>2027</v>
      </c>
      <c r="AT714">
        <v>0</v>
      </c>
      <c r="AU714" t="s">
        <v>65</v>
      </c>
      <c r="AV714">
        <v>30</v>
      </c>
      <c r="AW714">
        <v>3</v>
      </c>
      <c r="AX714" t="s">
        <v>2028</v>
      </c>
      <c r="AY714" t="s">
        <v>2029</v>
      </c>
      <c r="AZ714" t="s">
        <v>2030</v>
      </c>
      <c r="BA714">
        <v>3.585E-2</v>
      </c>
      <c r="BB714">
        <v>1</v>
      </c>
      <c r="BC714" t="s">
        <v>69</v>
      </c>
      <c r="BD714">
        <v>0.26500000000000001</v>
      </c>
      <c r="BE714">
        <v>0.26500000000000001</v>
      </c>
    </row>
    <row r="715" spans="1:57">
      <c r="A715">
        <v>0</v>
      </c>
      <c r="B715">
        <v>0</v>
      </c>
      <c r="C715">
        <v>0</v>
      </c>
      <c r="D715">
        <v>1520</v>
      </c>
      <c r="E715" t="s">
        <v>2031</v>
      </c>
      <c r="F715" t="s">
        <v>5762</v>
      </c>
      <c r="G715" t="s">
        <v>57</v>
      </c>
      <c r="H715">
        <v>1531870</v>
      </c>
      <c r="I715">
        <v>1533279</v>
      </c>
      <c r="J715" t="s">
        <v>2032</v>
      </c>
      <c r="K715">
        <v>470</v>
      </c>
      <c r="L715" t="s">
        <v>59</v>
      </c>
      <c r="M715">
        <v>5</v>
      </c>
      <c r="N715" t="str">
        <f>HYPERLINK("Gene1520-zp_tree_all.dnd", "Gene1520-tree")</f>
        <v>Gene1520-tree</v>
      </c>
      <c r="O715">
        <v>4</v>
      </c>
      <c r="P715">
        <v>1</v>
      </c>
      <c r="Q715">
        <v>4</v>
      </c>
      <c r="R715">
        <v>1</v>
      </c>
      <c r="S715">
        <v>0.2</v>
      </c>
      <c r="T715" t="s">
        <v>60</v>
      </c>
      <c r="U715" t="s">
        <v>61</v>
      </c>
      <c r="V715" t="s">
        <v>62</v>
      </c>
      <c r="W715" t="s">
        <v>62</v>
      </c>
      <c r="X715">
        <v>0</v>
      </c>
      <c r="Y715">
        <v>0</v>
      </c>
      <c r="Z715">
        <v>4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1</v>
      </c>
      <c r="AK715">
        <v>0</v>
      </c>
      <c r="AL715">
        <v>5</v>
      </c>
      <c r="AM715">
        <v>2</v>
      </c>
      <c r="AN715">
        <v>27</v>
      </c>
      <c r="AO715">
        <v>1</v>
      </c>
      <c r="AP715">
        <v>33</v>
      </c>
      <c r="AQ715">
        <v>3</v>
      </c>
      <c r="AR715" t="s">
        <v>2033</v>
      </c>
      <c r="AS715" t="s">
        <v>2034</v>
      </c>
      <c r="AT715">
        <v>0.39700000000000002</v>
      </c>
      <c r="AU715" t="s">
        <v>65</v>
      </c>
      <c r="AV715">
        <v>60</v>
      </c>
      <c r="AW715">
        <v>4</v>
      </c>
      <c r="AX715" t="s">
        <v>2035</v>
      </c>
      <c r="AY715" t="s">
        <v>2036</v>
      </c>
      <c r="AZ715" t="s">
        <v>2037</v>
      </c>
      <c r="BA715">
        <v>2.1919999999999999E-2</v>
      </c>
      <c r="BB715">
        <v>1</v>
      </c>
      <c r="BC715" t="s">
        <v>69</v>
      </c>
      <c r="BD715">
        <v>0.62</v>
      </c>
      <c r="BE715">
        <v>0.62</v>
      </c>
    </row>
    <row r="716" spans="1:57">
      <c r="A716">
        <v>0</v>
      </c>
      <c r="B716">
        <v>0</v>
      </c>
      <c r="C716">
        <v>0</v>
      </c>
      <c r="D716">
        <v>1522</v>
      </c>
      <c r="E716" t="s">
        <v>2045</v>
      </c>
      <c r="F716" t="s">
        <v>5762</v>
      </c>
      <c r="G716" t="s">
        <v>57</v>
      </c>
      <c r="H716">
        <v>1534120</v>
      </c>
      <c r="I716">
        <v>1534236</v>
      </c>
      <c r="J716" t="s">
        <v>2046</v>
      </c>
      <c r="K716">
        <v>39</v>
      </c>
      <c r="L716" t="s">
        <v>59</v>
      </c>
      <c r="M716">
        <v>5</v>
      </c>
      <c r="N716" t="str">
        <f>HYPERLINK("Gene1522-zp_tree_all.dnd", "Gene1522-tree")</f>
        <v>Gene1522-tree</v>
      </c>
      <c r="O716">
        <v>3</v>
      </c>
      <c r="P716">
        <v>1</v>
      </c>
      <c r="Q716">
        <v>3</v>
      </c>
      <c r="R716">
        <v>1</v>
      </c>
      <c r="S716">
        <v>0.25</v>
      </c>
      <c r="T716" t="s">
        <v>84</v>
      </c>
      <c r="U716" t="s">
        <v>61</v>
      </c>
      <c r="V716" t="s">
        <v>62</v>
      </c>
      <c r="W716" t="s">
        <v>62</v>
      </c>
      <c r="X716">
        <v>0</v>
      </c>
      <c r="Y716">
        <v>0</v>
      </c>
      <c r="Z716">
        <v>1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1</v>
      </c>
      <c r="AK716">
        <v>0</v>
      </c>
      <c r="AL716">
        <v>4</v>
      </c>
      <c r="AM716">
        <v>1</v>
      </c>
      <c r="AN716">
        <v>4</v>
      </c>
      <c r="AO716">
        <v>1</v>
      </c>
      <c r="AP716">
        <v>2</v>
      </c>
      <c r="AQ716">
        <v>0</v>
      </c>
      <c r="AR716" t="s">
        <v>2047</v>
      </c>
      <c r="AS716" t="s">
        <v>64</v>
      </c>
      <c r="AT716">
        <v>0.66700000000000004</v>
      </c>
      <c r="AU716" t="s">
        <v>65</v>
      </c>
      <c r="AV716">
        <v>6</v>
      </c>
      <c r="AW716">
        <v>1</v>
      </c>
      <c r="AX716" t="s">
        <v>2048</v>
      </c>
      <c r="AY716" t="s">
        <v>2049</v>
      </c>
      <c r="AZ716" t="s">
        <v>2050</v>
      </c>
      <c r="BA716">
        <v>3.7280000000000001E-2</v>
      </c>
      <c r="BB716">
        <v>1</v>
      </c>
      <c r="BC716" t="s">
        <v>69</v>
      </c>
      <c r="BD716">
        <v>0.28599999999999998</v>
      </c>
      <c r="BE716">
        <v>0.28599999999999998</v>
      </c>
    </row>
    <row r="717" spans="1:57">
      <c r="A717">
        <v>0</v>
      </c>
      <c r="B717">
        <v>0</v>
      </c>
      <c r="C717">
        <v>0</v>
      </c>
      <c r="D717">
        <v>1524</v>
      </c>
      <c r="E717" t="s">
        <v>2051</v>
      </c>
      <c r="F717" t="s">
        <v>5762</v>
      </c>
      <c r="G717" t="s">
        <v>57</v>
      </c>
      <c r="H717">
        <v>1535936</v>
      </c>
      <c r="I717">
        <v>1536199</v>
      </c>
      <c r="J717" t="s">
        <v>118</v>
      </c>
      <c r="K717">
        <v>88</v>
      </c>
      <c r="L717" t="s">
        <v>83</v>
      </c>
      <c r="M717">
        <v>4</v>
      </c>
      <c r="N717" t="str">
        <f>HYPERLINK("Gene1524-zp_tree_all.dnd", "Gene1524-tree")</f>
        <v>Gene1524-tree</v>
      </c>
      <c r="O717">
        <v>2</v>
      </c>
      <c r="P717">
        <v>2</v>
      </c>
      <c r="Q717">
        <v>2</v>
      </c>
      <c r="R717">
        <v>2</v>
      </c>
      <c r="S717">
        <v>0.5</v>
      </c>
      <c r="T717" t="s">
        <v>135</v>
      </c>
      <c r="U717" t="s">
        <v>135</v>
      </c>
      <c r="V717" t="s">
        <v>62</v>
      </c>
      <c r="W717" t="s">
        <v>62</v>
      </c>
      <c r="X717">
        <v>0</v>
      </c>
      <c r="Y717">
        <v>0</v>
      </c>
      <c r="Z717">
        <v>2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2</v>
      </c>
      <c r="AK717">
        <v>0</v>
      </c>
      <c r="AL717">
        <v>2</v>
      </c>
      <c r="AM717">
        <v>1</v>
      </c>
      <c r="AN717">
        <v>12</v>
      </c>
      <c r="AO717">
        <v>1</v>
      </c>
      <c r="AP717">
        <v>0</v>
      </c>
      <c r="AQ717">
        <v>1</v>
      </c>
      <c r="AR717" t="s">
        <v>2052</v>
      </c>
      <c r="AS717" t="s">
        <v>64</v>
      </c>
      <c r="AT717">
        <v>0.81899999999999995</v>
      </c>
      <c r="AU717" t="s">
        <v>65</v>
      </c>
      <c r="AV717">
        <v>12</v>
      </c>
      <c r="AW717">
        <v>2</v>
      </c>
      <c r="AX717" t="s">
        <v>2053</v>
      </c>
      <c r="AY717" t="s">
        <v>2054</v>
      </c>
      <c r="AZ717" t="s">
        <v>2055</v>
      </c>
      <c r="BA717">
        <v>4.5069999999999999E-2</v>
      </c>
      <c r="BB717">
        <v>1</v>
      </c>
      <c r="BC717" t="s">
        <v>69</v>
      </c>
      <c r="BD717">
        <v>-0.624</v>
      </c>
      <c r="BE717">
        <v>-0.624</v>
      </c>
    </row>
    <row r="718" spans="1:57">
      <c r="A718">
        <v>0</v>
      </c>
      <c r="B718">
        <v>0</v>
      </c>
      <c r="C718">
        <v>0</v>
      </c>
      <c r="D718">
        <v>1526</v>
      </c>
      <c r="E718" t="s">
        <v>2056</v>
      </c>
      <c r="F718" t="s">
        <v>5762</v>
      </c>
      <c r="G718" t="s">
        <v>57</v>
      </c>
      <c r="H718">
        <v>1537113</v>
      </c>
      <c r="I718">
        <v>1537298</v>
      </c>
      <c r="J718" t="s">
        <v>2057</v>
      </c>
      <c r="K718">
        <v>62</v>
      </c>
      <c r="L718" t="s">
        <v>59</v>
      </c>
      <c r="M718">
        <v>5</v>
      </c>
      <c r="N718" t="str">
        <f>HYPERLINK("Gene1526-zp_tree_all.dnd", "Gene1526-tree")</f>
        <v>Gene1526-tree</v>
      </c>
    </row>
    <row r="719" spans="1:57">
      <c r="A719">
        <v>0</v>
      </c>
      <c r="B719">
        <v>0</v>
      </c>
      <c r="C719">
        <v>0</v>
      </c>
      <c r="D719">
        <v>1537</v>
      </c>
      <c r="E719" t="s">
        <v>2064</v>
      </c>
      <c r="F719" t="s">
        <v>5762</v>
      </c>
      <c r="G719" t="s">
        <v>57</v>
      </c>
      <c r="H719">
        <v>1546121</v>
      </c>
      <c r="I719">
        <v>1547956</v>
      </c>
      <c r="J719" t="s">
        <v>2065</v>
      </c>
      <c r="K719">
        <v>612</v>
      </c>
      <c r="L719" t="s">
        <v>59</v>
      </c>
      <c r="M719">
        <v>5</v>
      </c>
      <c r="N719" t="str">
        <f>HYPERLINK("Gene1537-zp_tree_all.dnd", "Gene1537-tree")</f>
        <v>Gene1537-tree</v>
      </c>
      <c r="O719">
        <v>3</v>
      </c>
      <c r="P719">
        <v>2</v>
      </c>
      <c r="Q719">
        <v>3</v>
      </c>
      <c r="R719">
        <v>2</v>
      </c>
      <c r="S719">
        <v>0.4</v>
      </c>
      <c r="T719" t="s">
        <v>84</v>
      </c>
      <c r="U719" t="s">
        <v>135</v>
      </c>
      <c r="V719" t="s">
        <v>62</v>
      </c>
      <c r="W719" t="s">
        <v>62</v>
      </c>
      <c r="X719">
        <v>0</v>
      </c>
      <c r="Y719">
        <v>0</v>
      </c>
      <c r="Z719">
        <v>5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3</v>
      </c>
      <c r="AK719">
        <v>0</v>
      </c>
      <c r="AL719">
        <v>5</v>
      </c>
      <c r="AM719">
        <v>2</v>
      </c>
      <c r="AN719">
        <v>55</v>
      </c>
      <c r="AO719">
        <v>3</v>
      </c>
      <c r="AP719">
        <v>57</v>
      </c>
      <c r="AQ719">
        <v>2</v>
      </c>
      <c r="AR719" t="s">
        <v>2066</v>
      </c>
      <c r="AS719" t="s">
        <v>2067</v>
      </c>
      <c r="AT719">
        <v>0.318</v>
      </c>
      <c r="AU719" t="s">
        <v>65</v>
      </c>
      <c r="AV719">
        <v>112</v>
      </c>
      <c r="AW719">
        <v>5</v>
      </c>
      <c r="AX719" t="s">
        <v>2068</v>
      </c>
      <c r="AY719" t="s">
        <v>2069</v>
      </c>
      <c r="AZ719" t="s">
        <v>2070</v>
      </c>
      <c r="BA719">
        <v>1.1780000000000001E-2</v>
      </c>
      <c r="BB719">
        <v>1</v>
      </c>
      <c r="BC719" t="s">
        <v>69</v>
      </c>
      <c r="BD719">
        <v>0.502</v>
      </c>
      <c r="BE719">
        <v>0.30299999999999999</v>
      </c>
    </row>
    <row r="720" spans="1:57">
      <c r="A720">
        <v>0</v>
      </c>
      <c r="B720">
        <v>0</v>
      </c>
      <c r="C720">
        <v>0</v>
      </c>
      <c r="D720">
        <v>1538</v>
      </c>
      <c r="E720" t="s">
        <v>2071</v>
      </c>
      <c r="F720" t="s">
        <v>5762</v>
      </c>
      <c r="G720" t="s">
        <v>57</v>
      </c>
      <c r="H720">
        <v>1548016</v>
      </c>
      <c r="I720">
        <v>1548330</v>
      </c>
      <c r="J720" t="s">
        <v>2072</v>
      </c>
      <c r="K720">
        <v>105</v>
      </c>
      <c r="L720" t="s">
        <v>59</v>
      </c>
      <c r="M720">
        <v>5</v>
      </c>
      <c r="N720" t="str">
        <f>HYPERLINK("Gene1538-zp_tree_all.dnd", "Gene1538-tree")</f>
        <v>Gene1538-tree</v>
      </c>
      <c r="O720">
        <v>3</v>
      </c>
      <c r="P720">
        <v>2</v>
      </c>
      <c r="Q720">
        <v>3</v>
      </c>
      <c r="R720">
        <v>2</v>
      </c>
      <c r="S720">
        <v>0.4</v>
      </c>
      <c r="T720" t="s">
        <v>84</v>
      </c>
      <c r="U720" t="s">
        <v>135</v>
      </c>
      <c r="V720" t="s">
        <v>62</v>
      </c>
      <c r="W720" t="s">
        <v>62</v>
      </c>
      <c r="X720">
        <v>0</v>
      </c>
      <c r="Y720">
        <v>0</v>
      </c>
      <c r="Z720">
        <v>2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2</v>
      </c>
      <c r="AK720">
        <v>0</v>
      </c>
      <c r="AL720">
        <v>3</v>
      </c>
      <c r="AM720">
        <v>2</v>
      </c>
      <c r="AN720">
        <v>4</v>
      </c>
      <c r="AO720">
        <v>2</v>
      </c>
      <c r="AP720">
        <v>9</v>
      </c>
      <c r="AQ720">
        <v>0</v>
      </c>
      <c r="AR720" t="s">
        <v>2073</v>
      </c>
      <c r="AS720" t="s">
        <v>64</v>
      </c>
      <c r="AT720">
        <v>2.758</v>
      </c>
      <c r="AU720" t="s">
        <v>286</v>
      </c>
      <c r="AV720">
        <v>13</v>
      </c>
      <c r="AW720">
        <v>2</v>
      </c>
      <c r="AX720" t="s">
        <v>2074</v>
      </c>
      <c r="AY720" t="s">
        <v>2075</v>
      </c>
      <c r="AZ720" t="s">
        <v>2076</v>
      </c>
      <c r="BA720">
        <v>4.0090000000000001E-2</v>
      </c>
      <c r="BB720">
        <v>1</v>
      </c>
      <c r="BC720" t="s">
        <v>69</v>
      </c>
      <c r="BD720">
        <v>0.73799999999999999</v>
      </c>
      <c r="BE720">
        <v>0.30399999999999999</v>
      </c>
    </row>
    <row r="721" spans="1:57">
      <c r="A721">
        <v>0</v>
      </c>
      <c r="B721">
        <v>0</v>
      </c>
      <c r="C721">
        <v>0</v>
      </c>
      <c r="D721">
        <v>1544</v>
      </c>
      <c r="E721" t="s">
        <v>2078</v>
      </c>
      <c r="F721" t="s">
        <v>5762</v>
      </c>
      <c r="G721" t="s">
        <v>57</v>
      </c>
      <c r="H721">
        <v>1552412</v>
      </c>
      <c r="I721">
        <v>1552690</v>
      </c>
      <c r="J721" t="s">
        <v>170</v>
      </c>
      <c r="K721">
        <v>93</v>
      </c>
      <c r="L721" t="s">
        <v>59</v>
      </c>
      <c r="M721">
        <v>5</v>
      </c>
      <c r="N721" t="str">
        <f>HYPERLINK("Gene1544-zp_tree_all.dnd", "Gene1544-tree")</f>
        <v>Gene1544-tree</v>
      </c>
      <c r="O721">
        <v>3</v>
      </c>
      <c r="P721">
        <v>1</v>
      </c>
      <c r="Q721">
        <v>3</v>
      </c>
      <c r="R721">
        <v>1</v>
      </c>
      <c r="S721">
        <v>0.25</v>
      </c>
      <c r="T721" t="s">
        <v>84</v>
      </c>
      <c r="U721" t="s">
        <v>61</v>
      </c>
      <c r="V721" t="s">
        <v>62</v>
      </c>
      <c r="W721" t="s">
        <v>62</v>
      </c>
      <c r="X721">
        <v>0</v>
      </c>
      <c r="Y721">
        <v>0</v>
      </c>
      <c r="Z721">
        <v>1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1</v>
      </c>
      <c r="AK721">
        <v>0</v>
      </c>
      <c r="AL721">
        <v>3</v>
      </c>
      <c r="AM721">
        <v>0</v>
      </c>
      <c r="AN721">
        <v>4</v>
      </c>
      <c r="AO721">
        <v>1</v>
      </c>
      <c r="AP721">
        <v>0</v>
      </c>
      <c r="AQ721">
        <v>0</v>
      </c>
      <c r="AR721" t="s">
        <v>2079</v>
      </c>
      <c r="AS721" t="s">
        <v>64</v>
      </c>
      <c r="AT721">
        <v>0.81299999999999994</v>
      </c>
      <c r="AU721" t="s">
        <v>65</v>
      </c>
      <c r="AV721">
        <v>4</v>
      </c>
      <c r="AW721">
        <v>1</v>
      </c>
      <c r="AX721" t="s">
        <v>2080</v>
      </c>
      <c r="AY721" t="s">
        <v>2081</v>
      </c>
      <c r="AZ721" t="s">
        <v>2082</v>
      </c>
      <c r="BA721">
        <v>7.356E-2</v>
      </c>
      <c r="BB721">
        <v>1</v>
      </c>
      <c r="BC721" t="s">
        <v>69</v>
      </c>
      <c r="BD721">
        <v>0.95699999999999996</v>
      </c>
      <c r="BE721">
        <v>-0.41</v>
      </c>
    </row>
    <row r="722" spans="1:57">
      <c r="A722">
        <v>0</v>
      </c>
      <c r="B722">
        <v>0</v>
      </c>
      <c r="C722">
        <v>0</v>
      </c>
      <c r="D722">
        <v>1548</v>
      </c>
      <c r="E722" t="s">
        <v>2083</v>
      </c>
      <c r="F722" t="s">
        <v>5762</v>
      </c>
      <c r="G722" t="s">
        <v>57</v>
      </c>
      <c r="H722">
        <v>1559309</v>
      </c>
      <c r="I722">
        <v>1560223</v>
      </c>
      <c r="J722" t="s">
        <v>2084</v>
      </c>
      <c r="K722">
        <v>305</v>
      </c>
      <c r="L722" t="s">
        <v>59</v>
      </c>
      <c r="M722">
        <v>5</v>
      </c>
      <c r="N722" t="str">
        <f>HYPERLINK("Gene1548-zp_tree_all.dnd", "Gene1548-tree")</f>
        <v>Gene1548-tree</v>
      </c>
      <c r="O722">
        <v>5</v>
      </c>
      <c r="P722">
        <v>0</v>
      </c>
      <c r="Q722">
        <v>5</v>
      </c>
      <c r="R722">
        <v>0</v>
      </c>
      <c r="S722">
        <v>0</v>
      </c>
      <c r="T722" t="s">
        <v>98</v>
      </c>
      <c r="U722" t="s">
        <v>62</v>
      </c>
      <c r="V722" t="s">
        <v>62</v>
      </c>
      <c r="W722" t="s">
        <v>62</v>
      </c>
      <c r="X722">
        <v>0</v>
      </c>
      <c r="Y722">
        <v>0</v>
      </c>
      <c r="Z722">
        <v>2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5</v>
      </c>
      <c r="AM722">
        <v>2</v>
      </c>
      <c r="AN722">
        <v>27</v>
      </c>
      <c r="AO722">
        <v>0</v>
      </c>
      <c r="AP722">
        <v>15</v>
      </c>
      <c r="AQ722">
        <v>2</v>
      </c>
      <c r="AR722" t="s">
        <v>64</v>
      </c>
      <c r="AS722" t="s">
        <v>2085</v>
      </c>
      <c r="AT722">
        <v>1.032</v>
      </c>
      <c r="AU722" t="s">
        <v>65</v>
      </c>
      <c r="AV722">
        <v>42</v>
      </c>
      <c r="AW722">
        <v>2</v>
      </c>
      <c r="AX722" t="s">
        <v>2086</v>
      </c>
      <c r="AY722" t="s">
        <v>2087</v>
      </c>
      <c r="AZ722" t="s">
        <v>2088</v>
      </c>
      <c r="BA722">
        <v>1.8149999999999999E-2</v>
      </c>
      <c r="BB722">
        <v>1</v>
      </c>
      <c r="BC722" t="s">
        <v>69</v>
      </c>
      <c r="BD722">
        <v>0.09</v>
      </c>
      <c r="BE722">
        <v>-0.06</v>
      </c>
    </row>
    <row r="723" spans="1:57">
      <c r="A723">
        <v>0</v>
      </c>
      <c r="B723">
        <v>0</v>
      </c>
      <c r="C723">
        <v>0</v>
      </c>
      <c r="D723">
        <v>1549</v>
      </c>
      <c r="E723" t="s">
        <v>2089</v>
      </c>
      <c r="F723" t="s">
        <v>5762</v>
      </c>
      <c r="G723" t="s">
        <v>57</v>
      </c>
      <c r="H723">
        <v>1560466</v>
      </c>
      <c r="I723">
        <v>1561533</v>
      </c>
      <c r="J723" t="s">
        <v>2090</v>
      </c>
      <c r="K723">
        <v>356</v>
      </c>
      <c r="L723" t="s">
        <v>83</v>
      </c>
      <c r="M723">
        <v>4</v>
      </c>
      <c r="N723" t="str">
        <f>HYPERLINK("Gene1549-zp_tree_all.dnd", "Gene1549-tree")</f>
        <v>Gene1549-tree</v>
      </c>
      <c r="O723">
        <v>2</v>
      </c>
      <c r="P723">
        <v>2</v>
      </c>
      <c r="Q723">
        <v>2</v>
      </c>
      <c r="R723">
        <v>2</v>
      </c>
      <c r="S723">
        <v>0.5</v>
      </c>
      <c r="T723" t="s">
        <v>135</v>
      </c>
      <c r="U723" t="s">
        <v>135</v>
      </c>
      <c r="V723" t="s">
        <v>62</v>
      </c>
      <c r="W723" t="s">
        <v>62</v>
      </c>
      <c r="X723">
        <v>0</v>
      </c>
      <c r="Y723">
        <v>0</v>
      </c>
      <c r="Z723">
        <v>8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7</v>
      </c>
      <c r="AK723">
        <v>0</v>
      </c>
      <c r="AL723">
        <v>4</v>
      </c>
      <c r="AM723">
        <v>1</v>
      </c>
      <c r="AN723">
        <v>51</v>
      </c>
      <c r="AO723">
        <v>7</v>
      </c>
      <c r="AP723">
        <v>1</v>
      </c>
      <c r="AQ723">
        <v>1</v>
      </c>
      <c r="AR723" t="s">
        <v>2091</v>
      </c>
      <c r="AS723" t="s">
        <v>2092</v>
      </c>
      <c r="AT723">
        <v>3.5390000000000001</v>
      </c>
      <c r="AU723" t="s">
        <v>65</v>
      </c>
      <c r="AV723">
        <v>52</v>
      </c>
      <c r="AW723">
        <v>8</v>
      </c>
      <c r="AX723" t="s">
        <v>2093</v>
      </c>
      <c r="AY723" t="s">
        <v>2094</v>
      </c>
      <c r="AZ723" t="s">
        <v>2095</v>
      </c>
      <c r="BA723">
        <v>4.0629999999999999E-2</v>
      </c>
      <c r="BB723">
        <v>1</v>
      </c>
      <c r="BC723" t="s">
        <v>69</v>
      </c>
      <c r="BD723">
        <v>-0.76300000000000001</v>
      </c>
      <c r="BE723">
        <v>-0.76300000000000001</v>
      </c>
    </row>
    <row r="724" spans="1:57">
      <c r="A724">
        <v>0</v>
      </c>
      <c r="B724">
        <v>0</v>
      </c>
      <c r="C724">
        <v>0</v>
      </c>
      <c r="D724">
        <v>1555</v>
      </c>
      <c r="E724" t="s">
        <v>2096</v>
      </c>
      <c r="F724" t="s">
        <v>5762</v>
      </c>
      <c r="G724" t="s">
        <v>57</v>
      </c>
      <c r="H724">
        <v>1565849</v>
      </c>
      <c r="I724">
        <v>1566292</v>
      </c>
      <c r="J724" t="s">
        <v>2097</v>
      </c>
      <c r="K724">
        <v>148</v>
      </c>
      <c r="L724" t="s">
        <v>83</v>
      </c>
      <c r="M724">
        <v>4</v>
      </c>
      <c r="N724" t="str">
        <f>HYPERLINK("Gene1555-zp_tree_all.dnd", "Gene1555-tree")</f>
        <v>Gene1555-tree</v>
      </c>
      <c r="O724">
        <v>2</v>
      </c>
      <c r="P724">
        <v>2</v>
      </c>
      <c r="Q724">
        <v>2</v>
      </c>
      <c r="R724">
        <v>2</v>
      </c>
      <c r="S724">
        <v>0.5</v>
      </c>
      <c r="T724" t="s">
        <v>135</v>
      </c>
      <c r="U724" t="s">
        <v>135</v>
      </c>
      <c r="V724" t="s">
        <v>62</v>
      </c>
      <c r="W724" t="s">
        <v>62</v>
      </c>
      <c r="X724">
        <v>0</v>
      </c>
      <c r="Y724">
        <v>0</v>
      </c>
      <c r="Z724">
        <v>2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2</v>
      </c>
      <c r="AK724">
        <v>0</v>
      </c>
      <c r="AL724">
        <v>4</v>
      </c>
      <c r="AM724">
        <v>1</v>
      </c>
      <c r="AN724">
        <v>23</v>
      </c>
      <c r="AO724">
        <v>2</v>
      </c>
      <c r="AP724">
        <v>1</v>
      </c>
      <c r="AQ724">
        <v>0</v>
      </c>
      <c r="AR724" t="s">
        <v>2098</v>
      </c>
      <c r="AS724" t="s">
        <v>64</v>
      </c>
      <c r="AT724">
        <v>0.76</v>
      </c>
      <c r="AU724" t="s">
        <v>65</v>
      </c>
      <c r="AV724">
        <v>24</v>
      </c>
      <c r="AW724">
        <v>2</v>
      </c>
      <c r="AX724" t="s">
        <v>2099</v>
      </c>
      <c r="AY724" t="s">
        <v>2100</v>
      </c>
      <c r="AZ724" t="s">
        <v>2101</v>
      </c>
      <c r="BA724">
        <v>2.164E-2</v>
      </c>
      <c r="BB724">
        <v>1</v>
      </c>
      <c r="BC724" t="s">
        <v>69</v>
      </c>
      <c r="BD724">
        <v>-0.60699999999999998</v>
      </c>
      <c r="BE724">
        <v>-0.60699999999999998</v>
      </c>
    </row>
    <row r="725" spans="1:57">
      <c r="A725">
        <v>0</v>
      </c>
      <c r="B725">
        <v>2</v>
      </c>
      <c r="C725">
        <v>0</v>
      </c>
      <c r="D725">
        <v>1557</v>
      </c>
      <c r="E725" t="s">
        <v>2102</v>
      </c>
      <c r="F725" t="s">
        <v>5762</v>
      </c>
      <c r="G725" t="s">
        <v>57</v>
      </c>
      <c r="H725">
        <v>1567651</v>
      </c>
      <c r="I725">
        <v>1568046</v>
      </c>
      <c r="J725" t="s">
        <v>2103</v>
      </c>
      <c r="K725">
        <v>132</v>
      </c>
      <c r="L725" t="s">
        <v>59</v>
      </c>
      <c r="M725">
        <v>5</v>
      </c>
      <c r="N725" t="str">
        <f>HYPERLINK("Gene1557-zp_tree_all.dnd", "Gene1557-tree")</f>
        <v>Gene1557-tree</v>
      </c>
      <c r="O725">
        <v>1</v>
      </c>
      <c r="P725">
        <v>4</v>
      </c>
      <c r="Q725">
        <v>1</v>
      </c>
      <c r="R725">
        <v>4</v>
      </c>
      <c r="S725">
        <v>0.8</v>
      </c>
      <c r="T725" t="s">
        <v>61</v>
      </c>
      <c r="U725" t="s">
        <v>60</v>
      </c>
      <c r="V725" t="s">
        <v>62</v>
      </c>
      <c r="W725" t="s">
        <v>62</v>
      </c>
      <c r="X725">
        <v>1</v>
      </c>
      <c r="Y725">
        <v>2</v>
      </c>
      <c r="Z725">
        <v>5</v>
      </c>
      <c r="AA725">
        <v>0.28571000000000002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2</v>
      </c>
      <c r="AH725">
        <v>0</v>
      </c>
      <c r="AI725">
        <v>2</v>
      </c>
      <c r="AJ725">
        <v>3</v>
      </c>
      <c r="AK725">
        <v>0.4</v>
      </c>
      <c r="AL725">
        <v>5</v>
      </c>
      <c r="AM725">
        <v>2</v>
      </c>
      <c r="AN725">
        <v>6</v>
      </c>
      <c r="AO725">
        <v>5</v>
      </c>
      <c r="AP725">
        <v>9</v>
      </c>
      <c r="AQ725">
        <v>3</v>
      </c>
      <c r="AR725" t="s">
        <v>2104</v>
      </c>
      <c r="AS725" t="s">
        <v>2105</v>
      </c>
      <c r="AT725">
        <v>1.0980000000000001</v>
      </c>
      <c r="AU725" t="s">
        <v>65</v>
      </c>
      <c r="AV725">
        <v>15</v>
      </c>
      <c r="AW725">
        <v>8</v>
      </c>
      <c r="AX725" t="s">
        <v>2106</v>
      </c>
      <c r="AY725" t="s">
        <v>2107</v>
      </c>
      <c r="AZ725" t="s">
        <v>2108</v>
      </c>
      <c r="BA725">
        <v>0.11953999999999999</v>
      </c>
      <c r="BB725">
        <v>1</v>
      </c>
      <c r="BC725" t="s">
        <v>69</v>
      </c>
      <c r="BD725">
        <v>1.036</v>
      </c>
      <c r="BE725">
        <v>0.22700000000000001</v>
      </c>
    </row>
    <row r="726" spans="1:57">
      <c r="A726">
        <v>0</v>
      </c>
      <c r="B726">
        <v>0</v>
      </c>
      <c r="C726">
        <v>0</v>
      </c>
      <c r="D726">
        <v>1558</v>
      </c>
      <c r="E726" t="s">
        <v>2109</v>
      </c>
      <c r="F726" t="s">
        <v>5762</v>
      </c>
      <c r="G726" t="s">
        <v>57</v>
      </c>
      <c r="H726">
        <v>1568065</v>
      </c>
      <c r="I726">
        <v>1568301</v>
      </c>
      <c r="J726" t="s">
        <v>170</v>
      </c>
      <c r="K726">
        <v>79</v>
      </c>
      <c r="L726" t="s">
        <v>59</v>
      </c>
      <c r="M726">
        <v>5</v>
      </c>
      <c r="N726" t="str">
        <f>HYPERLINK("Gene1558-zp_tree_all.dnd", "Gene1558-tree")</f>
        <v>Gene1558-tree</v>
      </c>
      <c r="O726">
        <v>0</v>
      </c>
      <c r="P726">
        <v>4</v>
      </c>
      <c r="Q726">
        <v>0</v>
      </c>
      <c r="R726">
        <v>4</v>
      </c>
      <c r="S726">
        <v>1</v>
      </c>
      <c r="T726" t="s">
        <v>62</v>
      </c>
      <c r="U726" t="s">
        <v>60</v>
      </c>
      <c r="V726" t="s">
        <v>62</v>
      </c>
      <c r="W726" t="s">
        <v>62</v>
      </c>
      <c r="X726">
        <v>0</v>
      </c>
      <c r="Y726">
        <v>0</v>
      </c>
      <c r="Z726">
        <v>4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4</v>
      </c>
      <c r="AK726">
        <v>0</v>
      </c>
      <c r="AL726">
        <v>2</v>
      </c>
      <c r="AM726">
        <v>1</v>
      </c>
      <c r="AN726">
        <v>1</v>
      </c>
      <c r="AO726">
        <v>3</v>
      </c>
      <c r="AP726">
        <v>8</v>
      </c>
      <c r="AQ726">
        <v>1</v>
      </c>
      <c r="AR726" t="s">
        <v>2110</v>
      </c>
      <c r="AS726" t="s">
        <v>2111</v>
      </c>
      <c r="AT726">
        <v>1.2250000000000001</v>
      </c>
      <c r="AU726" t="s">
        <v>65</v>
      </c>
      <c r="AV726">
        <v>9</v>
      </c>
      <c r="AW726">
        <v>4</v>
      </c>
      <c r="AX726" t="s">
        <v>2112</v>
      </c>
      <c r="AY726" t="s">
        <v>2113</v>
      </c>
      <c r="AZ726" t="s">
        <v>2114</v>
      </c>
      <c r="BA726">
        <v>7.4130000000000001E-2</v>
      </c>
      <c r="BB726">
        <v>1</v>
      </c>
      <c r="BC726" t="s">
        <v>69</v>
      </c>
      <c r="BD726">
        <v>0.88500000000000001</v>
      </c>
      <c r="BE726">
        <v>0.88500000000000001</v>
      </c>
    </row>
    <row r="727" spans="1:57">
      <c r="A727">
        <v>0</v>
      </c>
      <c r="B727">
        <v>0</v>
      </c>
      <c r="C727">
        <v>0</v>
      </c>
      <c r="D727">
        <v>1559</v>
      </c>
      <c r="E727" t="s">
        <v>2115</v>
      </c>
      <c r="F727" t="s">
        <v>5762</v>
      </c>
      <c r="G727" t="s">
        <v>57</v>
      </c>
      <c r="H727">
        <v>1568420</v>
      </c>
      <c r="I727">
        <v>1568866</v>
      </c>
      <c r="J727" t="s">
        <v>2116</v>
      </c>
      <c r="K727">
        <v>149</v>
      </c>
      <c r="L727" t="s">
        <v>59</v>
      </c>
      <c r="M727">
        <v>5</v>
      </c>
      <c r="N727" t="str">
        <f>HYPERLINK("Gene1559-zp_tree_all.dnd", "Gene1559-tree")</f>
        <v>Gene1559-tree</v>
      </c>
      <c r="O727">
        <v>5</v>
      </c>
      <c r="P727">
        <v>0</v>
      </c>
      <c r="Q727">
        <v>5</v>
      </c>
      <c r="R727">
        <v>0</v>
      </c>
      <c r="S727">
        <v>0</v>
      </c>
      <c r="T727" t="s">
        <v>98</v>
      </c>
      <c r="U727" t="s">
        <v>62</v>
      </c>
      <c r="V727" t="s">
        <v>62</v>
      </c>
      <c r="W727" t="s">
        <v>62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3</v>
      </c>
      <c r="AM727">
        <v>2</v>
      </c>
      <c r="AN727">
        <v>6</v>
      </c>
      <c r="AO727">
        <v>0</v>
      </c>
      <c r="AP727">
        <v>9</v>
      </c>
      <c r="AQ727">
        <v>0</v>
      </c>
      <c r="AR727" t="s">
        <v>64</v>
      </c>
      <c r="AS727" t="s">
        <v>64</v>
      </c>
      <c r="AT727">
        <v>0</v>
      </c>
      <c r="AU727" t="s">
        <v>65</v>
      </c>
      <c r="AV727">
        <v>15</v>
      </c>
      <c r="AW727">
        <v>0</v>
      </c>
      <c r="AX727" t="s">
        <v>2117</v>
      </c>
      <c r="AY727" t="s">
        <v>2118</v>
      </c>
      <c r="AZ727" t="s">
        <v>64</v>
      </c>
      <c r="BA727">
        <v>0</v>
      </c>
      <c r="BB727">
        <v>1</v>
      </c>
      <c r="BC727" t="s">
        <v>69</v>
      </c>
      <c r="BD727">
        <v>0.60899999999999999</v>
      </c>
      <c r="BE727">
        <v>0.60899999999999999</v>
      </c>
    </row>
    <row r="728" spans="1:57">
      <c r="A728">
        <v>0</v>
      </c>
      <c r="B728">
        <v>0</v>
      </c>
      <c r="C728">
        <v>0</v>
      </c>
      <c r="D728">
        <v>1560</v>
      </c>
      <c r="E728" t="s">
        <v>2119</v>
      </c>
      <c r="F728" t="s">
        <v>5762</v>
      </c>
      <c r="G728" t="s">
        <v>57</v>
      </c>
      <c r="H728">
        <v>1568924</v>
      </c>
      <c r="I728">
        <v>1569193</v>
      </c>
      <c r="J728" t="s">
        <v>170</v>
      </c>
      <c r="K728">
        <v>90</v>
      </c>
      <c r="L728" t="s">
        <v>59</v>
      </c>
      <c r="M728">
        <v>5</v>
      </c>
      <c r="N728" t="str">
        <f>HYPERLINK("Gene1560-zp_tree_all.dnd", "Gene1560-tree")</f>
        <v>Gene1560-tree</v>
      </c>
      <c r="O728">
        <v>2</v>
      </c>
      <c r="P728">
        <v>2</v>
      </c>
      <c r="Q728">
        <v>2</v>
      </c>
      <c r="R728">
        <v>2</v>
      </c>
      <c r="S728">
        <v>0.5</v>
      </c>
      <c r="T728" t="s">
        <v>135</v>
      </c>
      <c r="U728" t="s">
        <v>135</v>
      </c>
      <c r="V728" t="s">
        <v>62</v>
      </c>
      <c r="W728" t="s">
        <v>62</v>
      </c>
      <c r="X728">
        <v>0</v>
      </c>
      <c r="Y728">
        <v>0</v>
      </c>
      <c r="Z728">
        <v>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2</v>
      </c>
      <c r="AK728">
        <v>0</v>
      </c>
      <c r="AL728">
        <v>3</v>
      </c>
      <c r="AM728">
        <v>1</v>
      </c>
      <c r="AN728">
        <v>11</v>
      </c>
      <c r="AO728">
        <v>2</v>
      </c>
      <c r="AP728">
        <v>1</v>
      </c>
      <c r="AQ728">
        <v>0</v>
      </c>
      <c r="AR728" t="s">
        <v>2120</v>
      </c>
      <c r="AS728" t="s">
        <v>64</v>
      </c>
      <c r="AT728">
        <v>1.0669999999999999</v>
      </c>
      <c r="AU728" t="s">
        <v>65</v>
      </c>
      <c r="AV728">
        <v>12</v>
      </c>
      <c r="AW728">
        <v>2</v>
      </c>
      <c r="AX728" t="s">
        <v>2121</v>
      </c>
      <c r="AY728" t="s">
        <v>2122</v>
      </c>
      <c r="AZ728" t="s">
        <v>2123</v>
      </c>
      <c r="BA728">
        <v>3.9570000000000001E-2</v>
      </c>
      <c r="BB728">
        <v>1</v>
      </c>
      <c r="BC728" t="s">
        <v>69</v>
      </c>
      <c r="BD728">
        <v>1.171</v>
      </c>
      <c r="BE728">
        <v>1.171</v>
      </c>
    </row>
    <row r="729" spans="1:57">
      <c r="A729">
        <v>0</v>
      </c>
      <c r="B729">
        <v>2</v>
      </c>
      <c r="C729">
        <v>2</v>
      </c>
      <c r="D729">
        <v>1561</v>
      </c>
      <c r="E729" t="s">
        <v>2124</v>
      </c>
      <c r="F729" t="s">
        <v>5762</v>
      </c>
      <c r="G729" t="s">
        <v>57</v>
      </c>
      <c r="H729">
        <v>1569519</v>
      </c>
      <c r="I729">
        <v>1570070</v>
      </c>
      <c r="J729" t="s">
        <v>2125</v>
      </c>
      <c r="K729">
        <v>184</v>
      </c>
      <c r="L729" t="s">
        <v>59</v>
      </c>
      <c r="M729">
        <v>5</v>
      </c>
      <c r="N729" t="str">
        <f>HYPERLINK("Gene1561-zp_tree_all.dnd", "Gene1561-tree")</f>
        <v>Gene1561-tree</v>
      </c>
      <c r="O729">
        <v>0</v>
      </c>
      <c r="P729">
        <v>5</v>
      </c>
      <c r="Q729">
        <v>0</v>
      </c>
      <c r="R729">
        <v>5</v>
      </c>
      <c r="S729">
        <v>1</v>
      </c>
      <c r="T729" t="s">
        <v>62</v>
      </c>
      <c r="U729" t="s">
        <v>98</v>
      </c>
      <c r="V729" t="s">
        <v>62</v>
      </c>
      <c r="W729" t="s">
        <v>62</v>
      </c>
      <c r="X729">
        <v>2</v>
      </c>
      <c r="Y729">
        <v>4</v>
      </c>
      <c r="Z729">
        <v>8</v>
      </c>
      <c r="AA729">
        <v>0.33333000000000002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2</v>
      </c>
      <c r="AH729">
        <v>2</v>
      </c>
      <c r="AI729">
        <v>4</v>
      </c>
      <c r="AJ729">
        <v>8</v>
      </c>
      <c r="AK729">
        <v>0.33333000000000002</v>
      </c>
      <c r="AL729">
        <v>5</v>
      </c>
      <c r="AM729">
        <v>2</v>
      </c>
      <c r="AN729">
        <v>16</v>
      </c>
      <c r="AO729">
        <v>12</v>
      </c>
      <c r="AP729">
        <v>17</v>
      </c>
      <c r="AQ729">
        <v>1</v>
      </c>
      <c r="AR729" t="s">
        <v>2126</v>
      </c>
      <c r="AS729" t="s">
        <v>2127</v>
      </c>
      <c r="AT729">
        <v>3.0710000000000002</v>
      </c>
      <c r="AU729" t="s">
        <v>286</v>
      </c>
      <c r="AV729">
        <v>33</v>
      </c>
      <c r="AW729">
        <v>13</v>
      </c>
      <c r="AX729" t="s">
        <v>2128</v>
      </c>
      <c r="AY729" t="s">
        <v>2129</v>
      </c>
      <c r="AZ729" t="s">
        <v>2130</v>
      </c>
      <c r="BA729">
        <v>9.2259999999999995E-2</v>
      </c>
      <c r="BB729">
        <v>1</v>
      </c>
      <c r="BC729" t="s">
        <v>69</v>
      </c>
      <c r="BD729">
        <v>0.46600000000000003</v>
      </c>
      <c r="BE729">
        <v>-0.107</v>
      </c>
    </row>
    <row r="730" spans="1:57">
      <c r="A730">
        <v>0</v>
      </c>
      <c r="B730">
        <v>0</v>
      </c>
      <c r="C730">
        <v>0</v>
      </c>
      <c r="D730">
        <v>1562</v>
      </c>
      <c r="E730" t="s">
        <v>2131</v>
      </c>
      <c r="F730" t="s">
        <v>5762</v>
      </c>
      <c r="G730" t="s">
        <v>57</v>
      </c>
      <c r="H730">
        <v>1570078</v>
      </c>
      <c r="I730">
        <v>1570560</v>
      </c>
      <c r="J730" t="s">
        <v>2132</v>
      </c>
      <c r="K730">
        <v>161</v>
      </c>
      <c r="L730" t="s">
        <v>112</v>
      </c>
      <c r="M730">
        <v>4</v>
      </c>
      <c r="N730" t="str">
        <f>HYPERLINK("Gene1562-zp_tree_all.dnd", "Gene1562-tree")</f>
        <v>Gene1562-tree</v>
      </c>
      <c r="O730">
        <v>3</v>
      </c>
      <c r="P730">
        <v>1</v>
      </c>
      <c r="Q730">
        <v>3</v>
      </c>
      <c r="R730">
        <v>1</v>
      </c>
      <c r="S730">
        <v>0.25</v>
      </c>
      <c r="T730" t="s">
        <v>84</v>
      </c>
      <c r="U730" t="s">
        <v>61</v>
      </c>
      <c r="V730" t="s">
        <v>62</v>
      </c>
      <c r="W730" t="s">
        <v>62</v>
      </c>
      <c r="X730">
        <v>0</v>
      </c>
      <c r="Y730">
        <v>0</v>
      </c>
      <c r="Z730">
        <v>2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2</v>
      </c>
      <c r="AK730">
        <v>0</v>
      </c>
      <c r="AL730">
        <v>4</v>
      </c>
      <c r="AM730">
        <v>1</v>
      </c>
      <c r="AN730">
        <v>23</v>
      </c>
      <c r="AO730">
        <v>2</v>
      </c>
      <c r="AP730">
        <v>2</v>
      </c>
      <c r="AQ730">
        <v>0</v>
      </c>
      <c r="AR730" t="s">
        <v>2133</v>
      </c>
      <c r="AS730" t="s">
        <v>64</v>
      </c>
      <c r="AT730">
        <v>0.505</v>
      </c>
      <c r="AU730" t="s">
        <v>65</v>
      </c>
      <c r="AV730">
        <v>25</v>
      </c>
      <c r="AW730">
        <v>2</v>
      </c>
      <c r="AX730" t="s">
        <v>2134</v>
      </c>
      <c r="AY730" t="s">
        <v>2135</v>
      </c>
      <c r="AZ730" t="s">
        <v>2136</v>
      </c>
      <c r="BA730">
        <v>2.1329999999999998E-2</v>
      </c>
      <c r="BB730">
        <v>1</v>
      </c>
      <c r="BC730" t="s">
        <v>69</v>
      </c>
      <c r="BD730">
        <v>-0.375</v>
      </c>
      <c r="BE730">
        <v>-0.73799999999999999</v>
      </c>
    </row>
    <row r="731" spans="1:57">
      <c r="A731">
        <v>0</v>
      </c>
      <c r="B731">
        <v>2</v>
      </c>
      <c r="C731">
        <v>0</v>
      </c>
      <c r="D731">
        <v>1565</v>
      </c>
      <c r="E731" t="s">
        <v>2137</v>
      </c>
      <c r="F731" t="s">
        <v>5762</v>
      </c>
      <c r="G731" t="s">
        <v>57</v>
      </c>
      <c r="H731">
        <v>1572765</v>
      </c>
      <c r="I731">
        <v>1573787</v>
      </c>
      <c r="J731" t="s">
        <v>2138</v>
      </c>
      <c r="K731">
        <v>341</v>
      </c>
      <c r="L731" t="s">
        <v>59</v>
      </c>
      <c r="M731">
        <v>5</v>
      </c>
      <c r="N731" t="str">
        <f>HYPERLINK("Gene1565-zp_tree_all.dnd", "Gene1565-tree")</f>
        <v>Gene1565-tree</v>
      </c>
      <c r="O731">
        <v>2</v>
      </c>
      <c r="P731">
        <v>3</v>
      </c>
      <c r="Q731">
        <v>2</v>
      </c>
      <c r="R731">
        <v>3</v>
      </c>
      <c r="S731">
        <v>0.6</v>
      </c>
      <c r="T731" t="s">
        <v>135</v>
      </c>
      <c r="U731" t="s">
        <v>84</v>
      </c>
      <c r="V731" t="s">
        <v>62</v>
      </c>
      <c r="W731" t="s">
        <v>62</v>
      </c>
      <c r="X731">
        <v>1</v>
      </c>
      <c r="Y731">
        <v>2</v>
      </c>
      <c r="Z731">
        <v>8</v>
      </c>
      <c r="AA731">
        <v>0.2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2</v>
      </c>
      <c r="AH731">
        <v>0</v>
      </c>
      <c r="AI731">
        <v>2</v>
      </c>
      <c r="AJ731">
        <v>3</v>
      </c>
      <c r="AK731">
        <v>0.4</v>
      </c>
      <c r="AL731">
        <v>5</v>
      </c>
      <c r="AM731">
        <v>2</v>
      </c>
      <c r="AN731">
        <v>29</v>
      </c>
      <c r="AO731">
        <v>5</v>
      </c>
      <c r="AP731">
        <v>28</v>
      </c>
      <c r="AQ731">
        <v>5</v>
      </c>
      <c r="AR731" t="s">
        <v>2139</v>
      </c>
      <c r="AS731" t="s">
        <v>2140</v>
      </c>
      <c r="AT731">
        <v>1.2E-2</v>
      </c>
      <c r="AU731" t="s">
        <v>65</v>
      </c>
      <c r="AV731">
        <v>57</v>
      </c>
      <c r="AW731">
        <v>10</v>
      </c>
      <c r="AX731" t="s">
        <v>2141</v>
      </c>
      <c r="AY731" t="s">
        <v>2142</v>
      </c>
      <c r="AZ731" t="s">
        <v>2143</v>
      </c>
      <c r="BA731">
        <v>4.4929999999999998E-2</v>
      </c>
      <c r="BB731">
        <v>1</v>
      </c>
      <c r="BC731" t="s">
        <v>69</v>
      </c>
      <c r="BD731">
        <v>0.62</v>
      </c>
      <c r="BE731">
        <v>0.62</v>
      </c>
    </row>
    <row r="732" spans="1:57">
      <c r="A732">
        <v>0</v>
      </c>
      <c r="B732">
        <v>0</v>
      </c>
      <c r="C732">
        <v>0</v>
      </c>
      <c r="D732">
        <v>1568</v>
      </c>
      <c r="E732" t="s">
        <v>2150</v>
      </c>
      <c r="F732" t="s">
        <v>5762</v>
      </c>
      <c r="G732" t="s">
        <v>57</v>
      </c>
      <c r="H732">
        <v>1575264</v>
      </c>
      <c r="I732">
        <v>1575779</v>
      </c>
      <c r="J732" t="s">
        <v>170</v>
      </c>
      <c r="K732">
        <v>172</v>
      </c>
      <c r="L732" t="s">
        <v>59</v>
      </c>
      <c r="M732">
        <v>5</v>
      </c>
      <c r="N732" t="str">
        <f>HYPERLINK("Gene1568-zp_tree_all.dnd", "Gene1568-tree")</f>
        <v>Gene1568-tree</v>
      </c>
      <c r="O732">
        <v>2</v>
      </c>
      <c r="P732">
        <v>3</v>
      </c>
      <c r="Q732">
        <v>2</v>
      </c>
      <c r="R732">
        <v>3</v>
      </c>
      <c r="S732">
        <v>0.6</v>
      </c>
      <c r="T732" t="s">
        <v>135</v>
      </c>
      <c r="U732" t="s">
        <v>84</v>
      </c>
      <c r="V732" t="s">
        <v>62</v>
      </c>
      <c r="W732" t="s">
        <v>62</v>
      </c>
      <c r="X732">
        <v>0</v>
      </c>
      <c r="Y732">
        <v>0</v>
      </c>
      <c r="Z732">
        <v>5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4</v>
      </c>
      <c r="AK732">
        <v>0</v>
      </c>
      <c r="AL732">
        <v>5</v>
      </c>
      <c r="AM732">
        <v>2</v>
      </c>
      <c r="AN732">
        <v>3</v>
      </c>
      <c r="AO732">
        <v>4</v>
      </c>
      <c r="AP732">
        <v>6</v>
      </c>
      <c r="AQ732">
        <v>1</v>
      </c>
      <c r="AR732" t="s">
        <v>2151</v>
      </c>
      <c r="AS732" t="s">
        <v>2152</v>
      </c>
      <c r="AT732">
        <v>0.73499999999999999</v>
      </c>
      <c r="AU732" t="s">
        <v>65</v>
      </c>
      <c r="AV732">
        <v>9</v>
      </c>
      <c r="AW732">
        <v>5</v>
      </c>
      <c r="AX732" t="s">
        <v>2153</v>
      </c>
      <c r="AY732" t="s">
        <v>2154</v>
      </c>
      <c r="AZ732" t="s">
        <v>2155</v>
      </c>
      <c r="BA732">
        <v>0.11971</v>
      </c>
      <c r="BB732">
        <v>1</v>
      </c>
      <c r="BC732" t="s">
        <v>69</v>
      </c>
      <c r="BD732">
        <v>0.65200000000000002</v>
      </c>
      <c r="BE732">
        <v>0.186</v>
      </c>
    </row>
    <row r="733" spans="1:57">
      <c r="A733">
        <v>0</v>
      </c>
      <c r="B733">
        <v>0</v>
      </c>
      <c r="C733">
        <v>0</v>
      </c>
      <c r="D733">
        <v>1569</v>
      </c>
      <c r="E733" t="s">
        <v>2156</v>
      </c>
      <c r="F733" t="s">
        <v>5762</v>
      </c>
      <c r="G733" t="s">
        <v>57</v>
      </c>
      <c r="H733">
        <v>1575804</v>
      </c>
      <c r="I733">
        <v>1575980</v>
      </c>
      <c r="J733" t="s">
        <v>2157</v>
      </c>
      <c r="K733">
        <v>59</v>
      </c>
      <c r="L733" t="s">
        <v>59</v>
      </c>
      <c r="M733">
        <v>5</v>
      </c>
      <c r="N733" t="str">
        <f>HYPERLINK("Gene1569-zp_tree_all.dnd", "Gene1569-tree")</f>
        <v>Gene1569-tree</v>
      </c>
    </row>
    <row r="734" spans="1:57">
      <c r="A734">
        <v>0</v>
      </c>
      <c r="B734">
        <v>0</v>
      </c>
      <c r="C734">
        <v>0</v>
      </c>
      <c r="D734">
        <v>1570</v>
      </c>
      <c r="E734" t="s">
        <v>2158</v>
      </c>
      <c r="F734" t="s">
        <v>5762</v>
      </c>
      <c r="G734" t="s">
        <v>57</v>
      </c>
      <c r="H734">
        <v>1576129</v>
      </c>
      <c r="I734">
        <v>1576707</v>
      </c>
      <c r="J734" t="s">
        <v>2159</v>
      </c>
      <c r="K734">
        <v>193</v>
      </c>
      <c r="L734" t="s">
        <v>59</v>
      </c>
      <c r="M734">
        <v>5</v>
      </c>
      <c r="N734" t="str">
        <f>HYPERLINK("Gene1570-zp_tree_all.dnd", "Gene1570-tree")</f>
        <v>Gene1570-tree</v>
      </c>
      <c r="O734">
        <v>0</v>
      </c>
      <c r="P734">
        <v>5</v>
      </c>
      <c r="Q734">
        <v>0</v>
      </c>
      <c r="R734">
        <v>5</v>
      </c>
      <c r="S734">
        <v>1</v>
      </c>
      <c r="T734" t="s">
        <v>62</v>
      </c>
      <c r="U734" t="s">
        <v>98</v>
      </c>
      <c r="V734" t="s">
        <v>62</v>
      </c>
      <c r="W734" t="s">
        <v>62</v>
      </c>
      <c r="X734">
        <v>0</v>
      </c>
      <c r="Y734">
        <v>0</v>
      </c>
      <c r="Z734">
        <v>9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6</v>
      </c>
      <c r="AK734">
        <v>0</v>
      </c>
      <c r="AL734">
        <v>5</v>
      </c>
      <c r="AM734">
        <v>2</v>
      </c>
      <c r="AN734">
        <v>10</v>
      </c>
      <c r="AO734">
        <v>6</v>
      </c>
      <c r="AP734">
        <v>15</v>
      </c>
      <c r="AQ734">
        <v>3</v>
      </c>
      <c r="AR734" t="s">
        <v>2160</v>
      </c>
      <c r="AS734" t="s">
        <v>2161</v>
      </c>
      <c r="AT734">
        <v>1.6259999999999999</v>
      </c>
      <c r="AU734" t="s">
        <v>65</v>
      </c>
      <c r="AV734">
        <v>25</v>
      </c>
      <c r="AW734">
        <v>9</v>
      </c>
      <c r="AX734" t="s">
        <v>2162</v>
      </c>
      <c r="AY734" t="s">
        <v>2163</v>
      </c>
      <c r="AZ734" t="s">
        <v>2164</v>
      </c>
      <c r="BA734">
        <v>8.8099999999999998E-2</v>
      </c>
      <c r="BB734">
        <v>1</v>
      </c>
      <c r="BC734" t="s">
        <v>69</v>
      </c>
      <c r="BD734">
        <v>0.71399999999999997</v>
      </c>
      <c r="BE734">
        <v>0.26100000000000001</v>
      </c>
    </row>
    <row r="735" spans="1:57">
      <c r="A735">
        <v>0</v>
      </c>
      <c r="B735">
        <v>0</v>
      </c>
      <c r="C735">
        <v>0</v>
      </c>
      <c r="D735">
        <v>1574</v>
      </c>
      <c r="E735" t="s">
        <v>2165</v>
      </c>
      <c r="F735" t="s">
        <v>5762</v>
      </c>
      <c r="G735" t="s">
        <v>57</v>
      </c>
      <c r="H735">
        <v>1580121</v>
      </c>
      <c r="I735">
        <v>1580549</v>
      </c>
      <c r="J735" t="s">
        <v>2166</v>
      </c>
      <c r="K735">
        <v>143</v>
      </c>
      <c r="L735" t="s">
        <v>59</v>
      </c>
      <c r="M735">
        <v>5</v>
      </c>
      <c r="N735" t="str">
        <f>HYPERLINK("Gene1574-zp_tree_all.dnd", "Gene1574-tree")</f>
        <v>Gene1574-tree</v>
      </c>
      <c r="O735">
        <v>5</v>
      </c>
      <c r="P735">
        <v>0</v>
      </c>
      <c r="Q735">
        <v>5</v>
      </c>
      <c r="R735">
        <v>0</v>
      </c>
      <c r="S735">
        <v>0</v>
      </c>
      <c r="T735" t="s">
        <v>98</v>
      </c>
      <c r="U735" t="s">
        <v>62</v>
      </c>
      <c r="V735" t="s">
        <v>62</v>
      </c>
      <c r="W735" t="s">
        <v>62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5</v>
      </c>
      <c r="AM735">
        <v>1</v>
      </c>
      <c r="AN735">
        <v>10</v>
      </c>
      <c r="AO735">
        <v>0</v>
      </c>
      <c r="AP735">
        <v>6</v>
      </c>
      <c r="AQ735">
        <v>0</v>
      </c>
      <c r="AR735" t="s">
        <v>64</v>
      </c>
      <c r="AS735" t="s">
        <v>64</v>
      </c>
      <c r="AT735">
        <v>0</v>
      </c>
      <c r="AU735" t="s">
        <v>65</v>
      </c>
      <c r="AV735">
        <v>16</v>
      </c>
      <c r="AW735">
        <v>0</v>
      </c>
      <c r="AX735" t="s">
        <v>2167</v>
      </c>
      <c r="AY735" t="s">
        <v>2168</v>
      </c>
      <c r="AZ735" t="s">
        <v>64</v>
      </c>
      <c r="BA735">
        <v>0</v>
      </c>
      <c r="BB735">
        <v>1</v>
      </c>
      <c r="BC735" t="s">
        <v>69</v>
      </c>
      <c r="BD735">
        <v>0.10199999999999999</v>
      </c>
      <c r="BE735">
        <v>-0.40600000000000003</v>
      </c>
    </row>
    <row r="736" spans="1:57">
      <c r="A736">
        <v>0</v>
      </c>
      <c r="B736">
        <v>0</v>
      </c>
      <c r="C736">
        <v>0</v>
      </c>
      <c r="D736">
        <v>1575</v>
      </c>
      <c r="E736" t="s">
        <v>2169</v>
      </c>
      <c r="F736" t="s">
        <v>5762</v>
      </c>
      <c r="G736" t="s">
        <v>57</v>
      </c>
      <c r="H736">
        <v>1580622</v>
      </c>
      <c r="I736">
        <v>1581554</v>
      </c>
      <c r="J736" t="s">
        <v>2170</v>
      </c>
      <c r="K736">
        <v>311</v>
      </c>
      <c r="L736" t="s">
        <v>83</v>
      </c>
      <c r="M736">
        <v>4</v>
      </c>
      <c r="N736" t="str">
        <f>HYPERLINK("Gene1575-zp_tree_all.dnd", "Gene1575-tree")</f>
        <v>Gene1575-tree</v>
      </c>
      <c r="O736">
        <v>1</v>
      </c>
      <c r="P736">
        <v>3</v>
      </c>
      <c r="Q736">
        <v>1</v>
      </c>
      <c r="R736">
        <v>3</v>
      </c>
      <c r="S736">
        <v>0.75</v>
      </c>
      <c r="T736" t="s">
        <v>61</v>
      </c>
      <c r="U736" t="s">
        <v>84</v>
      </c>
      <c r="V736" t="s">
        <v>62</v>
      </c>
      <c r="W736" t="s">
        <v>62</v>
      </c>
      <c r="X736">
        <v>0</v>
      </c>
      <c r="Y736">
        <v>0</v>
      </c>
      <c r="Z736">
        <v>9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8</v>
      </c>
      <c r="AK736">
        <v>0</v>
      </c>
      <c r="AL736">
        <v>4</v>
      </c>
      <c r="AM736">
        <v>1</v>
      </c>
      <c r="AN736">
        <v>39</v>
      </c>
      <c r="AO736">
        <v>8</v>
      </c>
      <c r="AP736">
        <v>2</v>
      </c>
      <c r="AQ736">
        <v>1</v>
      </c>
      <c r="AR736" t="s">
        <v>2171</v>
      </c>
      <c r="AS736" t="s">
        <v>2172</v>
      </c>
      <c r="AT736">
        <v>1.022</v>
      </c>
      <c r="AU736" t="s">
        <v>65</v>
      </c>
      <c r="AV736">
        <v>41</v>
      </c>
      <c r="AW736">
        <v>9</v>
      </c>
      <c r="AX736" t="s">
        <v>2173</v>
      </c>
      <c r="AY736" t="s">
        <v>2174</v>
      </c>
      <c r="AZ736" t="s">
        <v>2175</v>
      </c>
      <c r="BA736">
        <v>5.9339999999999997E-2</v>
      </c>
      <c r="BB736">
        <v>1</v>
      </c>
      <c r="BC736" t="s">
        <v>69</v>
      </c>
      <c r="BD736">
        <v>-0.40300000000000002</v>
      </c>
      <c r="BE736">
        <v>-0.80100000000000005</v>
      </c>
    </row>
    <row r="737" spans="1:57">
      <c r="A737">
        <v>0</v>
      </c>
      <c r="B737">
        <v>0</v>
      </c>
      <c r="C737">
        <v>0</v>
      </c>
      <c r="D737">
        <v>1576</v>
      </c>
      <c r="E737" t="s">
        <v>2176</v>
      </c>
      <c r="F737" t="s">
        <v>5762</v>
      </c>
      <c r="G737" t="s">
        <v>57</v>
      </c>
      <c r="H737">
        <v>1581597</v>
      </c>
      <c r="I737">
        <v>1581947</v>
      </c>
      <c r="J737" t="s">
        <v>2177</v>
      </c>
      <c r="K737">
        <v>117</v>
      </c>
      <c r="L737" t="s">
        <v>59</v>
      </c>
      <c r="M737">
        <v>5</v>
      </c>
      <c r="N737" t="str">
        <f>HYPERLINK("Gene1576-zp_tree_all.dnd", "Gene1576-tree")</f>
        <v>Gene1576-tree</v>
      </c>
    </row>
    <row r="738" spans="1:57">
      <c r="A738">
        <v>0</v>
      </c>
      <c r="B738">
        <v>2</v>
      </c>
      <c r="C738">
        <v>0</v>
      </c>
      <c r="D738">
        <v>1580</v>
      </c>
      <c r="E738" t="s">
        <v>2178</v>
      </c>
      <c r="F738" t="s">
        <v>5762</v>
      </c>
      <c r="G738" t="s">
        <v>57</v>
      </c>
      <c r="H738">
        <v>1587926</v>
      </c>
      <c r="I738">
        <v>1588897</v>
      </c>
      <c r="J738" t="s">
        <v>2179</v>
      </c>
      <c r="K738">
        <v>324</v>
      </c>
      <c r="L738" t="s">
        <v>59</v>
      </c>
      <c r="M738">
        <v>5</v>
      </c>
      <c r="N738" t="str">
        <f>HYPERLINK("Gene1580-zp_tree_all.dnd", "Gene1580-tree")</f>
        <v>Gene1580-tree</v>
      </c>
      <c r="O738">
        <v>2</v>
      </c>
      <c r="P738">
        <v>3</v>
      </c>
      <c r="Q738">
        <v>2</v>
      </c>
      <c r="R738">
        <v>3</v>
      </c>
      <c r="S738">
        <v>0.6</v>
      </c>
      <c r="T738" t="s">
        <v>135</v>
      </c>
      <c r="U738" t="s">
        <v>84</v>
      </c>
      <c r="V738" t="s">
        <v>62</v>
      </c>
      <c r="W738" t="s">
        <v>62</v>
      </c>
      <c r="X738">
        <v>1</v>
      </c>
      <c r="Y738">
        <v>2</v>
      </c>
      <c r="Z738">
        <v>3</v>
      </c>
      <c r="AA738">
        <v>0.4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3</v>
      </c>
      <c r="AK738">
        <v>0</v>
      </c>
      <c r="AL738">
        <v>5</v>
      </c>
      <c r="AM738">
        <v>2</v>
      </c>
      <c r="AN738">
        <v>22</v>
      </c>
      <c r="AO738">
        <v>3</v>
      </c>
      <c r="AP738">
        <v>28</v>
      </c>
      <c r="AQ738">
        <v>2</v>
      </c>
      <c r="AR738" t="s">
        <v>2180</v>
      </c>
      <c r="AS738" t="s">
        <v>2181</v>
      </c>
      <c r="AT738">
        <v>1.099</v>
      </c>
      <c r="AU738" t="s">
        <v>65</v>
      </c>
      <c r="AV738">
        <v>50</v>
      </c>
      <c r="AW738">
        <v>5</v>
      </c>
      <c r="AX738" t="s">
        <v>2182</v>
      </c>
      <c r="AY738" t="s">
        <v>2183</v>
      </c>
      <c r="AZ738" t="s">
        <v>2184</v>
      </c>
      <c r="BA738">
        <v>2.4309999999999998E-2</v>
      </c>
      <c r="BB738">
        <v>1</v>
      </c>
      <c r="BC738" t="s">
        <v>69</v>
      </c>
      <c r="BD738">
        <v>0.623</v>
      </c>
      <c r="BE738">
        <v>0.46899999999999997</v>
      </c>
    </row>
    <row r="739" spans="1:57">
      <c r="A739">
        <v>0</v>
      </c>
      <c r="B739">
        <v>0</v>
      </c>
      <c r="C739">
        <v>0</v>
      </c>
      <c r="D739">
        <v>1582</v>
      </c>
      <c r="E739" t="s">
        <v>2185</v>
      </c>
      <c r="F739" t="s">
        <v>5762</v>
      </c>
      <c r="G739" t="s">
        <v>57</v>
      </c>
      <c r="H739">
        <v>1590317</v>
      </c>
      <c r="I739">
        <v>1591414</v>
      </c>
      <c r="J739" t="s">
        <v>2186</v>
      </c>
      <c r="K739">
        <v>366</v>
      </c>
      <c r="L739" t="s">
        <v>59</v>
      </c>
      <c r="M739">
        <v>5</v>
      </c>
      <c r="N739" t="str">
        <f>HYPERLINK("Gene1582-zp_tree_all.dnd", "Gene1582-tree")</f>
        <v>Gene1582-tree</v>
      </c>
      <c r="O739">
        <v>3</v>
      </c>
      <c r="P739">
        <v>2</v>
      </c>
      <c r="Q739">
        <v>3</v>
      </c>
      <c r="R739">
        <v>2</v>
      </c>
      <c r="S739">
        <v>0.4</v>
      </c>
      <c r="T739" t="s">
        <v>84</v>
      </c>
      <c r="U739" t="s">
        <v>135</v>
      </c>
      <c r="V739" t="s">
        <v>62</v>
      </c>
      <c r="W739" t="s">
        <v>62</v>
      </c>
      <c r="X739">
        <v>0</v>
      </c>
      <c r="Y739">
        <v>0</v>
      </c>
      <c r="Z739">
        <v>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2</v>
      </c>
      <c r="AK739">
        <v>0</v>
      </c>
      <c r="AL739">
        <v>5</v>
      </c>
      <c r="AM739">
        <v>2</v>
      </c>
      <c r="AN739">
        <v>31</v>
      </c>
      <c r="AO739">
        <v>2</v>
      </c>
      <c r="AP739">
        <v>39</v>
      </c>
      <c r="AQ739">
        <v>0</v>
      </c>
      <c r="AR739" t="s">
        <v>2187</v>
      </c>
      <c r="AS739" t="s">
        <v>64</v>
      </c>
      <c r="AT739">
        <v>1.218</v>
      </c>
      <c r="AU739" t="s">
        <v>65</v>
      </c>
      <c r="AV739">
        <v>70</v>
      </c>
      <c r="AW739">
        <v>2</v>
      </c>
      <c r="AX739" t="s">
        <v>2188</v>
      </c>
      <c r="AY739" t="s">
        <v>2189</v>
      </c>
      <c r="AZ739" t="s">
        <v>2190</v>
      </c>
      <c r="BA739">
        <v>6.8599999999999998E-3</v>
      </c>
      <c r="BB739">
        <v>1</v>
      </c>
      <c r="BC739" t="s">
        <v>69</v>
      </c>
      <c r="BD739">
        <v>0.80100000000000005</v>
      </c>
      <c r="BE739">
        <v>0.29099999999999998</v>
      </c>
    </row>
    <row r="740" spans="1:57">
      <c r="A740">
        <v>0</v>
      </c>
      <c r="B740">
        <v>0</v>
      </c>
      <c r="C740">
        <v>2</v>
      </c>
      <c r="D740">
        <v>1583</v>
      </c>
      <c r="E740" t="s">
        <v>2191</v>
      </c>
      <c r="F740" t="s">
        <v>5762</v>
      </c>
      <c r="G740" t="s">
        <v>57</v>
      </c>
      <c r="H740">
        <v>1591540</v>
      </c>
      <c r="I740">
        <v>1592628</v>
      </c>
      <c r="J740" t="s">
        <v>2192</v>
      </c>
      <c r="K740">
        <v>363</v>
      </c>
      <c r="L740" t="s">
        <v>83</v>
      </c>
      <c r="M740">
        <v>4</v>
      </c>
      <c r="N740" t="str">
        <f>HYPERLINK("Gene1583-zp_tree_all.dnd", "Gene1583-tree")</f>
        <v>Gene1583-tree</v>
      </c>
      <c r="O740">
        <v>1</v>
      </c>
      <c r="P740">
        <v>3</v>
      </c>
      <c r="Q740">
        <v>1</v>
      </c>
      <c r="R740">
        <v>3</v>
      </c>
      <c r="S740">
        <v>0.75</v>
      </c>
      <c r="T740" t="s">
        <v>61</v>
      </c>
      <c r="U740" t="s">
        <v>84</v>
      </c>
      <c r="V740" t="s">
        <v>62</v>
      </c>
      <c r="W740" t="s">
        <v>62</v>
      </c>
      <c r="X740">
        <v>1</v>
      </c>
      <c r="Y740">
        <v>2</v>
      </c>
      <c r="Z740">
        <v>8</v>
      </c>
      <c r="AA740">
        <v>0.2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2</v>
      </c>
      <c r="AI740">
        <v>2</v>
      </c>
      <c r="AJ740">
        <v>7</v>
      </c>
      <c r="AK740">
        <v>0.22222</v>
      </c>
      <c r="AL740">
        <v>4</v>
      </c>
      <c r="AM740">
        <v>1</v>
      </c>
      <c r="AN740">
        <v>48</v>
      </c>
      <c r="AO740">
        <v>11</v>
      </c>
      <c r="AP740">
        <v>1</v>
      </c>
      <c r="AQ740">
        <v>1</v>
      </c>
      <c r="AR740" t="s">
        <v>2193</v>
      </c>
      <c r="AS740" t="s">
        <v>2194</v>
      </c>
      <c r="AT740">
        <v>3.1760000000000002</v>
      </c>
      <c r="AU740" t="s">
        <v>65</v>
      </c>
      <c r="AV740">
        <v>49</v>
      </c>
      <c r="AW740">
        <v>12</v>
      </c>
      <c r="AX740" t="s">
        <v>2195</v>
      </c>
      <c r="AY740" t="s">
        <v>2196</v>
      </c>
      <c r="AZ740" t="s">
        <v>2197</v>
      </c>
      <c r="BA740">
        <v>7.0849999999999996E-2</v>
      </c>
      <c r="BB740">
        <v>1</v>
      </c>
      <c r="BC740" t="s">
        <v>69</v>
      </c>
      <c r="BD740">
        <v>-0.42199999999999999</v>
      </c>
      <c r="BE740">
        <v>-0.75700000000000001</v>
      </c>
    </row>
    <row r="741" spans="1:57">
      <c r="A741">
        <v>0</v>
      </c>
      <c r="B741">
        <v>0</v>
      </c>
      <c r="C741">
        <v>0</v>
      </c>
      <c r="D741">
        <v>1584</v>
      </c>
      <c r="E741" t="s">
        <v>2198</v>
      </c>
      <c r="F741" t="s">
        <v>5762</v>
      </c>
      <c r="G741" t="s">
        <v>57</v>
      </c>
      <c r="H741">
        <v>1592663</v>
      </c>
      <c r="I741">
        <v>1593571</v>
      </c>
      <c r="J741" t="s">
        <v>2199</v>
      </c>
      <c r="K741">
        <v>303</v>
      </c>
      <c r="L741" t="s">
        <v>59</v>
      </c>
      <c r="M741">
        <v>5</v>
      </c>
      <c r="N741" t="str">
        <f>HYPERLINK("Gene1584-zp_tree_all.dnd", "Gene1584-tree")</f>
        <v>Gene1584-tree</v>
      </c>
      <c r="O741">
        <v>4</v>
      </c>
      <c r="P741">
        <v>1</v>
      </c>
      <c r="Q741">
        <v>4</v>
      </c>
      <c r="R741">
        <v>1</v>
      </c>
      <c r="S741">
        <v>0.2</v>
      </c>
      <c r="T741" t="s">
        <v>60</v>
      </c>
      <c r="U741" t="s">
        <v>61</v>
      </c>
      <c r="V741" t="s">
        <v>62</v>
      </c>
      <c r="W741" t="s">
        <v>62</v>
      </c>
      <c r="X741">
        <v>0</v>
      </c>
      <c r="Y741">
        <v>0</v>
      </c>
      <c r="Z741">
        <v>2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1</v>
      </c>
      <c r="AK741">
        <v>0</v>
      </c>
      <c r="AL741">
        <v>5</v>
      </c>
      <c r="AM741">
        <v>2</v>
      </c>
      <c r="AN741">
        <v>26</v>
      </c>
      <c r="AO741">
        <v>1</v>
      </c>
      <c r="AP741">
        <v>28</v>
      </c>
      <c r="AQ741">
        <v>1</v>
      </c>
      <c r="AR741" t="s">
        <v>2200</v>
      </c>
      <c r="AS741" t="s">
        <v>2201</v>
      </c>
      <c r="AT741">
        <v>6.2E-2</v>
      </c>
      <c r="AU741" t="s">
        <v>65</v>
      </c>
      <c r="AV741">
        <v>54</v>
      </c>
      <c r="AW741">
        <v>2</v>
      </c>
      <c r="AX741" t="s">
        <v>2202</v>
      </c>
      <c r="AY741" t="s">
        <v>2203</v>
      </c>
      <c r="AZ741" t="s">
        <v>2204</v>
      </c>
      <c r="BA741">
        <v>9.9500000000000005E-3</v>
      </c>
      <c r="BB741">
        <v>1</v>
      </c>
      <c r="BC741" t="s">
        <v>69</v>
      </c>
      <c r="BD741">
        <v>0.73799999999999999</v>
      </c>
      <c r="BE741">
        <v>0.496</v>
      </c>
    </row>
    <row r="742" spans="1:57">
      <c r="A742">
        <v>0</v>
      </c>
      <c r="B742">
        <v>0</v>
      </c>
      <c r="C742">
        <v>0</v>
      </c>
      <c r="D742">
        <v>1585</v>
      </c>
      <c r="E742" t="s">
        <v>2205</v>
      </c>
      <c r="F742" t="s">
        <v>5762</v>
      </c>
      <c r="G742" t="s">
        <v>57</v>
      </c>
      <c r="H742">
        <v>1593704</v>
      </c>
      <c r="I742">
        <v>1594492</v>
      </c>
      <c r="J742" t="s">
        <v>235</v>
      </c>
      <c r="K742">
        <v>263</v>
      </c>
      <c r="L742" t="s">
        <v>59</v>
      </c>
      <c r="M742">
        <v>5</v>
      </c>
      <c r="N742" t="str">
        <f>HYPERLINK("Gene1585-zp_tree_all.dnd", "Gene1585-tree")</f>
        <v>Gene1585-tree</v>
      </c>
      <c r="O742">
        <v>4</v>
      </c>
      <c r="P742">
        <v>1</v>
      </c>
      <c r="Q742">
        <v>4</v>
      </c>
      <c r="R742">
        <v>1</v>
      </c>
      <c r="S742">
        <v>0.2</v>
      </c>
      <c r="T742" t="s">
        <v>60</v>
      </c>
      <c r="U742" t="s">
        <v>61</v>
      </c>
      <c r="V742" t="s">
        <v>62</v>
      </c>
      <c r="W742" t="s">
        <v>62</v>
      </c>
      <c r="X742">
        <v>0</v>
      </c>
      <c r="Y742">
        <v>0</v>
      </c>
      <c r="Z742">
        <v>4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1</v>
      </c>
      <c r="AK742">
        <v>0</v>
      </c>
      <c r="AL742">
        <v>5</v>
      </c>
      <c r="AM742">
        <v>2</v>
      </c>
      <c r="AN742">
        <v>18</v>
      </c>
      <c r="AO742">
        <v>1</v>
      </c>
      <c r="AP742">
        <v>26</v>
      </c>
      <c r="AQ742">
        <v>3</v>
      </c>
      <c r="AR742" t="s">
        <v>2206</v>
      </c>
      <c r="AS742" t="s">
        <v>2207</v>
      </c>
      <c r="AT742">
        <v>0.28599999999999998</v>
      </c>
      <c r="AU742" t="s">
        <v>65</v>
      </c>
      <c r="AV742">
        <v>44</v>
      </c>
      <c r="AW742">
        <v>4</v>
      </c>
      <c r="AX742" t="s">
        <v>2208</v>
      </c>
      <c r="AY742" t="s">
        <v>2209</v>
      </c>
      <c r="AZ742" t="s">
        <v>2210</v>
      </c>
      <c r="BA742">
        <v>2.3460000000000002E-2</v>
      </c>
      <c r="BB742">
        <v>1</v>
      </c>
      <c r="BC742" t="s">
        <v>69</v>
      </c>
      <c r="BD742">
        <v>0.94199999999999995</v>
      </c>
      <c r="BE742">
        <v>0.48799999999999999</v>
      </c>
    </row>
    <row r="743" spans="1:57">
      <c r="A743">
        <v>0</v>
      </c>
      <c r="B743">
        <v>0</v>
      </c>
      <c r="C743">
        <v>0</v>
      </c>
      <c r="D743">
        <v>1588</v>
      </c>
      <c r="E743" t="s">
        <v>2211</v>
      </c>
      <c r="F743" t="s">
        <v>5762</v>
      </c>
      <c r="G743" t="s">
        <v>57</v>
      </c>
      <c r="H743">
        <v>1595935</v>
      </c>
      <c r="I743">
        <v>1596297</v>
      </c>
      <c r="J743" t="s">
        <v>2212</v>
      </c>
      <c r="K743">
        <v>121</v>
      </c>
      <c r="L743" t="s">
        <v>59</v>
      </c>
      <c r="M743">
        <v>5</v>
      </c>
      <c r="N743" t="str">
        <f>HYPERLINK("Gene1588-zp_tree_all.dnd", "Gene1588-tree")</f>
        <v>Gene1588-tree</v>
      </c>
      <c r="O743">
        <v>2</v>
      </c>
      <c r="P743">
        <v>2</v>
      </c>
      <c r="Q743">
        <v>2</v>
      </c>
      <c r="R743">
        <v>2</v>
      </c>
      <c r="S743">
        <v>0.5</v>
      </c>
      <c r="T743" t="s">
        <v>135</v>
      </c>
      <c r="U743" t="s">
        <v>135</v>
      </c>
      <c r="V743" t="s">
        <v>62</v>
      </c>
      <c r="W743" t="s">
        <v>62</v>
      </c>
      <c r="X743">
        <v>0</v>
      </c>
      <c r="Y743">
        <v>0</v>
      </c>
      <c r="Z743">
        <v>2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2</v>
      </c>
      <c r="AK743">
        <v>0</v>
      </c>
      <c r="AL743">
        <v>3</v>
      </c>
      <c r="AM743">
        <v>1</v>
      </c>
      <c r="AN743">
        <v>7</v>
      </c>
      <c r="AO743">
        <v>2</v>
      </c>
      <c r="AP743">
        <v>5</v>
      </c>
      <c r="AQ743">
        <v>0</v>
      </c>
      <c r="AR743" t="s">
        <v>2213</v>
      </c>
      <c r="AS743" t="s">
        <v>64</v>
      </c>
      <c r="AT743">
        <v>3.1930000000000001</v>
      </c>
      <c r="AU743" t="s">
        <v>286</v>
      </c>
      <c r="AV743">
        <v>12</v>
      </c>
      <c r="AW743">
        <v>2</v>
      </c>
      <c r="AX743" t="s">
        <v>2214</v>
      </c>
      <c r="AY743" t="s">
        <v>2215</v>
      </c>
      <c r="AZ743" t="s">
        <v>2216</v>
      </c>
      <c r="BA743">
        <v>4.4970000000000003E-2</v>
      </c>
      <c r="BB743">
        <v>1</v>
      </c>
      <c r="BC743" t="s">
        <v>69</v>
      </c>
      <c r="BD743">
        <v>-0.13</v>
      </c>
      <c r="BE743">
        <v>-0.13</v>
      </c>
    </row>
    <row r="744" spans="1:57">
      <c r="A744">
        <v>0</v>
      </c>
      <c r="B744">
        <v>0</v>
      </c>
      <c r="C744">
        <v>0</v>
      </c>
      <c r="D744">
        <v>1589</v>
      </c>
      <c r="E744" t="s">
        <v>2217</v>
      </c>
      <c r="F744" t="s">
        <v>5762</v>
      </c>
      <c r="G744" t="s">
        <v>57</v>
      </c>
      <c r="H744">
        <v>1596474</v>
      </c>
      <c r="I744">
        <v>1597793</v>
      </c>
      <c r="J744" t="s">
        <v>2218</v>
      </c>
      <c r="K744">
        <v>440</v>
      </c>
      <c r="L744" t="s">
        <v>59</v>
      </c>
      <c r="M744">
        <v>5</v>
      </c>
      <c r="N744" t="str">
        <f>HYPERLINK("Gene1589-zp_tree_all.dnd", "Gene1589-tree")</f>
        <v>Gene1589-tree</v>
      </c>
      <c r="O744">
        <v>2</v>
      </c>
      <c r="P744">
        <v>3</v>
      </c>
      <c r="Q744">
        <v>2</v>
      </c>
      <c r="R744">
        <v>3</v>
      </c>
      <c r="S744">
        <v>0.6</v>
      </c>
      <c r="T744" t="s">
        <v>135</v>
      </c>
      <c r="U744" t="s">
        <v>84</v>
      </c>
      <c r="V744" t="s">
        <v>62</v>
      </c>
      <c r="W744" t="s">
        <v>62</v>
      </c>
      <c r="X744">
        <v>0</v>
      </c>
      <c r="Y744">
        <v>0</v>
      </c>
      <c r="Z744">
        <v>7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3</v>
      </c>
      <c r="AK744">
        <v>0</v>
      </c>
      <c r="AL744">
        <v>4</v>
      </c>
      <c r="AM744">
        <v>2</v>
      </c>
      <c r="AN744">
        <v>22</v>
      </c>
      <c r="AO744">
        <v>3</v>
      </c>
      <c r="AP744">
        <v>18</v>
      </c>
      <c r="AQ744">
        <v>4</v>
      </c>
      <c r="AR744" t="s">
        <v>2219</v>
      </c>
      <c r="AS744" t="s">
        <v>2220</v>
      </c>
      <c r="AT744">
        <v>0.32500000000000001</v>
      </c>
      <c r="AU744" t="s">
        <v>65</v>
      </c>
      <c r="AV744">
        <v>40</v>
      </c>
      <c r="AW744">
        <v>7</v>
      </c>
      <c r="AX744" t="s">
        <v>2221</v>
      </c>
      <c r="AY744" t="s">
        <v>2222</v>
      </c>
      <c r="AZ744" t="s">
        <v>2223</v>
      </c>
      <c r="BA744">
        <v>5.2859999999999997E-2</v>
      </c>
      <c r="BB744">
        <v>1</v>
      </c>
      <c r="BC744" t="s">
        <v>69</v>
      </c>
      <c r="BD744">
        <v>0.314</v>
      </c>
      <c r="BE744">
        <v>0</v>
      </c>
    </row>
    <row r="745" spans="1:57">
      <c r="A745">
        <v>0</v>
      </c>
      <c r="B745">
        <v>0</v>
      </c>
      <c r="C745">
        <v>0</v>
      </c>
      <c r="D745">
        <v>1590</v>
      </c>
      <c r="E745" t="s">
        <v>2224</v>
      </c>
      <c r="F745" t="s">
        <v>5762</v>
      </c>
      <c r="G745" t="s">
        <v>57</v>
      </c>
      <c r="H745">
        <v>1597832</v>
      </c>
      <c r="I745">
        <v>1598977</v>
      </c>
      <c r="J745" t="s">
        <v>235</v>
      </c>
      <c r="K745">
        <v>382</v>
      </c>
      <c r="L745" t="s">
        <v>59</v>
      </c>
      <c r="M745">
        <v>5</v>
      </c>
      <c r="N745" t="str">
        <f>HYPERLINK("Gene1590-zp_tree_all.dnd", "Gene1590-tree")</f>
        <v>Gene1590-tree</v>
      </c>
      <c r="O745">
        <v>3</v>
      </c>
      <c r="P745">
        <v>2</v>
      </c>
      <c r="Q745">
        <v>3</v>
      </c>
      <c r="R745">
        <v>2</v>
      </c>
      <c r="S745">
        <v>0.4</v>
      </c>
      <c r="T745" t="s">
        <v>84</v>
      </c>
      <c r="U745" t="s">
        <v>135</v>
      </c>
      <c r="V745" t="s">
        <v>62</v>
      </c>
      <c r="W745" t="s">
        <v>62</v>
      </c>
      <c r="X745">
        <v>0</v>
      </c>
      <c r="Y745">
        <v>0</v>
      </c>
      <c r="Z745">
        <v>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3</v>
      </c>
      <c r="AK745">
        <v>0</v>
      </c>
      <c r="AL745">
        <v>5</v>
      </c>
      <c r="AM745">
        <v>2</v>
      </c>
      <c r="AN745">
        <v>24</v>
      </c>
      <c r="AO745">
        <v>3</v>
      </c>
      <c r="AP745">
        <v>35</v>
      </c>
      <c r="AQ745">
        <v>1</v>
      </c>
      <c r="AR745" t="s">
        <v>2225</v>
      </c>
      <c r="AS745" t="s">
        <v>2226</v>
      </c>
      <c r="AT745">
        <v>0.67</v>
      </c>
      <c r="AU745" t="s">
        <v>65</v>
      </c>
      <c r="AV745">
        <v>59</v>
      </c>
      <c r="AW745">
        <v>4</v>
      </c>
      <c r="AX745" t="s">
        <v>2227</v>
      </c>
      <c r="AY745" t="s">
        <v>2228</v>
      </c>
      <c r="AZ745" t="s">
        <v>2229</v>
      </c>
      <c r="BA745">
        <v>1.6039999999999999E-2</v>
      </c>
      <c r="BB745">
        <v>1</v>
      </c>
      <c r="BC745" t="s">
        <v>69</v>
      </c>
      <c r="BD745">
        <v>0.54100000000000004</v>
      </c>
      <c r="BE745">
        <v>0.54100000000000004</v>
      </c>
    </row>
    <row r="746" spans="1:57">
      <c r="A746">
        <v>0</v>
      </c>
      <c r="B746">
        <v>0</v>
      </c>
      <c r="C746">
        <v>0</v>
      </c>
      <c r="D746">
        <v>1594</v>
      </c>
      <c r="E746" t="s">
        <v>2230</v>
      </c>
      <c r="F746" t="s">
        <v>5762</v>
      </c>
      <c r="G746" t="s">
        <v>57</v>
      </c>
      <c r="H746">
        <v>1605630</v>
      </c>
      <c r="I746">
        <v>1606409</v>
      </c>
      <c r="J746" t="s">
        <v>2231</v>
      </c>
      <c r="K746">
        <v>260</v>
      </c>
      <c r="L746" t="s">
        <v>59</v>
      </c>
      <c r="M746">
        <v>5</v>
      </c>
      <c r="N746" t="str">
        <f>HYPERLINK("Gene1594-zp_tree_all.dnd", "Gene1594-tree")</f>
        <v>Gene1594-tree</v>
      </c>
      <c r="O746">
        <v>5</v>
      </c>
      <c r="P746">
        <v>0</v>
      </c>
      <c r="Q746">
        <v>5</v>
      </c>
      <c r="R746">
        <v>0</v>
      </c>
      <c r="S746">
        <v>0</v>
      </c>
      <c r="T746" t="s">
        <v>98</v>
      </c>
      <c r="U746" t="s">
        <v>62</v>
      </c>
      <c r="V746" t="s">
        <v>62</v>
      </c>
      <c r="W746" t="s">
        <v>62</v>
      </c>
      <c r="X746">
        <v>0</v>
      </c>
      <c r="Y746">
        <v>0</v>
      </c>
      <c r="Z746">
        <v>1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5</v>
      </c>
      <c r="AM746">
        <v>2</v>
      </c>
      <c r="AN746">
        <v>14</v>
      </c>
      <c r="AO746">
        <v>0</v>
      </c>
      <c r="AP746">
        <v>15</v>
      </c>
      <c r="AQ746">
        <v>1</v>
      </c>
      <c r="AR746" t="s">
        <v>64</v>
      </c>
      <c r="AS746" t="s">
        <v>2232</v>
      </c>
      <c r="AT746">
        <v>0.91</v>
      </c>
      <c r="AU746" t="s">
        <v>65</v>
      </c>
      <c r="AV746">
        <v>29</v>
      </c>
      <c r="AW746">
        <v>1</v>
      </c>
      <c r="AX746" t="s">
        <v>2233</v>
      </c>
      <c r="AY746" t="s">
        <v>2234</v>
      </c>
      <c r="AZ746" t="s">
        <v>2235</v>
      </c>
      <c r="BA746">
        <v>1.03E-2</v>
      </c>
      <c r="BB746">
        <v>1</v>
      </c>
      <c r="BC746" t="s">
        <v>69</v>
      </c>
      <c r="BD746">
        <v>0.41499999999999998</v>
      </c>
      <c r="BE746">
        <v>0.41499999999999998</v>
      </c>
    </row>
    <row r="747" spans="1:57">
      <c r="A747">
        <v>0</v>
      </c>
      <c r="B747">
        <v>0</v>
      </c>
      <c r="C747">
        <v>0</v>
      </c>
      <c r="D747">
        <v>1597</v>
      </c>
      <c r="E747" t="s">
        <v>2236</v>
      </c>
      <c r="F747" t="s">
        <v>5762</v>
      </c>
      <c r="G747" t="s">
        <v>57</v>
      </c>
      <c r="H747">
        <v>1608919</v>
      </c>
      <c r="I747">
        <v>1609161</v>
      </c>
      <c r="J747" t="s">
        <v>2237</v>
      </c>
      <c r="K747">
        <v>81</v>
      </c>
      <c r="L747" t="s">
        <v>59</v>
      </c>
      <c r="M747">
        <v>5</v>
      </c>
      <c r="N747" t="str">
        <f>HYPERLINK("Gene1597-zp_tree_all.dnd", "Gene1597-tree")</f>
        <v>Gene1597-tree</v>
      </c>
      <c r="O747">
        <v>5</v>
      </c>
      <c r="P747">
        <v>0</v>
      </c>
      <c r="Q747">
        <v>5</v>
      </c>
      <c r="R747">
        <v>0</v>
      </c>
      <c r="S747">
        <v>0</v>
      </c>
      <c r="T747" t="s">
        <v>98</v>
      </c>
      <c r="U747" t="s">
        <v>62</v>
      </c>
      <c r="V747" t="s">
        <v>62</v>
      </c>
      <c r="W747" t="s">
        <v>62</v>
      </c>
      <c r="X747">
        <v>0</v>
      </c>
      <c r="Y747">
        <v>0</v>
      </c>
      <c r="Z747">
        <v>1</v>
      </c>
      <c r="AA747">
        <v>0</v>
      </c>
      <c r="AB747">
        <v>0</v>
      </c>
      <c r="AC747">
        <v>0</v>
      </c>
      <c r="AD747">
        <v>0</v>
      </c>
      <c r="AE747">
        <v>1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2</v>
      </c>
      <c r="AM747">
        <v>2</v>
      </c>
      <c r="AN747">
        <v>3</v>
      </c>
      <c r="AO747">
        <v>0</v>
      </c>
      <c r="AP747">
        <v>8</v>
      </c>
      <c r="AQ747">
        <v>1</v>
      </c>
      <c r="AR747" t="s">
        <v>64</v>
      </c>
      <c r="AS747" t="s">
        <v>2238</v>
      </c>
      <c r="AT747">
        <v>1.323</v>
      </c>
      <c r="AU747" t="s">
        <v>65</v>
      </c>
      <c r="AV747">
        <v>11</v>
      </c>
      <c r="AW747">
        <v>1</v>
      </c>
      <c r="AX747" t="s">
        <v>2239</v>
      </c>
      <c r="AY747" t="s">
        <v>2240</v>
      </c>
      <c r="AZ747" t="s">
        <v>2241</v>
      </c>
      <c r="BA747">
        <v>3.0939999999999999E-2</v>
      </c>
      <c r="BB747">
        <v>1</v>
      </c>
      <c r="BC747" t="s">
        <v>69</v>
      </c>
      <c r="BD747">
        <v>1.3420000000000001</v>
      </c>
      <c r="BE747">
        <v>0.59599999999999997</v>
      </c>
    </row>
    <row r="748" spans="1:57">
      <c r="A748">
        <v>0</v>
      </c>
      <c r="B748">
        <v>0</v>
      </c>
      <c r="C748">
        <v>2</v>
      </c>
      <c r="D748">
        <v>1598</v>
      </c>
      <c r="E748" t="s">
        <v>2242</v>
      </c>
      <c r="F748" t="s">
        <v>5762</v>
      </c>
      <c r="G748" t="s">
        <v>57</v>
      </c>
      <c r="H748">
        <v>1609327</v>
      </c>
      <c r="I748">
        <v>1610160</v>
      </c>
      <c r="J748" t="s">
        <v>2243</v>
      </c>
      <c r="K748">
        <v>278</v>
      </c>
      <c r="L748" t="s">
        <v>83</v>
      </c>
      <c r="M748">
        <v>4</v>
      </c>
      <c r="N748" t="str">
        <f>HYPERLINK("Gene1598-zp_tree_all.dnd", "Gene1598-tree")</f>
        <v>Gene1598-tree</v>
      </c>
      <c r="O748">
        <v>0</v>
      </c>
      <c r="P748">
        <v>4</v>
      </c>
      <c r="Q748">
        <v>0</v>
      </c>
      <c r="R748">
        <v>4</v>
      </c>
      <c r="S748">
        <v>1</v>
      </c>
      <c r="T748" t="s">
        <v>62</v>
      </c>
      <c r="U748" t="s">
        <v>60</v>
      </c>
      <c r="V748" t="s">
        <v>62</v>
      </c>
      <c r="W748" t="s">
        <v>62</v>
      </c>
      <c r="X748">
        <v>1</v>
      </c>
      <c r="Y748">
        <v>2</v>
      </c>
      <c r="Z748">
        <v>16</v>
      </c>
      <c r="AA748">
        <v>0.11111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2</v>
      </c>
      <c r="AI748">
        <v>2</v>
      </c>
      <c r="AJ748">
        <v>16</v>
      </c>
      <c r="AK748">
        <v>0.11111</v>
      </c>
      <c r="AL748">
        <v>4</v>
      </c>
      <c r="AM748">
        <v>1</v>
      </c>
      <c r="AN748">
        <v>30</v>
      </c>
      <c r="AO748">
        <v>18</v>
      </c>
      <c r="AP748">
        <v>1</v>
      </c>
      <c r="AQ748">
        <v>0</v>
      </c>
      <c r="AR748" t="s">
        <v>2244</v>
      </c>
      <c r="AS748" t="s">
        <v>64</v>
      </c>
      <c r="AT748">
        <v>0.71099999999999997</v>
      </c>
      <c r="AU748" t="s">
        <v>65</v>
      </c>
      <c r="AV748">
        <v>31</v>
      </c>
      <c r="AW748">
        <v>18</v>
      </c>
      <c r="AX748" t="s">
        <v>2245</v>
      </c>
      <c r="AY748" t="s">
        <v>2246</v>
      </c>
      <c r="AZ748" t="s">
        <v>2247</v>
      </c>
      <c r="BA748">
        <v>0.15315000000000001</v>
      </c>
      <c r="BB748">
        <v>1</v>
      </c>
      <c r="BC748" t="s">
        <v>69</v>
      </c>
      <c r="BD748">
        <v>-0.66800000000000004</v>
      </c>
      <c r="BE748">
        <v>-0.86699999999999999</v>
      </c>
    </row>
    <row r="749" spans="1:57">
      <c r="A749">
        <v>0</v>
      </c>
      <c r="B749">
        <v>0</v>
      </c>
      <c r="C749">
        <v>0</v>
      </c>
      <c r="D749">
        <v>1599</v>
      </c>
      <c r="E749" t="s">
        <v>2248</v>
      </c>
      <c r="F749" t="s">
        <v>5762</v>
      </c>
      <c r="G749" t="s">
        <v>57</v>
      </c>
      <c r="H749">
        <v>1610170</v>
      </c>
      <c r="I749">
        <v>1610859</v>
      </c>
      <c r="J749" t="s">
        <v>2249</v>
      </c>
      <c r="K749">
        <v>230</v>
      </c>
      <c r="L749" t="s">
        <v>59</v>
      </c>
      <c r="M749">
        <v>5</v>
      </c>
      <c r="N749" t="str">
        <f>HYPERLINK("Gene1599-zp_tree_all.dnd", "Gene1599-tree")</f>
        <v>Gene1599-tree</v>
      </c>
      <c r="O749">
        <v>1</v>
      </c>
      <c r="P749">
        <v>4</v>
      </c>
      <c r="Q749">
        <v>1</v>
      </c>
      <c r="R749">
        <v>4</v>
      </c>
      <c r="S749">
        <v>0.8</v>
      </c>
      <c r="T749" t="s">
        <v>61</v>
      </c>
      <c r="U749" t="s">
        <v>60</v>
      </c>
      <c r="V749" t="s">
        <v>62</v>
      </c>
      <c r="W749" t="s">
        <v>62</v>
      </c>
      <c r="X749">
        <v>0</v>
      </c>
      <c r="Y749">
        <v>0</v>
      </c>
      <c r="Z749">
        <v>14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14</v>
      </c>
      <c r="AK749">
        <v>0</v>
      </c>
      <c r="AL749">
        <v>3</v>
      </c>
      <c r="AM749">
        <v>2</v>
      </c>
      <c r="AN749">
        <v>7</v>
      </c>
      <c r="AO749">
        <v>4</v>
      </c>
      <c r="AP749">
        <v>12</v>
      </c>
      <c r="AQ749">
        <v>10</v>
      </c>
      <c r="AR749" t="s">
        <v>2250</v>
      </c>
      <c r="AS749" t="s">
        <v>2251</v>
      </c>
      <c r="AT749">
        <v>0.28799999999999998</v>
      </c>
      <c r="AU749" t="s">
        <v>65</v>
      </c>
      <c r="AV749">
        <v>19</v>
      </c>
      <c r="AW749">
        <v>14</v>
      </c>
      <c r="AX749" t="s">
        <v>2252</v>
      </c>
      <c r="AY749" t="s">
        <v>2253</v>
      </c>
      <c r="AZ749" t="s">
        <v>2254</v>
      </c>
      <c r="BA749">
        <v>0.23346</v>
      </c>
      <c r="BB749">
        <v>1</v>
      </c>
      <c r="BC749" t="s">
        <v>69</v>
      </c>
      <c r="BD749">
        <v>1.016</v>
      </c>
      <c r="BE749">
        <v>0.76400000000000001</v>
      </c>
    </row>
    <row r="750" spans="1:57">
      <c r="A750">
        <v>0</v>
      </c>
      <c r="B750">
        <v>0</v>
      </c>
      <c r="C750">
        <v>0</v>
      </c>
      <c r="D750">
        <v>1600</v>
      </c>
      <c r="E750" t="s">
        <v>2255</v>
      </c>
      <c r="F750" t="s">
        <v>5762</v>
      </c>
      <c r="G750" t="s">
        <v>57</v>
      </c>
      <c r="H750">
        <v>1610859</v>
      </c>
      <c r="I750">
        <v>1611311</v>
      </c>
      <c r="J750" t="s">
        <v>2256</v>
      </c>
      <c r="K750">
        <v>151</v>
      </c>
      <c r="L750" t="s">
        <v>59</v>
      </c>
      <c r="M750">
        <v>5</v>
      </c>
      <c r="N750" t="str">
        <f>HYPERLINK("Gene1600-zp_tree_all.dnd", "Gene1600-tree")</f>
        <v>Gene1600-tree</v>
      </c>
      <c r="O750">
        <v>3</v>
      </c>
      <c r="P750">
        <v>2</v>
      </c>
      <c r="Q750">
        <v>3</v>
      </c>
      <c r="R750">
        <v>1</v>
      </c>
      <c r="S750">
        <v>0.25</v>
      </c>
      <c r="T750" t="s">
        <v>84</v>
      </c>
      <c r="U750" t="s">
        <v>61</v>
      </c>
      <c r="V750" t="s">
        <v>62</v>
      </c>
      <c r="W750" t="s">
        <v>62</v>
      </c>
      <c r="X750">
        <v>0</v>
      </c>
      <c r="Y750">
        <v>0</v>
      </c>
      <c r="Z750">
        <v>3</v>
      </c>
      <c r="AA750">
        <v>0</v>
      </c>
      <c r="AB750">
        <v>0</v>
      </c>
      <c r="AC750">
        <v>0</v>
      </c>
      <c r="AD750">
        <v>0</v>
      </c>
      <c r="AE750">
        <v>2</v>
      </c>
      <c r="AF750">
        <v>0</v>
      </c>
      <c r="AG750">
        <v>0</v>
      </c>
      <c r="AH750">
        <v>0</v>
      </c>
      <c r="AI750">
        <v>0</v>
      </c>
      <c r="AJ750">
        <v>1</v>
      </c>
      <c r="AK750">
        <v>0</v>
      </c>
      <c r="AL750">
        <v>3</v>
      </c>
      <c r="AM750">
        <v>1</v>
      </c>
      <c r="AN750">
        <v>7</v>
      </c>
      <c r="AO750">
        <v>1</v>
      </c>
      <c r="AP750">
        <v>7</v>
      </c>
      <c r="AQ750">
        <v>2</v>
      </c>
      <c r="AR750" t="s">
        <v>2257</v>
      </c>
      <c r="AS750" t="s">
        <v>2258</v>
      </c>
      <c r="AT750">
        <v>0.62</v>
      </c>
      <c r="AU750" t="s">
        <v>65</v>
      </c>
      <c r="AV750">
        <v>14</v>
      </c>
      <c r="AW750">
        <v>3</v>
      </c>
      <c r="AX750" t="s">
        <v>2259</v>
      </c>
      <c r="AY750" t="s">
        <v>2260</v>
      </c>
      <c r="AZ750" t="s">
        <v>2261</v>
      </c>
      <c r="BA750">
        <v>5.5599999999999997E-2</v>
      </c>
      <c r="BB750">
        <v>1</v>
      </c>
      <c r="BC750" t="s">
        <v>69</v>
      </c>
      <c r="BD750">
        <v>0.75700000000000001</v>
      </c>
      <c r="BE750">
        <v>0.75700000000000001</v>
      </c>
    </row>
    <row r="751" spans="1:57">
      <c r="A751">
        <v>0</v>
      </c>
      <c r="B751">
        <v>0</v>
      </c>
      <c r="C751">
        <v>0</v>
      </c>
      <c r="D751">
        <v>1601</v>
      </c>
      <c r="E751" t="s">
        <v>2262</v>
      </c>
      <c r="F751" t="s">
        <v>5762</v>
      </c>
      <c r="G751" t="s">
        <v>57</v>
      </c>
      <c r="H751">
        <v>1611321</v>
      </c>
      <c r="I751">
        <v>1611590</v>
      </c>
      <c r="J751" t="s">
        <v>2263</v>
      </c>
      <c r="K751">
        <v>90</v>
      </c>
      <c r="L751" t="s">
        <v>59</v>
      </c>
      <c r="M751">
        <v>5</v>
      </c>
      <c r="N751" t="str">
        <f>HYPERLINK("Gene1601-zp_tree_all.dnd", "Gene1601-tree")</f>
        <v>Gene1601-tree</v>
      </c>
      <c r="O751">
        <v>4</v>
      </c>
      <c r="P751">
        <v>1</v>
      </c>
      <c r="Q751">
        <v>4</v>
      </c>
      <c r="R751">
        <v>1</v>
      </c>
      <c r="S751">
        <v>0.2</v>
      </c>
      <c r="T751" t="s">
        <v>60</v>
      </c>
      <c r="U751" t="s">
        <v>61</v>
      </c>
      <c r="V751" t="s">
        <v>62</v>
      </c>
      <c r="W751" t="s">
        <v>62</v>
      </c>
      <c r="X751">
        <v>0</v>
      </c>
      <c r="Y751">
        <v>0</v>
      </c>
      <c r="Z751">
        <v>1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1</v>
      </c>
      <c r="AK751">
        <v>0</v>
      </c>
      <c r="AL751">
        <v>4</v>
      </c>
      <c r="AM751">
        <v>2</v>
      </c>
      <c r="AN751">
        <v>9</v>
      </c>
      <c r="AO751">
        <v>1</v>
      </c>
      <c r="AP751">
        <v>7</v>
      </c>
      <c r="AQ751">
        <v>0</v>
      </c>
      <c r="AR751" t="s">
        <v>2264</v>
      </c>
      <c r="AS751" t="s">
        <v>64</v>
      </c>
      <c r="AT751">
        <v>0.56200000000000006</v>
      </c>
      <c r="AU751" t="s">
        <v>65</v>
      </c>
      <c r="AV751">
        <v>16</v>
      </c>
      <c r="AW751">
        <v>1</v>
      </c>
      <c r="AX751" t="s">
        <v>2265</v>
      </c>
      <c r="AY751" t="s">
        <v>2266</v>
      </c>
      <c r="AZ751" t="s">
        <v>2267</v>
      </c>
      <c r="BA751">
        <v>1.52E-2</v>
      </c>
      <c r="BB751">
        <v>1</v>
      </c>
      <c r="BC751" t="s">
        <v>69</v>
      </c>
      <c r="BD751">
        <v>3.5999999999999997E-2</v>
      </c>
      <c r="BE751">
        <v>3.5999999999999997E-2</v>
      </c>
    </row>
    <row r="752" spans="1:57">
      <c r="A752">
        <v>0</v>
      </c>
      <c r="B752">
        <v>0</v>
      </c>
      <c r="C752">
        <v>2</v>
      </c>
      <c r="D752">
        <v>1602</v>
      </c>
      <c r="E752" t="s">
        <v>2268</v>
      </c>
      <c r="F752" t="s">
        <v>5762</v>
      </c>
      <c r="G752" t="s">
        <v>57</v>
      </c>
      <c r="H752">
        <v>1611654</v>
      </c>
      <c r="I752">
        <v>1612424</v>
      </c>
      <c r="J752" t="s">
        <v>2269</v>
      </c>
      <c r="K752">
        <v>257</v>
      </c>
      <c r="L752" t="s">
        <v>59</v>
      </c>
      <c r="M752">
        <v>5</v>
      </c>
      <c r="N752" t="str">
        <f>HYPERLINK("Gene1602-zp_tree_all.dnd", "Gene1602-tree")</f>
        <v>Gene1602-tree</v>
      </c>
      <c r="O752">
        <v>1</v>
      </c>
      <c r="P752">
        <v>4</v>
      </c>
      <c r="Q752">
        <v>1</v>
      </c>
      <c r="R752">
        <v>4</v>
      </c>
      <c r="S752">
        <v>0.8</v>
      </c>
      <c r="T752" t="s">
        <v>61</v>
      </c>
      <c r="U752" t="s">
        <v>60</v>
      </c>
      <c r="V752" t="s">
        <v>62</v>
      </c>
      <c r="W752" t="s">
        <v>62</v>
      </c>
      <c r="X752">
        <v>1</v>
      </c>
      <c r="Y752">
        <v>2</v>
      </c>
      <c r="Z752">
        <v>10</v>
      </c>
      <c r="AA752">
        <v>0.16667000000000001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2</v>
      </c>
      <c r="AI752">
        <v>2</v>
      </c>
      <c r="AJ752">
        <v>7</v>
      </c>
      <c r="AK752">
        <v>0.22222</v>
      </c>
      <c r="AL752">
        <v>5</v>
      </c>
      <c r="AM752">
        <v>2</v>
      </c>
      <c r="AN752">
        <v>39</v>
      </c>
      <c r="AO752">
        <v>9</v>
      </c>
      <c r="AP752">
        <v>16</v>
      </c>
      <c r="AQ752">
        <v>3</v>
      </c>
      <c r="AR752" t="s">
        <v>2270</v>
      </c>
      <c r="AS752" t="s">
        <v>2271</v>
      </c>
      <c r="AT752">
        <v>0.25600000000000001</v>
      </c>
      <c r="AU752" t="s">
        <v>65</v>
      </c>
      <c r="AV752">
        <v>55</v>
      </c>
      <c r="AW752">
        <v>12</v>
      </c>
      <c r="AX752" t="s">
        <v>2272</v>
      </c>
      <c r="AY752" t="s">
        <v>2273</v>
      </c>
      <c r="AZ752" t="s">
        <v>2274</v>
      </c>
      <c r="BA752">
        <v>5.9339999999999997E-2</v>
      </c>
      <c r="BB752">
        <v>1</v>
      </c>
      <c r="BC752" t="s">
        <v>69</v>
      </c>
      <c r="BD752">
        <v>5.0000000000000001E-3</v>
      </c>
      <c r="BE752">
        <v>-0.22700000000000001</v>
      </c>
    </row>
    <row r="753" spans="1:57">
      <c r="A753">
        <v>0</v>
      </c>
      <c r="B753">
        <v>0</v>
      </c>
      <c r="C753">
        <v>0</v>
      </c>
      <c r="D753">
        <v>1603</v>
      </c>
      <c r="E753" t="s">
        <v>2275</v>
      </c>
      <c r="F753" t="s">
        <v>5762</v>
      </c>
      <c r="G753" t="s">
        <v>57</v>
      </c>
      <c r="H753">
        <v>1612521</v>
      </c>
      <c r="I753">
        <v>1613012</v>
      </c>
      <c r="J753" t="s">
        <v>235</v>
      </c>
      <c r="K753">
        <v>164</v>
      </c>
      <c r="L753" t="s">
        <v>59</v>
      </c>
      <c r="M753">
        <v>5</v>
      </c>
      <c r="N753" t="str">
        <f>HYPERLINK("Gene1603-zp_tree_all.dnd", "Gene1603-tree")</f>
        <v>Gene1603-tree</v>
      </c>
      <c r="O753">
        <v>5</v>
      </c>
      <c r="P753">
        <v>0</v>
      </c>
      <c r="Q753">
        <v>5</v>
      </c>
      <c r="R753">
        <v>0</v>
      </c>
      <c r="S753">
        <v>0</v>
      </c>
      <c r="T753" t="s">
        <v>98</v>
      </c>
      <c r="U753" t="s">
        <v>62</v>
      </c>
      <c r="V753" t="s">
        <v>62</v>
      </c>
      <c r="W753" t="s">
        <v>62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5</v>
      </c>
      <c r="AM753">
        <v>2</v>
      </c>
      <c r="AN753">
        <v>14</v>
      </c>
      <c r="AO753">
        <v>0</v>
      </c>
      <c r="AP753">
        <v>15</v>
      </c>
      <c r="AQ753">
        <v>0</v>
      </c>
      <c r="AR753" t="s">
        <v>64</v>
      </c>
      <c r="AS753" t="s">
        <v>64</v>
      </c>
      <c r="AT753">
        <v>0</v>
      </c>
      <c r="AU753" t="s">
        <v>65</v>
      </c>
      <c r="AV753">
        <v>29</v>
      </c>
      <c r="AW753">
        <v>0</v>
      </c>
      <c r="AX753" t="s">
        <v>2276</v>
      </c>
      <c r="AY753" t="s">
        <v>2277</v>
      </c>
      <c r="AZ753" t="s">
        <v>64</v>
      </c>
      <c r="BA753">
        <v>0</v>
      </c>
      <c r="BB753">
        <v>1</v>
      </c>
      <c r="BC753" t="s">
        <v>69</v>
      </c>
      <c r="BD753">
        <v>0.71399999999999997</v>
      </c>
      <c r="BE753">
        <v>0.48299999999999998</v>
      </c>
    </row>
    <row r="754" spans="1:57">
      <c r="A754">
        <v>0</v>
      </c>
      <c r="B754">
        <v>0</v>
      </c>
      <c r="C754">
        <v>0</v>
      </c>
      <c r="D754">
        <v>1606</v>
      </c>
      <c r="E754" t="s">
        <v>2278</v>
      </c>
      <c r="F754" t="s">
        <v>5762</v>
      </c>
      <c r="G754" t="s">
        <v>57</v>
      </c>
      <c r="H754">
        <v>1616744</v>
      </c>
      <c r="I754">
        <v>1617205</v>
      </c>
      <c r="J754" t="s">
        <v>2279</v>
      </c>
      <c r="K754">
        <v>154</v>
      </c>
      <c r="L754" t="s">
        <v>59</v>
      </c>
      <c r="M754">
        <v>5</v>
      </c>
      <c r="N754" t="str">
        <f>HYPERLINK("Gene1606-zp_tree_all.dnd", "Gene1606-tree")</f>
        <v>Gene1606-tree</v>
      </c>
      <c r="O754">
        <v>4</v>
      </c>
      <c r="P754">
        <v>1</v>
      </c>
      <c r="Q754">
        <v>4</v>
      </c>
      <c r="R754">
        <v>1</v>
      </c>
      <c r="S754">
        <v>0.2</v>
      </c>
      <c r="T754" t="s">
        <v>60</v>
      </c>
      <c r="U754" t="s">
        <v>61</v>
      </c>
      <c r="V754" t="s">
        <v>62</v>
      </c>
      <c r="W754" t="s">
        <v>62</v>
      </c>
      <c r="X754">
        <v>0</v>
      </c>
      <c r="Y754">
        <v>0</v>
      </c>
      <c r="Z754">
        <v>2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1</v>
      </c>
      <c r="AK754">
        <v>0</v>
      </c>
      <c r="AL754">
        <v>3</v>
      </c>
      <c r="AM754">
        <v>2</v>
      </c>
      <c r="AN754">
        <v>5</v>
      </c>
      <c r="AO754">
        <v>1</v>
      </c>
      <c r="AP754">
        <v>17</v>
      </c>
      <c r="AQ754">
        <v>1</v>
      </c>
      <c r="AR754" t="s">
        <v>2280</v>
      </c>
      <c r="AS754" t="s">
        <v>2281</v>
      </c>
      <c r="AT754">
        <v>0.58499999999999996</v>
      </c>
      <c r="AU754" t="s">
        <v>65</v>
      </c>
      <c r="AV754">
        <v>22</v>
      </c>
      <c r="AW754">
        <v>2</v>
      </c>
      <c r="AX754" t="s">
        <v>2282</v>
      </c>
      <c r="AY754" t="s">
        <v>2283</v>
      </c>
      <c r="AZ754" t="s">
        <v>2284</v>
      </c>
      <c r="BA754">
        <v>2.2530000000000001E-2</v>
      </c>
      <c r="BB754">
        <v>1</v>
      </c>
      <c r="BC754" t="s">
        <v>69</v>
      </c>
      <c r="BD754">
        <v>1.0840000000000001</v>
      </c>
      <c r="BE754">
        <v>1.0840000000000001</v>
      </c>
    </row>
    <row r="755" spans="1:57">
      <c r="A755">
        <v>0</v>
      </c>
      <c r="B755">
        <v>0</v>
      </c>
      <c r="C755">
        <v>0</v>
      </c>
      <c r="D755">
        <v>1612</v>
      </c>
      <c r="E755" t="s">
        <v>2285</v>
      </c>
      <c r="F755" t="s">
        <v>5762</v>
      </c>
      <c r="G755" t="s">
        <v>57</v>
      </c>
      <c r="H755">
        <v>1622657</v>
      </c>
      <c r="I755">
        <v>1623748</v>
      </c>
      <c r="J755" t="s">
        <v>2286</v>
      </c>
      <c r="K755">
        <v>364</v>
      </c>
      <c r="L755" t="s">
        <v>83</v>
      </c>
      <c r="M755">
        <v>4</v>
      </c>
      <c r="N755" t="str">
        <f>HYPERLINK("Gene1612-zp_tree_all.dnd", "Gene1612-tree")</f>
        <v>Gene1612-tree</v>
      </c>
      <c r="O755">
        <v>2</v>
      </c>
      <c r="P755">
        <v>2</v>
      </c>
      <c r="Q755">
        <v>2</v>
      </c>
      <c r="R755">
        <v>2</v>
      </c>
      <c r="S755">
        <v>0.5</v>
      </c>
      <c r="T755" t="s">
        <v>135</v>
      </c>
      <c r="U755" t="s">
        <v>135</v>
      </c>
      <c r="V755" t="s">
        <v>62</v>
      </c>
      <c r="W755" t="s">
        <v>62</v>
      </c>
      <c r="X755">
        <v>0</v>
      </c>
      <c r="Y755">
        <v>0</v>
      </c>
      <c r="Z755">
        <v>6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6</v>
      </c>
      <c r="AK755">
        <v>0</v>
      </c>
      <c r="AL755">
        <v>4</v>
      </c>
      <c r="AM755">
        <v>1</v>
      </c>
      <c r="AN755">
        <v>51</v>
      </c>
      <c r="AO755">
        <v>6</v>
      </c>
      <c r="AP755">
        <v>1</v>
      </c>
      <c r="AQ755">
        <v>0</v>
      </c>
      <c r="AR755" t="s">
        <v>2287</v>
      </c>
      <c r="AS755" t="s">
        <v>64</v>
      </c>
      <c r="AT755">
        <v>0.48699999999999999</v>
      </c>
      <c r="AU755" t="s">
        <v>65</v>
      </c>
      <c r="AV755">
        <v>52</v>
      </c>
      <c r="AW755">
        <v>6</v>
      </c>
      <c r="AX755" t="s">
        <v>2288</v>
      </c>
      <c r="AY755" t="s">
        <v>2289</v>
      </c>
      <c r="AZ755" t="s">
        <v>2290</v>
      </c>
      <c r="BA755">
        <v>3.074E-2</v>
      </c>
      <c r="BB755">
        <v>1</v>
      </c>
      <c r="BC755" t="s">
        <v>69</v>
      </c>
      <c r="BD755">
        <v>-0.81399999999999995</v>
      </c>
      <c r="BE755">
        <v>-0.81399999999999995</v>
      </c>
    </row>
    <row r="756" spans="1:57">
      <c r="A756">
        <v>0</v>
      </c>
      <c r="B756">
        <v>0</v>
      </c>
      <c r="C756">
        <v>0</v>
      </c>
      <c r="D756">
        <v>1614</v>
      </c>
      <c r="E756" t="s">
        <v>2291</v>
      </c>
      <c r="F756" t="s">
        <v>5762</v>
      </c>
      <c r="G756" t="s">
        <v>57</v>
      </c>
      <c r="H756">
        <v>1626948</v>
      </c>
      <c r="I756">
        <v>1627715</v>
      </c>
      <c r="J756" t="s">
        <v>2292</v>
      </c>
      <c r="K756">
        <v>256</v>
      </c>
      <c r="L756" t="s">
        <v>83</v>
      </c>
      <c r="M756">
        <v>4</v>
      </c>
      <c r="N756" t="str">
        <f>HYPERLINK("Gene1614-zp_tree_all.dnd", "Gene1614-tree")</f>
        <v>Gene1614-tree</v>
      </c>
      <c r="O756">
        <v>0</v>
      </c>
      <c r="P756">
        <v>4</v>
      </c>
      <c r="Q756">
        <v>0</v>
      </c>
      <c r="R756">
        <v>4</v>
      </c>
      <c r="S756">
        <v>1</v>
      </c>
      <c r="T756" t="s">
        <v>62</v>
      </c>
      <c r="U756" t="s">
        <v>60</v>
      </c>
      <c r="V756" t="s">
        <v>62</v>
      </c>
      <c r="W756" t="s">
        <v>62</v>
      </c>
      <c r="X756">
        <v>0</v>
      </c>
      <c r="Y756">
        <v>0</v>
      </c>
      <c r="Z756">
        <v>10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9</v>
      </c>
      <c r="AK756">
        <v>0</v>
      </c>
      <c r="AL756">
        <v>4</v>
      </c>
      <c r="AM756">
        <v>1</v>
      </c>
      <c r="AN756">
        <v>24</v>
      </c>
      <c r="AO756">
        <v>9</v>
      </c>
      <c r="AP756">
        <v>3</v>
      </c>
      <c r="AQ756">
        <v>1</v>
      </c>
      <c r="AR756" t="s">
        <v>2293</v>
      </c>
      <c r="AS756" t="s">
        <v>2294</v>
      </c>
      <c r="AT756">
        <v>3.6999999999999998E-2</v>
      </c>
      <c r="AU756" t="s">
        <v>65</v>
      </c>
      <c r="AV756">
        <v>27</v>
      </c>
      <c r="AW756">
        <v>10</v>
      </c>
      <c r="AX756" t="s">
        <v>2295</v>
      </c>
      <c r="AY756" t="s">
        <v>2296</v>
      </c>
      <c r="AZ756" t="s">
        <v>2297</v>
      </c>
      <c r="BA756">
        <v>0.10544000000000001</v>
      </c>
      <c r="BB756">
        <v>1</v>
      </c>
      <c r="BC756" t="s">
        <v>69</v>
      </c>
      <c r="BD756">
        <v>-0.52200000000000002</v>
      </c>
      <c r="BE756">
        <v>-0.52200000000000002</v>
      </c>
    </row>
    <row r="757" spans="1:57">
      <c r="A757">
        <v>0</v>
      </c>
      <c r="B757">
        <v>0</v>
      </c>
      <c r="C757">
        <v>0</v>
      </c>
      <c r="D757">
        <v>1618</v>
      </c>
      <c r="E757" t="s">
        <v>2298</v>
      </c>
      <c r="F757" t="s">
        <v>5762</v>
      </c>
      <c r="G757" t="s">
        <v>57</v>
      </c>
      <c r="H757">
        <v>1630382</v>
      </c>
      <c r="I757">
        <v>1631080</v>
      </c>
      <c r="J757" t="s">
        <v>2299</v>
      </c>
      <c r="K757">
        <v>233</v>
      </c>
      <c r="L757" t="s">
        <v>59</v>
      </c>
      <c r="M757">
        <v>5</v>
      </c>
      <c r="N757" t="str">
        <f>HYPERLINK("Gene1618-zp_tree_all.dnd", "Gene1618-tree")</f>
        <v>Gene1618-tree</v>
      </c>
      <c r="O757">
        <v>4</v>
      </c>
      <c r="P757">
        <v>1</v>
      </c>
      <c r="Q757">
        <v>4</v>
      </c>
      <c r="R757">
        <v>1</v>
      </c>
      <c r="S757">
        <v>0.2</v>
      </c>
      <c r="T757" t="s">
        <v>60</v>
      </c>
      <c r="U757" t="s">
        <v>61</v>
      </c>
      <c r="V757" t="s">
        <v>62</v>
      </c>
      <c r="W757" t="s">
        <v>62</v>
      </c>
      <c r="X757">
        <v>0</v>
      </c>
      <c r="Y757">
        <v>0</v>
      </c>
      <c r="Z757">
        <v>2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2</v>
      </c>
      <c r="AK757">
        <v>0</v>
      </c>
      <c r="AL757">
        <v>5</v>
      </c>
      <c r="AM757">
        <v>2</v>
      </c>
      <c r="AN757">
        <v>25</v>
      </c>
      <c r="AO757">
        <v>2</v>
      </c>
      <c r="AP757">
        <v>18</v>
      </c>
      <c r="AQ757">
        <v>0</v>
      </c>
      <c r="AR757" t="s">
        <v>2300</v>
      </c>
      <c r="AS757" t="s">
        <v>64</v>
      </c>
      <c r="AT757">
        <v>0.52600000000000002</v>
      </c>
      <c r="AU757" t="s">
        <v>65</v>
      </c>
      <c r="AV757">
        <v>43</v>
      </c>
      <c r="AW757">
        <v>2</v>
      </c>
      <c r="AX757" t="s">
        <v>2301</v>
      </c>
      <c r="AY757" t="s">
        <v>2302</v>
      </c>
      <c r="AZ757" t="s">
        <v>2303</v>
      </c>
      <c r="BA757">
        <v>1.0319999999999999E-2</v>
      </c>
      <c r="BB757">
        <v>1</v>
      </c>
      <c r="BC757" t="s">
        <v>69</v>
      </c>
      <c r="BD757">
        <v>0.27600000000000002</v>
      </c>
      <c r="BE757">
        <v>-0.06</v>
      </c>
    </row>
    <row r="758" spans="1:57">
      <c r="A758">
        <v>0</v>
      </c>
      <c r="B758">
        <v>2</v>
      </c>
      <c r="C758">
        <v>0</v>
      </c>
      <c r="D758">
        <v>1622</v>
      </c>
      <c r="E758" t="s">
        <v>2304</v>
      </c>
      <c r="F758" t="s">
        <v>5762</v>
      </c>
      <c r="G758" t="s">
        <v>57</v>
      </c>
      <c r="H758">
        <v>1634061</v>
      </c>
      <c r="I758">
        <v>1634831</v>
      </c>
      <c r="J758" t="s">
        <v>2305</v>
      </c>
      <c r="K758">
        <v>257</v>
      </c>
      <c r="L758" t="s">
        <v>59</v>
      </c>
      <c r="M758">
        <v>5</v>
      </c>
      <c r="N758" t="str">
        <f>HYPERLINK("Gene1622-zp_tree_all.dnd", "Gene1622-tree")</f>
        <v>Gene1622-tree</v>
      </c>
      <c r="O758">
        <v>0</v>
      </c>
      <c r="P758">
        <v>5</v>
      </c>
      <c r="Q758">
        <v>0</v>
      </c>
      <c r="R758">
        <v>5</v>
      </c>
      <c r="S758">
        <v>1</v>
      </c>
      <c r="T758" t="s">
        <v>62</v>
      </c>
      <c r="U758" t="s">
        <v>98</v>
      </c>
      <c r="V758" t="s">
        <v>62</v>
      </c>
      <c r="W758" t="s">
        <v>62</v>
      </c>
      <c r="X758">
        <v>1</v>
      </c>
      <c r="Y758">
        <v>2</v>
      </c>
      <c r="Z758">
        <v>9</v>
      </c>
      <c r="AA758">
        <v>0.18182000000000001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2</v>
      </c>
      <c r="AH758">
        <v>0</v>
      </c>
      <c r="AI758">
        <v>2</v>
      </c>
      <c r="AJ758">
        <v>6</v>
      </c>
      <c r="AK758">
        <v>0.25</v>
      </c>
      <c r="AL758">
        <v>5</v>
      </c>
      <c r="AM758">
        <v>2</v>
      </c>
      <c r="AN758">
        <v>35</v>
      </c>
      <c r="AO758">
        <v>9</v>
      </c>
      <c r="AP758">
        <v>11</v>
      </c>
      <c r="AQ758">
        <v>3</v>
      </c>
      <c r="AR758" t="s">
        <v>2306</v>
      </c>
      <c r="AS758" t="s">
        <v>2307</v>
      </c>
      <c r="AT758">
        <v>0.48099999999999998</v>
      </c>
      <c r="AU758" t="s">
        <v>65</v>
      </c>
      <c r="AV758">
        <v>46</v>
      </c>
      <c r="AW758">
        <v>12</v>
      </c>
      <c r="AX758" t="s">
        <v>2308</v>
      </c>
      <c r="AY758" t="s">
        <v>2309</v>
      </c>
      <c r="AZ758" t="s">
        <v>2310</v>
      </c>
      <c r="BA758">
        <v>7.6600000000000001E-2</v>
      </c>
      <c r="BB758">
        <v>1</v>
      </c>
      <c r="BC758" t="s">
        <v>69</v>
      </c>
      <c r="BD758">
        <v>-0.11700000000000001</v>
      </c>
      <c r="BE758">
        <v>-0.39500000000000002</v>
      </c>
    </row>
    <row r="759" spans="1:57">
      <c r="A759">
        <v>0</v>
      </c>
      <c r="B759">
        <v>0</v>
      </c>
      <c r="C759">
        <v>2</v>
      </c>
      <c r="D759">
        <v>1627</v>
      </c>
      <c r="E759" t="s">
        <v>2311</v>
      </c>
      <c r="F759" t="s">
        <v>5762</v>
      </c>
      <c r="G759" t="s">
        <v>57</v>
      </c>
      <c r="H759">
        <v>1640720</v>
      </c>
      <c r="I759">
        <v>1641592</v>
      </c>
      <c r="J759" t="s">
        <v>118</v>
      </c>
      <c r="K759">
        <v>291</v>
      </c>
      <c r="L759" t="s">
        <v>59</v>
      </c>
      <c r="M759">
        <v>5</v>
      </c>
      <c r="N759" t="str">
        <f>HYPERLINK("Gene1627-zp_tree_all.dnd", "Gene1627-tree")</f>
        <v>Gene1627-tree</v>
      </c>
      <c r="O759">
        <v>2</v>
      </c>
      <c r="P759">
        <v>3</v>
      </c>
      <c r="Q759">
        <v>1</v>
      </c>
      <c r="R759">
        <v>3</v>
      </c>
      <c r="S759">
        <v>0.75</v>
      </c>
      <c r="T759" t="s">
        <v>61</v>
      </c>
      <c r="U759" t="s">
        <v>84</v>
      </c>
      <c r="V759" t="s">
        <v>62</v>
      </c>
      <c r="W759" t="s">
        <v>62</v>
      </c>
      <c r="X759">
        <v>1</v>
      </c>
      <c r="Y759">
        <v>2</v>
      </c>
      <c r="Z759">
        <v>11</v>
      </c>
      <c r="AA759">
        <v>0.15384999999999999</v>
      </c>
      <c r="AB759">
        <v>0</v>
      </c>
      <c r="AC759">
        <v>0</v>
      </c>
      <c r="AD759">
        <v>0</v>
      </c>
      <c r="AE759">
        <v>7</v>
      </c>
      <c r="AF759">
        <v>0</v>
      </c>
      <c r="AG759">
        <v>0</v>
      </c>
      <c r="AH759">
        <v>2</v>
      </c>
      <c r="AI759">
        <v>2</v>
      </c>
      <c r="AJ759">
        <v>4</v>
      </c>
      <c r="AK759">
        <v>0.33333000000000002</v>
      </c>
      <c r="AL759">
        <v>4</v>
      </c>
      <c r="AM759">
        <v>1</v>
      </c>
      <c r="AN759">
        <v>8</v>
      </c>
      <c r="AO759">
        <v>6</v>
      </c>
      <c r="AP759">
        <v>22</v>
      </c>
      <c r="AQ759">
        <v>7</v>
      </c>
      <c r="AR759" t="s">
        <v>2312</v>
      </c>
      <c r="AS759" t="s">
        <v>2313</v>
      </c>
      <c r="AT759">
        <v>0.91300000000000003</v>
      </c>
      <c r="AU759" t="s">
        <v>65</v>
      </c>
      <c r="AV759">
        <v>30</v>
      </c>
      <c r="AW759">
        <v>13</v>
      </c>
      <c r="AX759" t="s">
        <v>2314</v>
      </c>
      <c r="AY759" t="s">
        <v>2315</v>
      </c>
      <c r="AZ759" t="s">
        <v>2316</v>
      </c>
      <c r="BA759">
        <v>0.10463</v>
      </c>
      <c r="BB759">
        <v>1</v>
      </c>
      <c r="BC759" t="s">
        <v>69</v>
      </c>
      <c r="BD759">
        <v>0.93400000000000005</v>
      </c>
      <c r="BE759">
        <v>0.93400000000000005</v>
      </c>
    </row>
    <row r="760" spans="1:57">
      <c r="A760">
        <v>0</v>
      </c>
      <c r="B760">
        <v>0</v>
      </c>
      <c r="C760">
        <v>0</v>
      </c>
      <c r="D760">
        <v>1628</v>
      </c>
      <c r="E760" t="s">
        <v>2317</v>
      </c>
      <c r="F760" t="s">
        <v>5762</v>
      </c>
      <c r="G760" t="s">
        <v>57</v>
      </c>
      <c r="H760">
        <v>1641672</v>
      </c>
      <c r="I760">
        <v>1641938</v>
      </c>
      <c r="J760" t="s">
        <v>2318</v>
      </c>
      <c r="K760">
        <v>89</v>
      </c>
      <c r="L760" t="s">
        <v>59</v>
      </c>
      <c r="M760">
        <v>5</v>
      </c>
      <c r="N760" t="str">
        <f>HYPERLINK("Gene1628-zp_tree_all.dnd", "Gene1628-tree")</f>
        <v>Gene1628-tree</v>
      </c>
    </row>
    <row r="761" spans="1:57">
      <c r="A761">
        <v>0</v>
      </c>
      <c r="B761">
        <v>0</v>
      </c>
      <c r="C761">
        <v>0</v>
      </c>
      <c r="D761">
        <v>1629</v>
      </c>
      <c r="E761" t="s">
        <v>2319</v>
      </c>
      <c r="F761" t="s">
        <v>5762</v>
      </c>
      <c r="G761" t="s">
        <v>57</v>
      </c>
      <c r="H761">
        <v>1641949</v>
      </c>
      <c r="I761">
        <v>1642560</v>
      </c>
      <c r="J761" t="s">
        <v>2320</v>
      </c>
      <c r="K761">
        <v>204</v>
      </c>
      <c r="L761" t="s">
        <v>59</v>
      </c>
      <c r="M761">
        <v>5</v>
      </c>
      <c r="N761" t="str">
        <f>HYPERLINK("Gene1629-zp_tree_all.dnd", "Gene1629-tree")</f>
        <v>Gene1629-tree</v>
      </c>
      <c r="O761">
        <v>4</v>
      </c>
      <c r="P761">
        <v>1</v>
      </c>
      <c r="Q761">
        <v>4</v>
      </c>
      <c r="R761">
        <v>1</v>
      </c>
      <c r="S761">
        <v>0.2</v>
      </c>
      <c r="T761" t="s">
        <v>60</v>
      </c>
      <c r="U761" t="s">
        <v>61</v>
      </c>
      <c r="V761" t="s">
        <v>62</v>
      </c>
      <c r="W761" t="s">
        <v>62</v>
      </c>
      <c r="X761">
        <v>0</v>
      </c>
      <c r="Y761">
        <v>0</v>
      </c>
      <c r="Z761">
        <v>3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2</v>
      </c>
      <c r="AK761">
        <v>0</v>
      </c>
      <c r="AL761">
        <v>4</v>
      </c>
      <c r="AM761">
        <v>1</v>
      </c>
      <c r="AN761">
        <v>10</v>
      </c>
      <c r="AO761">
        <v>2</v>
      </c>
      <c r="AP761">
        <v>19</v>
      </c>
      <c r="AQ761">
        <v>1</v>
      </c>
      <c r="AR761" t="s">
        <v>2321</v>
      </c>
      <c r="AS761" t="s">
        <v>2322</v>
      </c>
      <c r="AT761">
        <v>0.47299999999999998</v>
      </c>
      <c r="AU761" t="s">
        <v>65</v>
      </c>
      <c r="AV761">
        <v>29</v>
      </c>
      <c r="AW761">
        <v>3</v>
      </c>
      <c r="AX761" t="s">
        <v>2323</v>
      </c>
      <c r="AY761" t="s">
        <v>2324</v>
      </c>
      <c r="AZ761" t="s">
        <v>2325</v>
      </c>
      <c r="BA761">
        <v>2.4080000000000001E-2</v>
      </c>
      <c r="BB761">
        <v>1</v>
      </c>
      <c r="BC761" t="s">
        <v>69</v>
      </c>
      <c r="BD761">
        <v>0.91500000000000004</v>
      </c>
      <c r="BE761">
        <v>0.66400000000000003</v>
      </c>
    </row>
    <row r="762" spans="1:57">
      <c r="A762">
        <v>0</v>
      </c>
      <c r="B762">
        <v>0</v>
      </c>
      <c r="C762">
        <v>0</v>
      </c>
      <c r="D762">
        <v>1630</v>
      </c>
      <c r="E762" t="s">
        <v>2326</v>
      </c>
      <c r="F762" t="s">
        <v>5762</v>
      </c>
      <c r="G762" t="s">
        <v>57</v>
      </c>
      <c r="H762">
        <v>1642567</v>
      </c>
      <c r="I762">
        <v>1642767</v>
      </c>
      <c r="J762" t="s">
        <v>2327</v>
      </c>
      <c r="K762">
        <v>67</v>
      </c>
      <c r="L762" t="s">
        <v>59</v>
      </c>
      <c r="M762">
        <v>5</v>
      </c>
      <c r="N762" t="str">
        <f>HYPERLINK("Gene1630-zp_tree_all.dnd", "Gene1630-tree")</f>
        <v>Gene1630-tree</v>
      </c>
      <c r="O762">
        <v>4</v>
      </c>
      <c r="P762">
        <v>0</v>
      </c>
      <c r="Q762">
        <v>4</v>
      </c>
      <c r="R762">
        <v>0</v>
      </c>
      <c r="S762">
        <v>0</v>
      </c>
      <c r="T762" t="s">
        <v>60</v>
      </c>
      <c r="U762" t="s">
        <v>62</v>
      </c>
      <c r="V762" t="s">
        <v>62</v>
      </c>
      <c r="W762" t="s">
        <v>62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3</v>
      </c>
      <c r="AM762">
        <v>1</v>
      </c>
      <c r="AN762">
        <v>4</v>
      </c>
      <c r="AO762">
        <v>0</v>
      </c>
      <c r="AP762">
        <v>5</v>
      </c>
      <c r="AQ762">
        <v>0</v>
      </c>
      <c r="AR762" t="s">
        <v>64</v>
      </c>
      <c r="AS762" t="s">
        <v>64</v>
      </c>
      <c r="AT762">
        <v>0</v>
      </c>
      <c r="AU762" t="s">
        <v>65</v>
      </c>
      <c r="AV762">
        <v>9</v>
      </c>
      <c r="AW762">
        <v>0</v>
      </c>
      <c r="AX762" t="s">
        <v>2328</v>
      </c>
      <c r="AY762" t="s">
        <v>2329</v>
      </c>
      <c r="AZ762" t="s">
        <v>64</v>
      </c>
      <c r="BA762">
        <v>0</v>
      </c>
      <c r="BB762">
        <v>1</v>
      </c>
      <c r="BC762" t="s">
        <v>69</v>
      </c>
      <c r="BD762">
        <v>1.5780000000000001</v>
      </c>
      <c r="BE762">
        <v>0.66100000000000003</v>
      </c>
    </row>
    <row r="763" spans="1:57">
      <c r="A763">
        <v>0</v>
      </c>
      <c r="B763">
        <v>0</v>
      </c>
      <c r="C763">
        <v>0</v>
      </c>
      <c r="D763">
        <v>1636</v>
      </c>
      <c r="E763" t="s">
        <v>2330</v>
      </c>
      <c r="F763" t="s">
        <v>5762</v>
      </c>
      <c r="G763" t="s">
        <v>57</v>
      </c>
      <c r="H763">
        <v>1649286</v>
      </c>
      <c r="I763">
        <v>1650374</v>
      </c>
      <c r="J763" t="s">
        <v>2331</v>
      </c>
      <c r="K763">
        <v>363</v>
      </c>
      <c r="L763" t="s">
        <v>83</v>
      </c>
      <c r="M763">
        <v>4</v>
      </c>
      <c r="N763" t="str">
        <f>HYPERLINK("Gene1636-zp_tree_all.dnd", "Gene1636-tree")</f>
        <v>Gene1636-tree</v>
      </c>
      <c r="O763">
        <v>2</v>
      </c>
      <c r="P763">
        <v>2</v>
      </c>
      <c r="Q763">
        <v>2</v>
      </c>
      <c r="R763">
        <v>2</v>
      </c>
      <c r="S763">
        <v>0.5</v>
      </c>
      <c r="T763" t="s">
        <v>135</v>
      </c>
      <c r="U763" t="s">
        <v>135</v>
      </c>
      <c r="V763" t="s">
        <v>62</v>
      </c>
      <c r="W763" t="s">
        <v>62</v>
      </c>
      <c r="X763">
        <v>0</v>
      </c>
      <c r="Y763">
        <v>0</v>
      </c>
      <c r="Z763">
        <v>8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7</v>
      </c>
      <c r="AK763">
        <v>0</v>
      </c>
      <c r="AL763">
        <v>4</v>
      </c>
      <c r="AM763">
        <v>1</v>
      </c>
      <c r="AN763">
        <v>55</v>
      </c>
      <c r="AO763">
        <v>7</v>
      </c>
      <c r="AP763">
        <v>5</v>
      </c>
      <c r="AQ763">
        <v>1</v>
      </c>
      <c r="AR763" t="s">
        <v>2332</v>
      </c>
      <c r="AS763" t="s">
        <v>2333</v>
      </c>
      <c r="AT763">
        <v>0.40400000000000003</v>
      </c>
      <c r="AU763" t="s">
        <v>65</v>
      </c>
      <c r="AV763">
        <v>60</v>
      </c>
      <c r="AW763">
        <v>8</v>
      </c>
      <c r="AX763" t="s">
        <v>2334</v>
      </c>
      <c r="AY763" t="s">
        <v>2335</v>
      </c>
      <c r="AZ763" t="s">
        <v>2336</v>
      </c>
      <c r="BA763">
        <v>3.5650000000000001E-2</v>
      </c>
      <c r="BB763">
        <v>1</v>
      </c>
      <c r="BC763" t="s">
        <v>69</v>
      </c>
      <c r="BD763">
        <v>-0.48299999999999998</v>
      </c>
      <c r="BE763">
        <v>-0.77300000000000002</v>
      </c>
    </row>
    <row r="764" spans="1:57">
      <c r="A764">
        <v>0</v>
      </c>
      <c r="B764">
        <v>0</v>
      </c>
      <c r="C764">
        <v>0</v>
      </c>
      <c r="D764">
        <v>1637</v>
      </c>
      <c r="E764" t="s">
        <v>2337</v>
      </c>
      <c r="F764" t="s">
        <v>5762</v>
      </c>
      <c r="G764" t="s">
        <v>57</v>
      </c>
      <c r="H764">
        <v>1650384</v>
      </c>
      <c r="I764">
        <v>1651145</v>
      </c>
      <c r="J764" t="s">
        <v>2338</v>
      </c>
      <c r="K764">
        <v>254</v>
      </c>
      <c r="L764" t="s">
        <v>59</v>
      </c>
      <c r="M764">
        <v>5</v>
      </c>
      <c r="N764" t="str">
        <f>HYPERLINK("Gene1637-zp_tree_all.dnd", "Gene1637-tree")</f>
        <v>Gene1637-tree</v>
      </c>
      <c r="O764">
        <v>3</v>
      </c>
      <c r="P764">
        <v>2</v>
      </c>
      <c r="Q764">
        <v>3</v>
      </c>
      <c r="R764">
        <v>2</v>
      </c>
      <c r="S764">
        <v>0.4</v>
      </c>
      <c r="T764" t="s">
        <v>84</v>
      </c>
      <c r="U764" t="s">
        <v>135</v>
      </c>
      <c r="V764" t="s">
        <v>62</v>
      </c>
      <c r="W764" t="s">
        <v>62</v>
      </c>
      <c r="X764">
        <v>0</v>
      </c>
      <c r="Y764">
        <v>0</v>
      </c>
      <c r="Z764">
        <v>11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2</v>
      </c>
      <c r="AK764">
        <v>0</v>
      </c>
      <c r="AL764">
        <v>5</v>
      </c>
      <c r="AM764">
        <v>2</v>
      </c>
      <c r="AN764">
        <v>18</v>
      </c>
      <c r="AO764">
        <v>2</v>
      </c>
      <c r="AP764">
        <v>17</v>
      </c>
      <c r="AQ764">
        <v>10</v>
      </c>
      <c r="AR764" t="s">
        <v>2339</v>
      </c>
      <c r="AS764" t="s">
        <v>2340</v>
      </c>
      <c r="AT764">
        <v>1.3839999999999999</v>
      </c>
      <c r="AU764" t="s">
        <v>65</v>
      </c>
      <c r="AV764">
        <v>35</v>
      </c>
      <c r="AW764">
        <v>12</v>
      </c>
      <c r="AX764" t="s">
        <v>2341</v>
      </c>
      <c r="AY764" t="s">
        <v>2342</v>
      </c>
      <c r="AZ764" t="s">
        <v>2343</v>
      </c>
      <c r="BA764">
        <v>0.10645</v>
      </c>
      <c r="BB764">
        <v>1</v>
      </c>
      <c r="BC764" t="s">
        <v>69</v>
      </c>
      <c r="BD764">
        <v>0.69799999999999995</v>
      </c>
      <c r="BE764">
        <v>0.55800000000000005</v>
      </c>
    </row>
    <row r="765" spans="1:57">
      <c r="A765">
        <v>0</v>
      </c>
      <c r="B765">
        <v>0</v>
      </c>
      <c r="C765">
        <v>0</v>
      </c>
      <c r="D765">
        <v>1639</v>
      </c>
      <c r="E765" t="s">
        <v>2344</v>
      </c>
      <c r="F765" t="s">
        <v>5762</v>
      </c>
      <c r="G765" t="s">
        <v>57</v>
      </c>
      <c r="H765">
        <v>1653103</v>
      </c>
      <c r="I765">
        <v>1653996</v>
      </c>
      <c r="J765" t="s">
        <v>2345</v>
      </c>
      <c r="K765">
        <v>298</v>
      </c>
      <c r="L765" t="s">
        <v>59</v>
      </c>
      <c r="M765">
        <v>5</v>
      </c>
      <c r="N765" t="str">
        <f>HYPERLINK("Gene1639-zp_tree_all.dnd", "Gene1639-tree")</f>
        <v>Gene1639-tree</v>
      </c>
      <c r="O765">
        <v>2</v>
      </c>
      <c r="P765">
        <v>3</v>
      </c>
      <c r="Q765">
        <v>2</v>
      </c>
      <c r="R765">
        <v>3</v>
      </c>
      <c r="S765">
        <v>0.6</v>
      </c>
      <c r="T765" t="s">
        <v>135</v>
      </c>
      <c r="U765" t="s">
        <v>84</v>
      </c>
      <c r="V765" t="s">
        <v>62</v>
      </c>
      <c r="W765" t="s">
        <v>62</v>
      </c>
      <c r="X765">
        <v>0</v>
      </c>
      <c r="Y765">
        <v>0</v>
      </c>
      <c r="Z765">
        <v>9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5</v>
      </c>
      <c r="AK765">
        <v>0</v>
      </c>
      <c r="AL765">
        <v>5</v>
      </c>
      <c r="AM765">
        <v>2</v>
      </c>
      <c r="AN765">
        <v>25</v>
      </c>
      <c r="AO765">
        <v>5</v>
      </c>
      <c r="AP765">
        <v>27</v>
      </c>
      <c r="AQ765">
        <v>4</v>
      </c>
      <c r="AR765" t="s">
        <v>2346</v>
      </c>
      <c r="AS765" t="s">
        <v>2347</v>
      </c>
      <c r="AT765">
        <v>0.28699999999999998</v>
      </c>
      <c r="AU765" t="s">
        <v>65</v>
      </c>
      <c r="AV765">
        <v>52</v>
      </c>
      <c r="AW765">
        <v>9</v>
      </c>
      <c r="AX765" t="s">
        <v>2348</v>
      </c>
      <c r="AY765" t="s">
        <v>2349</v>
      </c>
      <c r="AZ765" t="s">
        <v>2350</v>
      </c>
      <c r="BA765">
        <v>4.7719999999999999E-2</v>
      </c>
      <c r="BB765">
        <v>1</v>
      </c>
      <c r="BC765" t="s">
        <v>69</v>
      </c>
      <c r="BD765">
        <v>0.63</v>
      </c>
      <c r="BE765">
        <v>0.22900000000000001</v>
      </c>
    </row>
    <row r="766" spans="1:57">
      <c r="A766">
        <v>0</v>
      </c>
      <c r="B766">
        <v>0</v>
      </c>
      <c r="C766">
        <v>0</v>
      </c>
      <c r="D766">
        <v>1642</v>
      </c>
      <c r="E766" t="s">
        <v>2351</v>
      </c>
      <c r="F766" t="s">
        <v>5762</v>
      </c>
      <c r="G766" t="s">
        <v>57</v>
      </c>
      <c r="H766">
        <v>1655446</v>
      </c>
      <c r="I766">
        <v>1655523</v>
      </c>
      <c r="J766" t="s">
        <v>2352</v>
      </c>
      <c r="K766">
        <v>26</v>
      </c>
      <c r="L766" t="s">
        <v>59</v>
      </c>
      <c r="M766">
        <v>5</v>
      </c>
      <c r="N766" t="str">
        <f>HYPERLINK("Gene1642-zp_tree_all.dnd", "Gene1642-tree")</f>
        <v>Gene1642-tree</v>
      </c>
    </row>
    <row r="767" spans="1:57">
      <c r="A767">
        <v>0</v>
      </c>
      <c r="B767">
        <v>0</v>
      </c>
      <c r="C767">
        <v>0</v>
      </c>
      <c r="D767">
        <v>1644</v>
      </c>
      <c r="E767" t="s">
        <v>2355</v>
      </c>
      <c r="F767" t="s">
        <v>5762</v>
      </c>
      <c r="G767" t="s">
        <v>57</v>
      </c>
      <c r="H767">
        <v>1656064</v>
      </c>
      <c r="I767">
        <v>1656423</v>
      </c>
      <c r="J767" t="s">
        <v>2356</v>
      </c>
      <c r="K767">
        <v>120</v>
      </c>
      <c r="L767" t="s">
        <v>59</v>
      </c>
      <c r="M767">
        <v>5</v>
      </c>
      <c r="N767" t="str">
        <f>HYPERLINK("Gene1644-zp_tree_all.dnd", "Gene1644-tree")</f>
        <v>Gene1644-tree</v>
      </c>
      <c r="O767">
        <v>4</v>
      </c>
      <c r="P767">
        <v>0</v>
      </c>
      <c r="Q767">
        <v>4</v>
      </c>
      <c r="R767">
        <v>0</v>
      </c>
      <c r="S767">
        <v>0</v>
      </c>
      <c r="T767" t="s">
        <v>60</v>
      </c>
      <c r="U767" t="s">
        <v>62</v>
      </c>
      <c r="V767" t="s">
        <v>62</v>
      </c>
      <c r="W767" t="s">
        <v>62</v>
      </c>
      <c r="X767">
        <v>0</v>
      </c>
      <c r="Y767">
        <v>0</v>
      </c>
      <c r="Z767">
        <v>2</v>
      </c>
      <c r="AA767">
        <v>0</v>
      </c>
      <c r="AB767">
        <v>0</v>
      </c>
      <c r="AC767">
        <v>0</v>
      </c>
      <c r="AD767">
        <v>0</v>
      </c>
      <c r="AE767">
        <v>2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3</v>
      </c>
      <c r="AM767">
        <v>1</v>
      </c>
      <c r="AN767">
        <v>4</v>
      </c>
      <c r="AO767">
        <v>0</v>
      </c>
      <c r="AP767">
        <v>7</v>
      </c>
      <c r="AQ767">
        <v>2</v>
      </c>
      <c r="AR767" t="s">
        <v>64</v>
      </c>
      <c r="AS767" t="s">
        <v>2357</v>
      </c>
      <c r="AT767">
        <v>0</v>
      </c>
      <c r="AU767" t="s">
        <v>65</v>
      </c>
      <c r="AV767">
        <v>11</v>
      </c>
      <c r="AW767">
        <v>2</v>
      </c>
      <c r="AX767" t="s">
        <v>2358</v>
      </c>
      <c r="AY767" t="s">
        <v>2359</v>
      </c>
      <c r="AZ767" t="s">
        <v>2360</v>
      </c>
      <c r="BA767">
        <v>5.7750000000000003E-2</v>
      </c>
      <c r="BB767">
        <v>1</v>
      </c>
      <c r="BC767" t="s">
        <v>69</v>
      </c>
      <c r="BD767">
        <v>0.88500000000000001</v>
      </c>
      <c r="BE767">
        <v>0.88500000000000001</v>
      </c>
    </row>
    <row r="768" spans="1:57">
      <c r="A768">
        <v>0</v>
      </c>
      <c r="B768">
        <v>0</v>
      </c>
      <c r="C768">
        <v>0</v>
      </c>
      <c r="D768">
        <v>1646</v>
      </c>
      <c r="E768" t="s">
        <v>2361</v>
      </c>
      <c r="F768" t="s">
        <v>5762</v>
      </c>
      <c r="G768" t="s">
        <v>57</v>
      </c>
      <c r="H768">
        <v>1658242</v>
      </c>
      <c r="I768">
        <v>1658901</v>
      </c>
      <c r="J768" t="s">
        <v>2362</v>
      </c>
      <c r="K768">
        <v>220</v>
      </c>
      <c r="L768" t="s">
        <v>59</v>
      </c>
      <c r="M768">
        <v>5</v>
      </c>
      <c r="N768" t="str">
        <f>HYPERLINK("Gene1646-zp_tree_all.dnd", "Gene1646-tree")</f>
        <v>Gene1646-tree</v>
      </c>
      <c r="O768">
        <v>3</v>
      </c>
      <c r="P768">
        <v>2</v>
      </c>
      <c r="Q768">
        <v>3</v>
      </c>
      <c r="R768">
        <v>2</v>
      </c>
      <c r="S768">
        <v>0.4</v>
      </c>
      <c r="T768" t="s">
        <v>84</v>
      </c>
      <c r="U768" t="s">
        <v>135</v>
      </c>
      <c r="V768" t="s">
        <v>62</v>
      </c>
      <c r="W768" t="s">
        <v>62</v>
      </c>
      <c r="X768">
        <v>0</v>
      </c>
      <c r="Y768">
        <v>0</v>
      </c>
      <c r="Z768">
        <v>4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2</v>
      </c>
      <c r="AK768">
        <v>0</v>
      </c>
      <c r="AL768">
        <v>5</v>
      </c>
      <c r="AM768">
        <v>2</v>
      </c>
      <c r="AN768">
        <v>27</v>
      </c>
      <c r="AO768">
        <v>2</v>
      </c>
      <c r="AP768">
        <v>17</v>
      </c>
      <c r="AQ768">
        <v>2</v>
      </c>
      <c r="AR768" t="s">
        <v>2363</v>
      </c>
      <c r="AS768" t="s">
        <v>2364</v>
      </c>
      <c r="AT768">
        <v>0.27900000000000003</v>
      </c>
      <c r="AU768" t="s">
        <v>65</v>
      </c>
      <c r="AV768">
        <v>44</v>
      </c>
      <c r="AW768">
        <v>4</v>
      </c>
      <c r="AX768" t="s">
        <v>2365</v>
      </c>
      <c r="AY768" t="s">
        <v>2366</v>
      </c>
      <c r="AZ768" t="s">
        <v>2367</v>
      </c>
      <c r="BA768">
        <v>2.6710000000000001E-2</v>
      </c>
      <c r="BB768">
        <v>1</v>
      </c>
      <c r="BC768" t="s">
        <v>69</v>
      </c>
      <c r="BD768">
        <v>0.109</v>
      </c>
      <c r="BE768">
        <v>0.109</v>
      </c>
    </row>
    <row r="769" spans="1:57">
      <c r="A769">
        <v>0</v>
      </c>
      <c r="B769">
        <v>0</v>
      </c>
      <c r="C769">
        <v>0</v>
      </c>
      <c r="D769">
        <v>1649</v>
      </c>
      <c r="E769" t="s">
        <v>2368</v>
      </c>
      <c r="F769" t="s">
        <v>5762</v>
      </c>
      <c r="G769" t="s">
        <v>57</v>
      </c>
      <c r="H769">
        <v>1661967</v>
      </c>
      <c r="I769">
        <v>1662530</v>
      </c>
      <c r="J769" t="s">
        <v>2369</v>
      </c>
      <c r="K769">
        <v>188</v>
      </c>
      <c r="L769" t="s">
        <v>59</v>
      </c>
      <c r="M769">
        <v>5</v>
      </c>
      <c r="N769" t="str">
        <f>HYPERLINK("Gene1649-zp_tree_all.dnd", "Gene1649-tree")</f>
        <v>Gene1649-tree</v>
      </c>
      <c r="O769">
        <v>4</v>
      </c>
      <c r="P769">
        <v>1</v>
      </c>
      <c r="Q769">
        <v>4</v>
      </c>
      <c r="R769">
        <v>1</v>
      </c>
      <c r="S769">
        <v>0.2</v>
      </c>
      <c r="T769" t="s">
        <v>60</v>
      </c>
      <c r="U769" t="s">
        <v>61</v>
      </c>
      <c r="V769" t="s">
        <v>62</v>
      </c>
      <c r="W769" t="s">
        <v>62</v>
      </c>
      <c r="X769">
        <v>0</v>
      </c>
      <c r="Y769">
        <v>0</v>
      </c>
      <c r="Z769">
        <v>2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1</v>
      </c>
      <c r="AK769">
        <v>0</v>
      </c>
      <c r="AL769">
        <v>5</v>
      </c>
      <c r="AM769">
        <v>2</v>
      </c>
      <c r="AN769">
        <v>17</v>
      </c>
      <c r="AO769">
        <v>1</v>
      </c>
      <c r="AP769">
        <v>18</v>
      </c>
      <c r="AQ769">
        <v>1</v>
      </c>
      <c r="AR769" t="s">
        <v>2370</v>
      </c>
      <c r="AS769" t="s">
        <v>2371</v>
      </c>
      <c r="AT769">
        <v>3.5999999999999997E-2</v>
      </c>
      <c r="AU769" t="s">
        <v>65</v>
      </c>
      <c r="AV769">
        <v>35</v>
      </c>
      <c r="AW769">
        <v>2</v>
      </c>
      <c r="AX769" t="s">
        <v>2372</v>
      </c>
      <c r="AY769" t="s">
        <v>2373</v>
      </c>
      <c r="AZ769" t="s">
        <v>2374</v>
      </c>
      <c r="BA769">
        <v>1.6539999999999999E-2</v>
      </c>
      <c r="BB769">
        <v>1</v>
      </c>
      <c r="BC769" t="s">
        <v>69</v>
      </c>
      <c r="BD769">
        <v>0.91500000000000004</v>
      </c>
      <c r="BE769">
        <v>0.161</v>
      </c>
    </row>
    <row r="770" spans="1:57">
      <c r="A770">
        <v>0</v>
      </c>
      <c r="B770">
        <v>0</v>
      </c>
      <c r="C770">
        <v>0</v>
      </c>
      <c r="D770">
        <v>1650</v>
      </c>
      <c r="E770" t="s">
        <v>2375</v>
      </c>
      <c r="F770" t="s">
        <v>5762</v>
      </c>
      <c r="G770" t="s">
        <v>57</v>
      </c>
      <c r="H770">
        <v>1662547</v>
      </c>
      <c r="I770">
        <v>1663545</v>
      </c>
      <c r="J770" t="s">
        <v>2376</v>
      </c>
      <c r="K770">
        <v>333</v>
      </c>
      <c r="L770" t="s">
        <v>59</v>
      </c>
      <c r="M770">
        <v>5</v>
      </c>
      <c r="N770" t="str">
        <f>HYPERLINK("Gene1650-zp_tree_all.dnd", "Gene1650-tree")</f>
        <v>Gene1650-tree</v>
      </c>
      <c r="O770">
        <v>3</v>
      </c>
      <c r="P770">
        <v>2</v>
      </c>
      <c r="Q770">
        <v>3</v>
      </c>
      <c r="R770">
        <v>2</v>
      </c>
      <c r="S770">
        <v>0.4</v>
      </c>
      <c r="T770" t="s">
        <v>84</v>
      </c>
      <c r="U770" t="s">
        <v>135</v>
      </c>
      <c r="V770" t="s">
        <v>62</v>
      </c>
      <c r="W770" t="s">
        <v>62</v>
      </c>
      <c r="X770">
        <v>0</v>
      </c>
      <c r="Y770">
        <v>0</v>
      </c>
      <c r="Z770">
        <v>6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3</v>
      </c>
      <c r="AK770">
        <v>0</v>
      </c>
      <c r="AL770">
        <v>5</v>
      </c>
      <c r="AM770">
        <v>2</v>
      </c>
      <c r="AN770">
        <v>21</v>
      </c>
      <c r="AO770">
        <v>3</v>
      </c>
      <c r="AP770">
        <v>28</v>
      </c>
      <c r="AQ770">
        <v>4</v>
      </c>
      <c r="AR770" t="s">
        <v>2377</v>
      </c>
      <c r="AS770" t="s">
        <v>2378</v>
      </c>
      <c r="AT770">
        <v>3.6999999999999998E-2</v>
      </c>
      <c r="AU770" t="s">
        <v>65</v>
      </c>
      <c r="AV770">
        <v>49</v>
      </c>
      <c r="AW770">
        <v>7</v>
      </c>
      <c r="AX770" t="s">
        <v>2379</v>
      </c>
      <c r="AY770" t="s">
        <v>2380</v>
      </c>
      <c r="AZ770" t="s">
        <v>2381</v>
      </c>
      <c r="BA770">
        <v>4.1860000000000001E-2</v>
      </c>
      <c r="BB770">
        <v>1</v>
      </c>
      <c r="BC770" t="s">
        <v>69</v>
      </c>
      <c r="BD770">
        <v>0.63500000000000001</v>
      </c>
      <c r="BE770">
        <v>0.49</v>
      </c>
    </row>
    <row r="771" spans="1:57">
      <c r="A771">
        <v>0</v>
      </c>
      <c r="B771">
        <v>0</v>
      </c>
      <c r="C771">
        <v>0</v>
      </c>
      <c r="D771">
        <v>1653</v>
      </c>
      <c r="E771" t="s">
        <v>2382</v>
      </c>
      <c r="F771" t="s">
        <v>5762</v>
      </c>
      <c r="G771" t="s">
        <v>57</v>
      </c>
      <c r="H771">
        <v>1665337</v>
      </c>
      <c r="I771">
        <v>1665567</v>
      </c>
      <c r="J771" t="s">
        <v>2383</v>
      </c>
      <c r="K771">
        <v>77</v>
      </c>
      <c r="L771" t="s">
        <v>59</v>
      </c>
      <c r="M771">
        <v>5</v>
      </c>
      <c r="N771" t="str">
        <f>HYPERLINK("Gene1653-zp_tree_all.dnd", "Gene1653-tree")</f>
        <v>Gene1653-tree</v>
      </c>
    </row>
    <row r="772" spans="1:57">
      <c r="A772">
        <v>0</v>
      </c>
      <c r="B772">
        <v>0</v>
      </c>
      <c r="C772">
        <v>0</v>
      </c>
      <c r="D772">
        <v>1654</v>
      </c>
      <c r="E772" t="s">
        <v>2384</v>
      </c>
      <c r="F772" t="s">
        <v>5762</v>
      </c>
      <c r="G772" t="s">
        <v>57</v>
      </c>
      <c r="H772">
        <v>1665710</v>
      </c>
      <c r="I772">
        <v>1666456</v>
      </c>
      <c r="J772" t="s">
        <v>2385</v>
      </c>
      <c r="K772">
        <v>249</v>
      </c>
      <c r="L772" t="s">
        <v>59</v>
      </c>
      <c r="M772">
        <v>5</v>
      </c>
      <c r="N772" t="str">
        <f>HYPERLINK("Gene1654-zp_tree_all.dnd", "Gene1654-tree")</f>
        <v>Gene1654-tree</v>
      </c>
      <c r="O772">
        <v>4</v>
      </c>
      <c r="P772">
        <v>1</v>
      </c>
      <c r="Q772">
        <v>3</v>
      </c>
      <c r="R772">
        <v>1</v>
      </c>
      <c r="S772">
        <v>0.25</v>
      </c>
      <c r="T772" t="s">
        <v>119</v>
      </c>
      <c r="U772" t="s">
        <v>61</v>
      </c>
      <c r="V772" t="s">
        <v>62</v>
      </c>
      <c r="W772" t="s">
        <v>62</v>
      </c>
      <c r="X772">
        <v>0</v>
      </c>
      <c r="Y772">
        <v>0</v>
      </c>
      <c r="Z772">
        <v>2</v>
      </c>
      <c r="AA772">
        <v>0</v>
      </c>
      <c r="AB772">
        <v>0</v>
      </c>
      <c r="AC772">
        <v>0</v>
      </c>
      <c r="AD772">
        <v>0</v>
      </c>
      <c r="AE772">
        <v>1</v>
      </c>
      <c r="AF772">
        <v>0</v>
      </c>
      <c r="AG772">
        <v>0</v>
      </c>
      <c r="AH772">
        <v>0</v>
      </c>
      <c r="AI772">
        <v>0</v>
      </c>
      <c r="AJ772">
        <v>1</v>
      </c>
      <c r="AK772">
        <v>0</v>
      </c>
      <c r="AL772">
        <v>3</v>
      </c>
      <c r="AM772">
        <v>1</v>
      </c>
      <c r="AN772">
        <v>14</v>
      </c>
      <c r="AO772">
        <v>1</v>
      </c>
      <c r="AP772">
        <v>16</v>
      </c>
      <c r="AQ772">
        <v>1</v>
      </c>
      <c r="AR772" t="s">
        <v>2386</v>
      </c>
      <c r="AS772" t="s">
        <v>2387</v>
      </c>
      <c r="AT772">
        <v>0.121</v>
      </c>
      <c r="AU772" t="s">
        <v>65</v>
      </c>
      <c r="AV772">
        <v>30</v>
      </c>
      <c r="AW772">
        <v>2</v>
      </c>
      <c r="AX772" t="s">
        <v>2388</v>
      </c>
      <c r="AY772" t="s">
        <v>2389</v>
      </c>
      <c r="AZ772" t="s">
        <v>545</v>
      </c>
      <c r="BA772">
        <v>1.721E-2</v>
      </c>
      <c r="BB772">
        <v>1</v>
      </c>
      <c r="BC772" t="s">
        <v>69</v>
      </c>
      <c r="BD772">
        <v>0.56299999999999994</v>
      </c>
      <c r="BE772">
        <v>0.56299999999999994</v>
      </c>
    </row>
    <row r="773" spans="1:57">
      <c r="A773">
        <v>0</v>
      </c>
      <c r="B773">
        <v>0</v>
      </c>
      <c r="C773">
        <v>0</v>
      </c>
      <c r="D773">
        <v>1658</v>
      </c>
      <c r="E773" t="s">
        <v>2390</v>
      </c>
      <c r="F773" t="s">
        <v>5762</v>
      </c>
      <c r="G773" t="s">
        <v>57</v>
      </c>
      <c r="H773">
        <v>1671828</v>
      </c>
      <c r="I773">
        <v>1672157</v>
      </c>
      <c r="J773" t="s">
        <v>2391</v>
      </c>
      <c r="K773">
        <v>110</v>
      </c>
      <c r="L773" t="s">
        <v>59</v>
      </c>
      <c r="M773">
        <v>5</v>
      </c>
      <c r="N773" t="str">
        <f>HYPERLINK("Gene1658-zp_tree_all.dnd", "Gene1658-tree")</f>
        <v>Gene1658-tree</v>
      </c>
      <c r="O773">
        <v>4</v>
      </c>
      <c r="P773">
        <v>1</v>
      </c>
      <c r="Q773">
        <v>3</v>
      </c>
      <c r="R773">
        <v>1</v>
      </c>
      <c r="S773">
        <v>0.25</v>
      </c>
      <c r="T773" t="s">
        <v>119</v>
      </c>
      <c r="U773" t="s">
        <v>61</v>
      </c>
      <c r="V773" t="s">
        <v>62</v>
      </c>
      <c r="W773" t="s">
        <v>62</v>
      </c>
      <c r="X773">
        <v>0</v>
      </c>
      <c r="Y773">
        <v>0</v>
      </c>
      <c r="Z773">
        <v>1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1</v>
      </c>
      <c r="AK773">
        <v>0</v>
      </c>
      <c r="AL773">
        <v>3</v>
      </c>
      <c r="AM773">
        <v>1</v>
      </c>
      <c r="AN773">
        <v>3</v>
      </c>
      <c r="AO773">
        <v>1</v>
      </c>
      <c r="AP773">
        <v>1</v>
      </c>
      <c r="AQ773">
        <v>0</v>
      </c>
      <c r="AR773" t="s">
        <v>2392</v>
      </c>
      <c r="AS773" t="s">
        <v>64</v>
      </c>
      <c r="AT773">
        <v>0.86599999999999999</v>
      </c>
      <c r="AU773" t="s">
        <v>65</v>
      </c>
      <c r="AV773">
        <v>4</v>
      </c>
      <c r="AW773">
        <v>1</v>
      </c>
      <c r="AX773" t="s">
        <v>2393</v>
      </c>
      <c r="AY773" t="s">
        <v>2394</v>
      </c>
      <c r="AZ773" t="s">
        <v>2395</v>
      </c>
      <c r="BA773">
        <v>6.1240000000000003E-2</v>
      </c>
      <c r="BB773">
        <v>1</v>
      </c>
      <c r="BC773" t="s">
        <v>69</v>
      </c>
      <c r="BD773">
        <v>0</v>
      </c>
      <c r="BE773">
        <v>0</v>
      </c>
    </row>
    <row r="774" spans="1:57">
      <c r="A774">
        <v>0</v>
      </c>
      <c r="B774">
        <v>0</v>
      </c>
      <c r="C774">
        <v>0</v>
      </c>
      <c r="D774">
        <v>1659</v>
      </c>
      <c r="E774" t="s">
        <v>2396</v>
      </c>
      <c r="F774" t="s">
        <v>5762</v>
      </c>
      <c r="G774" t="s">
        <v>57</v>
      </c>
      <c r="H774">
        <v>1672174</v>
      </c>
      <c r="I774">
        <v>1673511</v>
      </c>
      <c r="J774" t="s">
        <v>2397</v>
      </c>
      <c r="K774">
        <v>446</v>
      </c>
      <c r="L774" t="s">
        <v>59</v>
      </c>
      <c r="M774">
        <v>5</v>
      </c>
      <c r="N774" t="str">
        <f>HYPERLINK("Gene1659-zp_tree_all.dnd", "Gene1659-tree")</f>
        <v>Gene1659-tree</v>
      </c>
      <c r="O774">
        <v>4</v>
      </c>
      <c r="P774">
        <v>1</v>
      </c>
      <c r="Q774">
        <v>4</v>
      </c>
      <c r="R774">
        <v>1</v>
      </c>
      <c r="S774">
        <v>0.2</v>
      </c>
      <c r="T774" t="s">
        <v>60</v>
      </c>
      <c r="U774" t="s">
        <v>61</v>
      </c>
      <c r="V774" t="s">
        <v>62</v>
      </c>
      <c r="W774" t="s">
        <v>62</v>
      </c>
      <c r="X774">
        <v>0</v>
      </c>
      <c r="Y774">
        <v>0</v>
      </c>
      <c r="Z774">
        <v>3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1</v>
      </c>
      <c r="AK774">
        <v>0</v>
      </c>
      <c r="AL774">
        <v>5</v>
      </c>
      <c r="AM774">
        <v>2</v>
      </c>
      <c r="AN774">
        <v>42</v>
      </c>
      <c r="AO774">
        <v>1</v>
      </c>
      <c r="AP774">
        <v>26</v>
      </c>
      <c r="AQ774">
        <v>2</v>
      </c>
      <c r="AR774" t="s">
        <v>2398</v>
      </c>
      <c r="AS774" t="s">
        <v>2399</v>
      </c>
      <c r="AT774">
        <v>0.58499999999999996</v>
      </c>
      <c r="AU774" t="s">
        <v>65</v>
      </c>
      <c r="AV774">
        <v>68</v>
      </c>
      <c r="AW774">
        <v>3</v>
      </c>
      <c r="AX774" t="s">
        <v>2400</v>
      </c>
      <c r="AY774" t="s">
        <v>2401</v>
      </c>
      <c r="AZ774" t="s">
        <v>2402</v>
      </c>
      <c r="BA774">
        <v>1.4160000000000001E-2</v>
      </c>
      <c r="BB774">
        <v>1</v>
      </c>
      <c r="BC774" t="s">
        <v>69</v>
      </c>
      <c r="BD774">
        <v>0.22</v>
      </c>
      <c r="BE774">
        <v>-0.115</v>
      </c>
    </row>
    <row r="775" spans="1:57">
      <c r="A775">
        <v>0</v>
      </c>
      <c r="B775">
        <v>0</v>
      </c>
      <c r="C775">
        <v>0</v>
      </c>
      <c r="D775">
        <v>1660</v>
      </c>
      <c r="E775" t="s">
        <v>2403</v>
      </c>
      <c r="F775" t="s">
        <v>5762</v>
      </c>
      <c r="G775" t="s">
        <v>57</v>
      </c>
      <c r="H775">
        <v>1673620</v>
      </c>
      <c r="I775">
        <v>1673889</v>
      </c>
      <c r="J775" t="s">
        <v>2404</v>
      </c>
      <c r="K775">
        <v>90</v>
      </c>
      <c r="L775" t="s">
        <v>59</v>
      </c>
      <c r="M775">
        <v>5</v>
      </c>
      <c r="N775" t="str">
        <f>HYPERLINK("Gene1660-zp_tree_all.dnd", "Gene1660-tree")</f>
        <v>Gene1660-tree</v>
      </c>
      <c r="O775">
        <v>4</v>
      </c>
      <c r="P775">
        <v>0</v>
      </c>
      <c r="Q775">
        <v>4</v>
      </c>
      <c r="R775">
        <v>0</v>
      </c>
      <c r="S775">
        <v>0</v>
      </c>
      <c r="T775" t="s">
        <v>60</v>
      </c>
      <c r="U775" t="s">
        <v>62</v>
      </c>
      <c r="V775" t="s">
        <v>62</v>
      </c>
      <c r="W775" t="s">
        <v>62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2</v>
      </c>
      <c r="AM775">
        <v>1</v>
      </c>
      <c r="AN775">
        <v>2</v>
      </c>
      <c r="AO775">
        <v>0</v>
      </c>
      <c r="AP775">
        <v>1</v>
      </c>
      <c r="AQ775">
        <v>0</v>
      </c>
      <c r="AR775" t="s">
        <v>64</v>
      </c>
      <c r="AS775" t="s">
        <v>64</v>
      </c>
      <c r="AT775">
        <v>0</v>
      </c>
      <c r="AU775" t="s">
        <v>65</v>
      </c>
      <c r="AV775">
        <v>3</v>
      </c>
      <c r="AW775">
        <v>0</v>
      </c>
      <c r="AX775" t="s">
        <v>2405</v>
      </c>
      <c r="AY775" t="s">
        <v>2406</v>
      </c>
      <c r="AZ775" t="s">
        <v>64</v>
      </c>
      <c r="BA775">
        <v>0</v>
      </c>
      <c r="BB775">
        <v>1</v>
      </c>
      <c r="BC775" t="s">
        <v>69</v>
      </c>
      <c r="BD775">
        <v>-0.17499999999999999</v>
      </c>
      <c r="BE775">
        <v>-0.17499999999999999</v>
      </c>
    </row>
    <row r="776" spans="1:57">
      <c r="A776">
        <v>0</v>
      </c>
      <c r="B776">
        <v>0</v>
      </c>
      <c r="C776">
        <v>0</v>
      </c>
      <c r="D776">
        <v>1661</v>
      </c>
      <c r="E776" t="s">
        <v>2407</v>
      </c>
      <c r="F776" t="s">
        <v>5762</v>
      </c>
      <c r="G776" t="s">
        <v>57</v>
      </c>
      <c r="H776">
        <v>1673892</v>
      </c>
      <c r="I776">
        <v>1674134</v>
      </c>
      <c r="J776" t="s">
        <v>2408</v>
      </c>
      <c r="K776">
        <v>81</v>
      </c>
      <c r="L776" t="s">
        <v>59</v>
      </c>
      <c r="M776">
        <v>5</v>
      </c>
      <c r="N776" t="str">
        <f>HYPERLINK("Gene1661-zp_tree_all.dnd", "Gene1661-tree")</f>
        <v>Gene1661-tree</v>
      </c>
    </row>
    <row r="777" spans="1:57">
      <c r="A777">
        <v>0</v>
      </c>
      <c r="B777">
        <v>0</v>
      </c>
      <c r="C777">
        <v>2</v>
      </c>
      <c r="D777">
        <v>1662</v>
      </c>
      <c r="E777" t="s">
        <v>2409</v>
      </c>
      <c r="F777" t="s">
        <v>5762</v>
      </c>
      <c r="G777" t="s">
        <v>57</v>
      </c>
      <c r="H777">
        <v>1674259</v>
      </c>
      <c r="I777">
        <v>1674642</v>
      </c>
      <c r="J777" t="s">
        <v>170</v>
      </c>
      <c r="K777">
        <v>128</v>
      </c>
      <c r="L777" t="s">
        <v>59</v>
      </c>
      <c r="M777">
        <v>5</v>
      </c>
      <c r="N777" t="str">
        <f>HYPERLINK("Gene1662-zp_tree_all.dnd", "Gene1662-tree")</f>
        <v>Gene1662-tree</v>
      </c>
      <c r="O777">
        <v>1</v>
      </c>
      <c r="P777">
        <v>4</v>
      </c>
      <c r="Q777">
        <v>1</v>
      </c>
      <c r="R777">
        <v>4</v>
      </c>
      <c r="S777">
        <v>0.8</v>
      </c>
      <c r="T777" t="s">
        <v>61</v>
      </c>
      <c r="U777" t="s">
        <v>60</v>
      </c>
      <c r="V777" t="s">
        <v>62</v>
      </c>
      <c r="W777" t="s">
        <v>62</v>
      </c>
      <c r="X777">
        <v>1</v>
      </c>
      <c r="Y777">
        <v>2</v>
      </c>
      <c r="Z777">
        <v>3</v>
      </c>
      <c r="AA777">
        <v>0.4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2</v>
      </c>
      <c r="AI777">
        <v>2</v>
      </c>
      <c r="AJ777">
        <v>1</v>
      </c>
      <c r="AK777">
        <v>0.66666999999999998</v>
      </c>
      <c r="AL777">
        <v>4</v>
      </c>
      <c r="AM777">
        <v>1</v>
      </c>
      <c r="AN777">
        <v>8</v>
      </c>
      <c r="AO777">
        <v>3</v>
      </c>
      <c r="AP777">
        <v>5</v>
      </c>
      <c r="AQ777">
        <v>2</v>
      </c>
      <c r="AR777" t="s">
        <v>2410</v>
      </c>
      <c r="AS777" t="s">
        <v>2411</v>
      </c>
      <c r="AT777">
        <v>0.128</v>
      </c>
      <c r="AU777" t="s">
        <v>65</v>
      </c>
      <c r="AV777">
        <v>13</v>
      </c>
      <c r="AW777">
        <v>5</v>
      </c>
      <c r="AX777" t="s">
        <v>2412</v>
      </c>
      <c r="AY777" t="s">
        <v>2413</v>
      </c>
      <c r="AZ777" t="s">
        <v>2414</v>
      </c>
      <c r="BA777">
        <v>8.6529999999999996E-2</v>
      </c>
      <c r="BB777">
        <v>1</v>
      </c>
      <c r="BC777" t="s">
        <v>69</v>
      </c>
      <c r="BD777">
        <v>-3.4000000000000002E-2</v>
      </c>
      <c r="BE777">
        <v>-3.4000000000000002E-2</v>
      </c>
    </row>
    <row r="778" spans="1:57">
      <c r="A778">
        <v>0</v>
      </c>
      <c r="B778">
        <v>0</v>
      </c>
      <c r="C778">
        <v>0</v>
      </c>
      <c r="D778">
        <v>1665</v>
      </c>
      <c r="E778" t="s">
        <v>2415</v>
      </c>
      <c r="F778" t="s">
        <v>5762</v>
      </c>
      <c r="G778" t="s">
        <v>57</v>
      </c>
      <c r="H778">
        <v>1676042</v>
      </c>
      <c r="I778">
        <v>1676386</v>
      </c>
      <c r="J778" t="s">
        <v>2416</v>
      </c>
      <c r="K778">
        <v>115</v>
      </c>
      <c r="L778" t="s">
        <v>59</v>
      </c>
      <c r="M778">
        <v>5</v>
      </c>
      <c r="N778" t="str">
        <f>HYPERLINK("Gene1665-zp_tree_all.dnd", "Gene1665-tree")</f>
        <v>Gene1665-tree</v>
      </c>
    </row>
    <row r="779" spans="1:57">
      <c r="A779">
        <v>0</v>
      </c>
      <c r="B779">
        <v>0</v>
      </c>
      <c r="C779">
        <v>0</v>
      </c>
      <c r="D779">
        <v>1670</v>
      </c>
      <c r="E779" t="s">
        <v>2417</v>
      </c>
      <c r="F779" t="s">
        <v>5762</v>
      </c>
      <c r="G779" t="s">
        <v>57</v>
      </c>
      <c r="H779">
        <v>1680431</v>
      </c>
      <c r="I779">
        <v>1681585</v>
      </c>
      <c r="J779" t="s">
        <v>2418</v>
      </c>
      <c r="K779">
        <v>385</v>
      </c>
      <c r="L779" t="s">
        <v>59</v>
      </c>
      <c r="M779">
        <v>5</v>
      </c>
      <c r="N779" t="str">
        <f>HYPERLINK("Gene1670-zp_tree_all.dnd", "Gene1670-tree")</f>
        <v>Gene1670-tree</v>
      </c>
      <c r="O779">
        <v>2</v>
      </c>
      <c r="P779">
        <v>3</v>
      </c>
      <c r="Q779">
        <v>2</v>
      </c>
      <c r="R779">
        <v>3</v>
      </c>
      <c r="S779">
        <v>0.6</v>
      </c>
      <c r="T779" t="s">
        <v>135</v>
      </c>
      <c r="U779" t="s">
        <v>84</v>
      </c>
      <c r="V779" t="s">
        <v>62</v>
      </c>
      <c r="W779" t="s">
        <v>62</v>
      </c>
      <c r="X779">
        <v>0</v>
      </c>
      <c r="Y779">
        <v>0</v>
      </c>
      <c r="Z779">
        <v>6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3</v>
      </c>
      <c r="AK779">
        <v>0</v>
      </c>
      <c r="AL779">
        <v>5</v>
      </c>
      <c r="AM779">
        <v>2</v>
      </c>
      <c r="AN779">
        <v>22</v>
      </c>
      <c r="AO779">
        <v>3</v>
      </c>
      <c r="AP779">
        <v>33</v>
      </c>
      <c r="AQ779">
        <v>4</v>
      </c>
      <c r="AR779" t="s">
        <v>2419</v>
      </c>
      <c r="AS779" t="s">
        <v>2420</v>
      </c>
      <c r="AT779">
        <v>0.13700000000000001</v>
      </c>
      <c r="AU779" t="s">
        <v>65</v>
      </c>
      <c r="AV779">
        <v>55</v>
      </c>
      <c r="AW779">
        <v>7</v>
      </c>
      <c r="AX779" t="s">
        <v>2421</v>
      </c>
      <c r="AY779" t="s">
        <v>2422</v>
      </c>
      <c r="AZ779" t="s">
        <v>2423</v>
      </c>
      <c r="BA779">
        <v>3.8309999999999997E-2</v>
      </c>
      <c r="BB779">
        <v>1</v>
      </c>
      <c r="BC779" t="s">
        <v>69</v>
      </c>
      <c r="BD779">
        <v>0.70299999999999996</v>
      </c>
      <c r="BE779">
        <v>0.59899999999999998</v>
      </c>
    </row>
    <row r="780" spans="1:57">
      <c r="A780">
        <v>0</v>
      </c>
      <c r="B780">
        <v>0</v>
      </c>
      <c r="C780">
        <v>0</v>
      </c>
      <c r="D780">
        <v>1671</v>
      </c>
      <c r="E780" t="s">
        <v>2424</v>
      </c>
      <c r="F780" t="s">
        <v>5762</v>
      </c>
      <c r="G780" t="s">
        <v>57</v>
      </c>
      <c r="H780">
        <v>1681617</v>
      </c>
      <c r="I780">
        <v>1682516</v>
      </c>
      <c r="J780" t="s">
        <v>2425</v>
      </c>
      <c r="K780">
        <v>300</v>
      </c>
      <c r="L780" t="s">
        <v>59</v>
      </c>
      <c r="M780">
        <v>5</v>
      </c>
      <c r="N780" t="str">
        <f>HYPERLINK("Gene1671-zp_tree_all.dnd", "Gene1671-tree")</f>
        <v>Gene1671-tree</v>
      </c>
      <c r="O780">
        <v>4</v>
      </c>
      <c r="P780">
        <v>1</v>
      </c>
      <c r="Q780">
        <v>4</v>
      </c>
      <c r="R780">
        <v>1</v>
      </c>
      <c r="S780">
        <v>0.2</v>
      </c>
      <c r="T780" t="s">
        <v>60</v>
      </c>
      <c r="U780" t="s">
        <v>61</v>
      </c>
      <c r="V780" t="s">
        <v>62</v>
      </c>
      <c r="W780" t="s">
        <v>62</v>
      </c>
      <c r="X780">
        <v>0</v>
      </c>
      <c r="Y780">
        <v>0</v>
      </c>
      <c r="Z780">
        <v>1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1</v>
      </c>
      <c r="AK780">
        <v>0</v>
      </c>
      <c r="AL780">
        <v>4</v>
      </c>
      <c r="AM780">
        <v>2</v>
      </c>
      <c r="AN780">
        <v>18</v>
      </c>
      <c r="AO780">
        <v>1</v>
      </c>
      <c r="AP780">
        <v>24</v>
      </c>
      <c r="AQ780">
        <v>0</v>
      </c>
      <c r="AR780" t="s">
        <v>2426</v>
      </c>
      <c r="AS780" t="s">
        <v>64</v>
      </c>
      <c r="AT780">
        <v>0.63200000000000001</v>
      </c>
      <c r="AU780" t="s">
        <v>65</v>
      </c>
      <c r="AV780">
        <v>42</v>
      </c>
      <c r="AW780">
        <v>1</v>
      </c>
      <c r="AX780" t="s">
        <v>2427</v>
      </c>
      <c r="AY780" t="s">
        <v>2428</v>
      </c>
      <c r="AZ780" t="s">
        <v>2429</v>
      </c>
      <c r="BA780">
        <v>5.4400000000000004E-3</v>
      </c>
      <c r="BB780">
        <v>1</v>
      </c>
      <c r="BC780" t="s">
        <v>69</v>
      </c>
      <c r="BD780">
        <v>0.69599999999999995</v>
      </c>
      <c r="BE780">
        <v>0.505</v>
      </c>
    </row>
    <row r="781" spans="1:57">
      <c r="A781">
        <v>0</v>
      </c>
      <c r="B781">
        <v>0</v>
      </c>
      <c r="C781">
        <v>0</v>
      </c>
      <c r="D781">
        <v>1675</v>
      </c>
      <c r="E781" t="s">
        <v>2430</v>
      </c>
      <c r="F781" t="s">
        <v>5762</v>
      </c>
      <c r="G781" t="s">
        <v>57</v>
      </c>
      <c r="H781">
        <v>1687187</v>
      </c>
      <c r="I781">
        <v>1688098</v>
      </c>
      <c r="J781" t="s">
        <v>2431</v>
      </c>
      <c r="K781">
        <v>304</v>
      </c>
      <c r="L781" t="s">
        <v>59</v>
      </c>
      <c r="M781">
        <v>5</v>
      </c>
      <c r="N781" t="str">
        <f>HYPERLINK("Gene1675-zp_tree_all.dnd", "Gene1675-tree")</f>
        <v>Gene1675-tree</v>
      </c>
      <c r="O781">
        <v>4</v>
      </c>
      <c r="P781">
        <v>1</v>
      </c>
      <c r="Q781">
        <v>4</v>
      </c>
      <c r="R781">
        <v>1</v>
      </c>
      <c r="S781">
        <v>0.2</v>
      </c>
      <c r="T781" t="s">
        <v>60</v>
      </c>
      <c r="U781" t="s">
        <v>61</v>
      </c>
      <c r="V781" t="s">
        <v>62</v>
      </c>
      <c r="W781" t="s">
        <v>62</v>
      </c>
      <c r="X781">
        <v>0</v>
      </c>
      <c r="Y781">
        <v>0</v>
      </c>
      <c r="Z781">
        <v>6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1</v>
      </c>
      <c r="AK781">
        <v>0</v>
      </c>
      <c r="AL781">
        <v>5</v>
      </c>
      <c r="AM781">
        <v>2</v>
      </c>
      <c r="AN781">
        <v>15</v>
      </c>
      <c r="AO781">
        <v>1</v>
      </c>
      <c r="AP781">
        <v>18</v>
      </c>
      <c r="AQ781">
        <v>5</v>
      </c>
      <c r="AR781" t="s">
        <v>2432</v>
      </c>
      <c r="AS781" t="s">
        <v>2433</v>
      </c>
      <c r="AT781">
        <v>0.78400000000000003</v>
      </c>
      <c r="AU781" t="s">
        <v>65</v>
      </c>
      <c r="AV781">
        <v>33</v>
      </c>
      <c r="AW781">
        <v>6</v>
      </c>
      <c r="AX781" t="s">
        <v>2434</v>
      </c>
      <c r="AY781" t="s">
        <v>2435</v>
      </c>
      <c r="AZ781" t="s">
        <v>2436</v>
      </c>
      <c r="BA781">
        <v>5.8779999999999999E-2</v>
      </c>
      <c r="BB781">
        <v>1</v>
      </c>
      <c r="BC781" t="s">
        <v>69</v>
      </c>
      <c r="BD781">
        <v>0.82</v>
      </c>
      <c r="BE781">
        <v>0.60899999999999999</v>
      </c>
    </row>
    <row r="782" spans="1:57">
      <c r="A782">
        <v>0</v>
      </c>
      <c r="B782">
        <v>0</v>
      </c>
      <c r="C782">
        <v>0</v>
      </c>
      <c r="D782">
        <v>1676</v>
      </c>
      <c r="E782" t="s">
        <v>2437</v>
      </c>
      <c r="F782" t="s">
        <v>5762</v>
      </c>
      <c r="G782" t="s">
        <v>57</v>
      </c>
      <c r="H782">
        <v>1688114</v>
      </c>
      <c r="I782">
        <v>1688656</v>
      </c>
      <c r="J782" t="s">
        <v>2438</v>
      </c>
      <c r="K782">
        <v>181</v>
      </c>
      <c r="L782" t="s">
        <v>59</v>
      </c>
      <c r="M782">
        <v>5</v>
      </c>
      <c r="N782" t="str">
        <f>HYPERLINK("Gene1676-zp_tree_all.dnd", "Gene1676-tree")</f>
        <v>Gene1676-tree</v>
      </c>
      <c r="O782">
        <v>4</v>
      </c>
      <c r="P782">
        <v>1</v>
      </c>
      <c r="Q782">
        <v>4</v>
      </c>
      <c r="R782">
        <v>1</v>
      </c>
      <c r="S782">
        <v>0.2</v>
      </c>
      <c r="T782" t="s">
        <v>60</v>
      </c>
      <c r="U782" t="s">
        <v>61</v>
      </c>
      <c r="V782" t="s">
        <v>62</v>
      </c>
      <c r="W782" t="s">
        <v>62</v>
      </c>
      <c r="X782">
        <v>0</v>
      </c>
      <c r="Y782">
        <v>0</v>
      </c>
      <c r="Z782">
        <v>1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1</v>
      </c>
      <c r="AK782">
        <v>0</v>
      </c>
      <c r="AL782">
        <v>3</v>
      </c>
      <c r="AM782">
        <v>2</v>
      </c>
      <c r="AN782">
        <v>9</v>
      </c>
      <c r="AO782">
        <v>1</v>
      </c>
      <c r="AP782">
        <v>20</v>
      </c>
      <c r="AQ782">
        <v>0</v>
      </c>
      <c r="AR782" t="s">
        <v>2439</v>
      </c>
      <c r="AS782" t="s">
        <v>64</v>
      </c>
      <c r="AT782">
        <v>0.83399999999999996</v>
      </c>
      <c r="AU782" t="s">
        <v>65</v>
      </c>
      <c r="AV782">
        <v>29</v>
      </c>
      <c r="AW782">
        <v>1</v>
      </c>
      <c r="AX782" t="s">
        <v>2440</v>
      </c>
      <c r="AY782" t="s">
        <v>2441</v>
      </c>
      <c r="AZ782" t="s">
        <v>2442</v>
      </c>
      <c r="BA782">
        <v>7.1999999999999998E-3</v>
      </c>
      <c r="BB782">
        <v>1</v>
      </c>
      <c r="BC782" t="s">
        <v>69</v>
      </c>
      <c r="BD782">
        <v>1.089</v>
      </c>
      <c r="BE782">
        <v>0.86599999999999999</v>
      </c>
    </row>
    <row r="783" spans="1:57">
      <c r="A783">
        <v>0</v>
      </c>
      <c r="B783">
        <v>0</v>
      </c>
      <c r="C783">
        <v>0</v>
      </c>
      <c r="D783">
        <v>1677</v>
      </c>
      <c r="E783" t="s">
        <v>2443</v>
      </c>
      <c r="F783" t="s">
        <v>5762</v>
      </c>
      <c r="G783" t="s">
        <v>57</v>
      </c>
      <c r="H783">
        <v>1688676</v>
      </c>
      <c r="I783">
        <v>1690076</v>
      </c>
      <c r="J783" t="s">
        <v>2444</v>
      </c>
      <c r="K783">
        <v>467</v>
      </c>
      <c r="L783" t="s">
        <v>83</v>
      </c>
      <c r="M783">
        <v>4</v>
      </c>
      <c r="N783" t="str">
        <f>HYPERLINK("Gene1677-zp_tree_all.dnd", "Gene1677-tree")</f>
        <v>Gene1677-tree</v>
      </c>
      <c r="O783">
        <v>2</v>
      </c>
      <c r="P783">
        <v>2</v>
      </c>
      <c r="Q783">
        <v>2</v>
      </c>
      <c r="R783">
        <v>2</v>
      </c>
      <c r="S783">
        <v>0.5</v>
      </c>
      <c r="T783" t="s">
        <v>135</v>
      </c>
      <c r="U783" t="s">
        <v>135</v>
      </c>
      <c r="V783" t="s">
        <v>62</v>
      </c>
      <c r="W783" t="s">
        <v>62</v>
      </c>
      <c r="X783">
        <v>0</v>
      </c>
      <c r="Y783">
        <v>0</v>
      </c>
      <c r="Z783">
        <v>4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4</v>
      </c>
      <c r="AK783">
        <v>0</v>
      </c>
      <c r="AL783">
        <v>4</v>
      </c>
      <c r="AM783">
        <v>1</v>
      </c>
      <c r="AN783">
        <v>59</v>
      </c>
      <c r="AO783">
        <v>4</v>
      </c>
      <c r="AP783">
        <v>3</v>
      </c>
      <c r="AQ783">
        <v>0</v>
      </c>
      <c r="AR783" t="s">
        <v>2445</v>
      </c>
      <c r="AS783" t="s">
        <v>64</v>
      </c>
      <c r="AT783">
        <v>0.64500000000000002</v>
      </c>
      <c r="AU783" t="s">
        <v>65</v>
      </c>
      <c r="AV783">
        <v>62</v>
      </c>
      <c r="AW783">
        <v>4</v>
      </c>
      <c r="AX783" t="s">
        <v>2446</v>
      </c>
      <c r="AY783" t="s">
        <v>2447</v>
      </c>
      <c r="AZ783" t="s">
        <v>2448</v>
      </c>
      <c r="BA783">
        <v>1.644E-2</v>
      </c>
      <c r="BB783">
        <v>1</v>
      </c>
      <c r="BC783" t="s">
        <v>69</v>
      </c>
      <c r="BD783">
        <v>-0.62</v>
      </c>
      <c r="BE783">
        <v>-0.77</v>
      </c>
    </row>
    <row r="784" spans="1:57">
      <c r="A784">
        <v>0</v>
      </c>
      <c r="B784">
        <v>0</v>
      </c>
      <c r="C784">
        <v>0</v>
      </c>
      <c r="D784">
        <v>1678</v>
      </c>
      <c r="E784" t="s">
        <v>2449</v>
      </c>
      <c r="F784" t="s">
        <v>5762</v>
      </c>
      <c r="G784" t="s">
        <v>57</v>
      </c>
      <c r="H784">
        <v>1690119</v>
      </c>
      <c r="I784">
        <v>1690895</v>
      </c>
      <c r="J784" t="s">
        <v>2450</v>
      </c>
      <c r="K784">
        <v>259</v>
      </c>
      <c r="L784" t="s">
        <v>59</v>
      </c>
      <c r="M784">
        <v>5</v>
      </c>
      <c r="N784" t="str">
        <f>HYPERLINK("Gene1678-zp_tree_all.dnd", "Gene1678-tree")</f>
        <v>Gene1678-tree</v>
      </c>
      <c r="O784">
        <v>5</v>
      </c>
      <c r="P784">
        <v>0</v>
      </c>
      <c r="Q784">
        <v>5</v>
      </c>
      <c r="R784">
        <v>0</v>
      </c>
      <c r="S784">
        <v>0</v>
      </c>
      <c r="T784" t="s">
        <v>98</v>
      </c>
      <c r="U784" t="s">
        <v>62</v>
      </c>
      <c r="V784" t="s">
        <v>62</v>
      </c>
      <c r="W784" t="s">
        <v>62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4</v>
      </c>
      <c r="AM784">
        <v>2</v>
      </c>
      <c r="AN784">
        <v>15</v>
      </c>
      <c r="AO784">
        <v>0</v>
      </c>
      <c r="AP784">
        <v>33</v>
      </c>
      <c r="AQ784">
        <v>0</v>
      </c>
      <c r="AR784" t="s">
        <v>64</v>
      </c>
      <c r="AS784" t="s">
        <v>64</v>
      </c>
      <c r="AT784">
        <v>0</v>
      </c>
      <c r="AU784" t="s">
        <v>65</v>
      </c>
      <c r="AV784">
        <v>48</v>
      </c>
      <c r="AW784">
        <v>0</v>
      </c>
      <c r="AX784" t="s">
        <v>2451</v>
      </c>
      <c r="AY784" t="s">
        <v>2452</v>
      </c>
      <c r="AZ784" t="s">
        <v>64</v>
      </c>
      <c r="BA784">
        <v>0</v>
      </c>
      <c r="BB784">
        <v>1</v>
      </c>
      <c r="BC784" t="s">
        <v>69</v>
      </c>
      <c r="BD784">
        <v>1.0309999999999999</v>
      </c>
      <c r="BE784">
        <v>0.86</v>
      </c>
    </row>
    <row r="785" spans="1:57">
      <c r="A785">
        <v>0</v>
      </c>
      <c r="B785">
        <v>0</v>
      </c>
      <c r="C785">
        <v>0</v>
      </c>
      <c r="D785">
        <v>1679</v>
      </c>
      <c r="E785" t="s">
        <v>2453</v>
      </c>
      <c r="F785" t="s">
        <v>5762</v>
      </c>
      <c r="G785" t="s">
        <v>57</v>
      </c>
      <c r="H785">
        <v>1691278</v>
      </c>
      <c r="I785">
        <v>1691664</v>
      </c>
      <c r="J785" t="s">
        <v>2454</v>
      </c>
      <c r="K785">
        <v>129</v>
      </c>
      <c r="L785" t="s">
        <v>59</v>
      </c>
      <c r="M785">
        <v>5</v>
      </c>
      <c r="N785" t="str">
        <f>HYPERLINK("Gene1679-zp_tree_all.dnd", "Gene1679-tree")</f>
        <v>Gene1679-tree</v>
      </c>
      <c r="O785">
        <v>1</v>
      </c>
      <c r="P785">
        <v>3</v>
      </c>
      <c r="Q785">
        <v>1</v>
      </c>
      <c r="R785">
        <v>3</v>
      </c>
      <c r="S785">
        <v>0.75</v>
      </c>
      <c r="T785" t="s">
        <v>61</v>
      </c>
      <c r="U785" t="s">
        <v>84</v>
      </c>
      <c r="V785" t="s">
        <v>62</v>
      </c>
      <c r="W785" t="s">
        <v>62</v>
      </c>
      <c r="X785">
        <v>0</v>
      </c>
      <c r="Y785">
        <v>0</v>
      </c>
      <c r="Z785">
        <v>6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6</v>
      </c>
      <c r="AK785">
        <v>0</v>
      </c>
      <c r="AL785">
        <v>3</v>
      </c>
      <c r="AM785">
        <v>1</v>
      </c>
      <c r="AN785">
        <v>7</v>
      </c>
      <c r="AO785">
        <v>2</v>
      </c>
      <c r="AP785">
        <v>5</v>
      </c>
      <c r="AQ785">
        <v>4</v>
      </c>
      <c r="AR785" t="s">
        <v>2455</v>
      </c>
      <c r="AS785" t="s">
        <v>2456</v>
      </c>
      <c r="AT785">
        <v>2.6389999999999998</v>
      </c>
      <c r="AU785" t="s">
        <v>65</v>
      </c>
      <c r="AV785">
        <v>12</v>
      </c>
      <c r="AW785">
        <v>6</v>
      </c>
      <c r="AX785" t="s">
        <v>2457</v>
      </c>
      <c r="AY785" t="s">
        <v>2458</v>
      </c>
      <c r="AZ785" t="s">
        <v>2459</v>
      </c>
      <c r="BA785">
        <v>0.13814000000000001</v>
      </c>
      <c r="BB785">
        <v>1</v>
      </c>
      <c r="BC785" t="s">
        <v>69</v>
      </c>
      <c r="BD785">
        <v>0.307</v>
      </c>
      <c r="BE785">
        <v>0.307</v>
      </c>
    </row>
    <row r="786" spans="1:57">
      <c r="A786">
        <v>0</v>
      </c>
      <c r="B786">
        <v>0</v>
      </c>
      <c r="C786">
        <v>0</v>
      </c>
      <c r="D786">
        <v>1680</v>
      </c>
      <c r="E786" t="s">
        <v>2460</v>
      </c>
      <c r="F786" t="s">
        <v>5762</v>
      </c>
      <c r="G786" t="s">
        <v>57</v>
      </c>
      <c r="H786">
        <v>1691667</v>
      </c>
      <c r="I786">
        <v>1692116</v>
      </c>
      <c r="J786" t="s">
        <v>2454</v>
      </c>
      <c r="K786">
        <v>150</v>
      </c>
      <c r="L786" t="s">
        <v>59</v>
      </c>
      <c r="M786">
        <v>5</v>
      </c>
      <c r="N786" t="str">
        <f>HYPERLINK("Gene1680-zp_tree_all.dnd", "Gene1680-tree")</f>
        <v>Gene1680-tree</v>
      </c>
      <c r="O786">
        <v>3</v>
      </c>
      <c r="P786">
        <v>2</v>
      </c>
      <c r="Q786">
        <v>3</v>
      </c>
      <c r="R786">
        <v>2</v>
      </c>
      <c r="S786">
        <v>0.4</v>
      </c>
      <c r="T786" t="s">
        <v>84</v>
      </c>
      <c r="U786" t="s">
        <v>135</v>
      </c>
      <c r="V786" t="s">
        <v>62</v>
      </c>
      <c r="W786" t="s">
        <v>62</v>
      </c>
      <c r="X786">
        <v>0</v>
      </c>
      <c r="Y786">
        <v>0</v>
      </c>
      <c r="Z786">
        <v>3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2</v>
      </c>
      <c r="AK786">
        <v>0</v>
      </c>
      <c r="AL786">
        <v>4</v>
      </c>
      <c r="AM786">
        <v>2</v>
      </c>
      <c r="AN786">
        <v>8</v>
      </c>
      <c r="AO786">
        <v>2</v>
      </c>
      <c r="AP786">
        <v>16</v>
      </c>
      <c r="AQ786">
        <v>1</v>
      </c>
      <c r="AR786" t="s">
        <v>2461</v>
      </c>
      <c r="AS786" t="s">
        <v>2462</v>
      </c>
      <c r="AT786">
        <v>1.115</v>
      </c>
      <c r="AU786" t="s">
        <v>65</v>
      </c>
      <c r="AV786">
        <v>24</v>
      </c>
      <c r="AW786">
        <v>3</v>
      </c>
      <c r="AX786" t="s">
        <v>2463</v>
      </c>
      <c r="AY786" t="s">
        <v>2464</v>
      </c>
      <c r="AZ786" t="s">
        <v>2465</v>
      </c>
      <c r="BA786">
        <v>2.7709999999999999E-2</v>
      </c>
      <c r="BB786">
        <v>1</v>
      </c>
      <c r="BC786" t="s">
        <v>69</v>
      </c>
      <c r="BD786">
        <v>0.71399999999999997</v>
      </c>
      <c r="BE786">
        <v>0.71399999999999997</v>
      </c>
    </row>
    <row r="787" spans="1:57">
      <c r="A787">
        <v>0</v>
      </c>
      <c r="B787">
        <v>0</v>
      </c>
      <c r="C787">
        <v>0</v>
      </c>
      <c r="D787">
        <v>1681</v>
      </c>
      <c r="E787" t="s">
        <v>2466</v>
      </c>
      <c r="F787" t="s">
        <v>5762</v>
      </c>
      <c r="G787" t="s">
        <v>57</v>
      </c>
      <c r="H787">
        <v>1692130</v>
      </c>
      <c r="I787">
        <v>1692447</v>
      </c>
      <c r="J787" t="s">
        <v>2467</v>
      </c>
      <c r="K787">
        <v>106</v>
      </c>
      <c r="L787" t="s">
        <v>59</v>
      </c>
      <c r="M787">
        <v>5</v>
      </c>
      <c r="N787" t="str">
        <f>HYPERLINK("Gene1681-zp_tree_all.dnd", "Gene1681-tree")</f>
        <v>Gene1681-tree</v>
      </c>
    </row>
    <row r="788" spans="1:57">
      <c r="A788">
        <v>0</v>
      </c>
      <c r="B788">
        <v>0</v>
      </c>
      <c r="C788">
        <v>0</v>
      </c>
      <c r="D788">
        <v>1683</v>
      </c>
      <c r="E788" t="s">
        <v>2468</v>
      </c>
      <c r="F788" t="s">
        <v>5762</v>
      </c>
      <c r="G788" t="s">
        <v>57</v>
      </c>
      <c r="H788">
        <v>1694119</v>
      </c>
      <c r="I788">
        <v>1695132</v>
      </c>
      <c r="J788" t="s">
        <v>2469</v>
      </c>
      <c r="K788">
        <v>338</v>
      </c>
      <c r="L788" t="s">
        <v>59</v>
      </c>
      <c r="M788">
        <v>5</v>
      </c>
      <c r="N788" t="str">
        <f>HYPERLINK("Gene1683-zp_tree_all.dnd", "Gene1683-tree")</f>
        <v>Gene1683-tree</v>
      </c>
      <c r="O788">
        <v>5</v>
      </c>
      <c r="P788">
        <v>0</v>
      </c>
      <c r="Q788">
        <v>5</v>
      </c>
      <c r="R788">
        <v>0</v>
      </c>
      <c r="S788">
        <v>0</v>
      </c>
      <c r="T788" t="s">
        <v>98</v>
      </c>
      <c r="U788" t="s">
        <v>62</v>
      </c>
      <c r="V788" t="s">
        <v>62</v>
      </c>
      <c r="W788" t="s">
        <v>62</v>
      </c>
      <c r="X788">
        <v>0</v>
      </c>
      <c r="Y788">
        <v>0</v>
      </c>
      <c r="Z788">
        <v>1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4</v>
      </c>
      <c r="AM788">
        <v>2</v>
      </c>
      <c r="AN788">
        <v>24</v>
      </c>
      <c r="AO788">
        <v>0</v>
      </c>
      <c r="AP788">
        <v>36</v>
      </c>
      <c r="AQ788">
        <v>1</v>
      </c>
      <c r="AR788" t="s">
        <v>64</v>
      </c>
      <c r="AS788" t="s">
        <v>2470</v>
      </c>
      <c r="AT788">
        <v>1.0089999999999999</v>
      </c>
      <c r="AU788" t="s">
        <v>65</v>
      </c>
      <c r="AV788">
        <v>60</v>
      </c>
      <c r="AW788">
        <v>1</v>
      </c>
      <c r="AX788" t="s">
        <v>2471</v>
      </c>
      <c r="AY788" t="s">
        <v>2472</v>
      </c>
      <c r="AZ788" t="s">
        <v>2473</v>
      </c>
      <c r="BA788">
        <v>5.1599999999999997E-3</v>
      </c>
      <c r="BB788">
        <v>1</v>
      </c>
      <c r="BC788" t="s">
        <v>69</v>
      </c>
      <c r="BD788">
        <v>1.0429999999999999</v>
      </c>
      <c r="BE788">
        <v>0.49</v>
      </c>
    </row>
    <row r="789" spans="1:57">
      <c r="A789">
        <v>0</v>
      </c>
      <c r="B789">
        <v>0</v>
      </c>
      <c r="C789">
        <v>0</v>
      </c>
      <c r="D789">
        <v>1686</v>
      </c>
      <c r="E789" t="s">
        <v>2474</v>
      </c>
      <c r="F789" t="s">
        <v>5762</v>
      </c>
      <c r="G789" t="s">
        <v>57</v>
      </c>
      <c r="H789">
        <v>1697196</v>
      </c>
      <c r="I789">
        <v>1697636</v>
      </c>
      <c r="J789" t="s">
        <v>2475</v>
      </c>
      <c r="K789">
        <v>147</v>
      </c>
      <c r="L789" t="s">
        <v>59</v>
      </c>
      <c r="M789">
        <v>5</v>
      </c>
      <c r="N789" t="str">
        <f>HYPERLINK("Gene1686-zp_tree_all.dnd", "Gene1686-tree")</f>
        <v>Gene1686-tree</v>
      </c>
      <c r="O789">
        <v>5</v>
      </c>
      <c r="P789">
        <v>0</v>
      </c>
      <c r="Q789">
        <v>5</v>
      </c>
      <c r="R789">
        <v>0</v>
      </c>
      <c r="S789">
        <v>0</v>
      </c>
      <c r="T789" t="s">
        <v>98</v>
      </c>
      <c r="U789" t="s">
        <v>62</v>
      </c>
      <c r="V789" t="s">
        <v>62</v>
      </c>
      <c r="W789" t="s">
        <v>62</v>
      </c>
      <c r="X789">
        <v>0</v>
      </c>
      <c r="Y789">
        <v>0</v>
      </c>
      <c r="Z789">
        <v>3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3</v>
      </c>
      <c r="AM789">
        <v>2</v>
      </c>
      <c r="AN789">
        <v>8</v>
      </c>
      <c r="AO789">
        <v>0</v>
      </c>
      <c r="AP789">
        <v>16</v>
      </c>
      <c r="AQ789">
        <v>3</v>
      </c>
      <c r="AR789" t="s">
        <v>64</v>
      </c>
      <c r="AS789" t="s">
        <v>2476</v>
      </c>
      <c r="AT789">
        <v>0.88300000000000001</v>
      </c>
      <c r="AU789" t="s">
        <v>65</v>
      </c>
      <c r="AV789">
        <v>24</v>
      </c>
      <c r="AW789">
        <v>3</v>
      </c>
      <c r="AX789" t="s">
        <v>2477</v>
      </c>
      <c r="AY789" t="s">
        <v>2478</v>
      </c>
      <c r="AZ789" t="s">
        <v>2479</v>
      </c>
      <c r="BA789">
        <v>2.6710000000000001E-2</v>
      </c>
      <c r="BB789">
        <v>1</v>
      </c>
      <c r="BC789" t="s">
        <v>69</v>
      </c>
      <c r="BD789">
        <v>1.407</v>
      </c>
      <c r="BE789">
        <v>0.82599999999999996</v>
      </c>
    </row>
    <row r="790" spans="1:57">
      <c r="A790">
        <v>0</v>
      </c>
      <c r="B790">
        <v>0</v>
      </c>
      <c r="C790">
        <v>0</v>
      </c>
      <c r="D790">
        <v>1687</v>
      </c>
      <c r="E790" t="s">
        <v>2480</v>
      </c>
      <c r="F790" t="s">
        <v>5762</v>
      </c>
      <c r="G790" t="s">
        <v>57</v>
      </c>
      <c r="H790">
        <v>1697651</v>
      </c>
      <c r="I790">
        <v>1698262</v>
      </c>
      <c r="J790" t="s">
        <v>2481</v>
      </c>
      <c r="K790">
        <v>204</v>
      </c>
      <c r="L790" t="s">
        <v>59</v>
      </c>
      <c r="M790">
        <v>5</v>
      </c>
      <c r="N790" t="str">
        <f>HYPERLINK("Gene1687-zp_tree_all.dnd", "Gene1687-tree")</f>
        <v>Gene1687-tree</v>
      </c>
      <c r="O790">
        <v>3</v>
      </c>
      <c r="P790">
        <v>2</v>
      </c>
      <c r="Q790">
        <v>3</v>
      </c>
      <c r="R790">
        <v>2</v>
      </c>
      <c r="S790">
        <v>0.4</v>
      </c>
      <c r="T790" t="s">
        <v>84</v>
      </c>
      <c r="U790" t="s">
        <v>135</v>
      </c>
      <c r="V790" t="s">
        <v>62</v>
      </c>
      <c r="W790" t="s">
        <v>62</v>
      </c>
      <c r="X790">
        <v>0</v>
      </c>
      <c r="Y790">
        <v>0</v>
      </c>
      <c r="Z790">
        <v>13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2</v>
      </c>
      <c r="AK790">
        <v>0</v>
      </c>
      <c r="AL790">
        <v>3</v>
      </c>
      <c r="AM790">
        <v>2</v>
      </c>
      <c r="AN790">
        <v>7</v>
      </c>
      <c r="AO790">
        <v>2</v>
      </c>
      <c r="AP790">
        <v>14</v>
      </c>
      <c r="AQ790">
        <v>13</v>
      </c>
      <c r="AR790" t="s">
        <v>2482</v>
      </c>
      <c r="AS790" t="s">
        <v>2483</v>
      </c>
      <c r="AT790">
        <v>0.54800000000000004</v>
      </c>
      <c r="AU790" t="s">
        <v>65</v>
      </c>
      <c r="AV790">
        <v>21</v>
      </c>
      <c r="AW790">
        <v>15</v>
      </c>
      <c r="AX790" t="s">
        <v>2484</v>
      </c>
      <c r="AY790" t="s">
        <v>2485</v>
      </c>
      <c r="AZ790" t="s">
        <v>2486</v>
      </c>
      <c r="BA790">
        <v>0.19772999999999999</v>
      </c>
      <c r="BB790">
        <v>1</v>
      </c>
      <c r="BC790" t="s">
        <v>69</v>
      </c>
      <c r="BD790">
        <v>1.095</v>
      </c>
      <c r="BE790">
        <v>1.095</v>
      </c>
    </row>
    <row r="791" spans="1:57">
      <c r="A791">
        <v>0</v>
      </c>
      <c r="B791">
        <v>0</v>
      </c>
      <c r="C791">
        <v>0</v>
      </c>
      <c r="D791">
        <v>1691</v>
      </c>
      <c r="E791" t="s">
        <v>2487</v>
      </c>
      <c r="F791" t="s">
        <v>5762</v>
      </c>
      <c r="G791" t="s">
        <v>57</v>
      </c>
      <c r="H791">
        <v>1701016</v>
      </c>
      <c r="I791">
        <v>1701228</v>
      </c>
      <c r="J791" t="s">
        <v>2488</v>
      </c>
      <c r="K791">
        <v>71</v>
      </c>
      <c r="L791" t="s">
        <v>59</v>
      </c>
      <c r="M791">
        <v>5</v>
      </c>
      <c r="N791" t="str">
        <f>HYPERLINK("Gene1691-zp_tree_all.dnd", "Gene1691-tree")</f>
        <v>Gene1691-tree</v>
      </c>
    </row>
    <row r="792" spans="1:57">
      <c r="A792">
        <v>0</v>
      </c>
      <c r="B792">
        <v>0</v>
      </c>
      <c r="C792">
        <v>0</v>
      </c>
      <c r="D792">
        <v>1693</v>
      </c>
      <c r="E792" t="s">
        <v>2489</v>
      </c>
      <c r="F792" t="s">
        <v>5762</v>
      </c>
      <c r="G792" t="s">
        <v>57</v>
      </c>
      <c r="H792">
        <v>1701684</v>
      </c>
      <c r="I792">
        <v>1702679</v>
      </c>
      <c r="J792" t="s">
        <v>2469</v>
      </c>
      <c r="K792">
        <v>332</v>
      </c>
      <c r="L792" t="s">
        <v>59</v>
      </c>
      <c r="M792">
        <v>5</v>
      </c>
      <c r="N792" t="str">
        <f>HYPERLINK("Gene1693-zp_tree_all.dnd", "Gene1693-tree")</f>
        <v>Gene1693-tree</v>
      </c>
      <c r="O792">
        <v>5</v>
      </c>
      <c r="P792">
        <v>0</v>
      </c>
      <c r="Q792">
        <v>5</v>
      </c>
      <c r="R792">
        <v>0</v>
      </c>
      <c r="S792">
        <v>0</v>
      </c>
      <c r="T792" t="s">
        <v>98</v>
      </c>
      <c r="U792" t="s">
        <v>62</v>
      </c>
      <c r="V792" t="s">
        <v>62</v>
      </c>
      <c r="W792" t="s">
        <v>62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5</v>
      </c>
      <c r="AM792">
        <v>2</v>
      </c>
      <c r="AN792">
        <v>26</v>
      </c>
      <c r="AO792">
        <v>0</v>
      </c>
      <c r="AP792">
        <v>34</v>
      </c>
      <c r="AQ792">
        <v>0</v>
      </c>
      <c r="AR792" t="s">
        <v>64</v>
      </c>
      <c r="AS792" t="s">
        <v>64</v>
      </c>
      <c r="AT792">
        <v>0</v>
      </c>
      <c r="AU792" t="s">
        <v>65</v>
      </c>
      <c r="AV792">
        <v>60</v>
      </c>
      <c r="AW792">
        <v>0</v>
      </c>
      <c r="AX792" t="s">
        <v>2490</v>
      </c>
      <c r="AY792" t="s">
        <v>2491</v>
      </c>
      <c r="AZ792" t="s">
        <v>64</v>
      </c>
      <c r="BA792">
        <v>0</v>
      </c>
      <c r="BB792">
        <v>1</v>
      </c>
      <c r="BC792" t="s">
        <v>69</v>
      </c>
      <c r="BD792">
        <v>0.66800000000000004</v>
      </c>
      <c r="BE792">
        <v>0.42399999999999999</v>
      </c>
    </row>
    <row r="793" spans="1:57">
      <c r="A793">
        <v>0</v>
      </c>
      <c r="B793">
        <v>0</v>
      </c>
      <c r="C793">
        <v>0</v>
      </c>
      <c r="D793">
        <v>1696</v>
      </c>
      <c r="E793" t="s">
        <v>2492</v>
      </c>
      <c r="F793" t="s">
        <v>5762</v>
      </c>
      <c r="G793" t="s">
        <v>57</v>
      </c>
      <c r="H793">
        <v>1704211</v>
      </c>
      <c r="I793">
        <v>1704867</v>
      </c>
      <c r="J793" t="s">
        <v>2493</v>
      </c>
      <c r="K793">
        <v>219</v>
      </c>
      <c r="L793" t="s">
        <v>59</v>
      </c>
      <c r="M793">
        <v>5</v>
      </c>
      <c r="N793" t="str">
        <f>HYPERLINK("Gene1696-zp_tree_all.dnd", "Gene1696-tree")</f>
        <v>Gene1696-tree</v>
      </c>
      <c r="O793">
        <v>1</v>
      </c>
      <c r="P793">
        <v>4</v>
      </c>
      <c r="Q793">
        <v>1</v>
      </c>
      <c r="R793">
        <v>4</v>
      </c>
      <c r="S793">
        <v>0.8</v>
      </c>
      <c r="T793" t="s">
        <v>61</v>
      </c>
      <c r="U793" t="s">
        <v>60</v>
      </c>
      <c r="V793" t="s">
        <v>62</v>
      </c>
      <c r="W793" t="s">
        <v>62</v>
      </c>
      <c r="X793">
        <v>0</v>
      </c>
      <c r="Y793">
        <v>0</v>
      </c>
      <c r="Z793">
        <v>10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6</v>
      </c>
      <c r="AK793">
        <v>0</v>
      </c>
      <c r="AL793">
        <v>5</v>
      </c>
      <c r="AM793">
        <v>2</v>
      </c>
      <c r="AN793">
        <v>9</v>
      </c>
      <c r="AO793">
        <v>6</v>
      </c>
      <c r="AP793">
        <v>11</v>
      </c>
      <c r="AQ793">
        <v>4</v>
      </c>
      <c r="AR793" t="s">
        <v>2494</v>
      </c>
      <c r="AS793" t="s">
        <v>2495</v>
      </c>
      <c r="AT793">
        <v>0.66300000000000003</v>
      </c>
      <c r="AU793" t="s">
        <v>65</v>
      </c>
      <c r="AV793">
        <v>20</v>
      </c>
      <c r="AW793">
        <v>10</v>
      </c>
      <c r="AX793" t="s">
        <v>2496</v>
      </c>
      <c r="AY793" t="s">
        <v>2497</v>
      </c>
      <c r="AZ793" t="s">
        <v>2498</v>
      </c>
      <c r="BA793">
        <v>0.12486999999999999</v>
      </c>
      <c r="BB793">
        <v>1</v>
      </c>
      <c r="BC793" t="s">
        <v>69</v>
      </c>
      <c r="BD793">
        <v>0.36499999999999999</v>
      </c>
      <c r="BE793">
        <v>0.36499999999999999</v>
      </c>
    </row>
    <row r="794" spans="1:57">
      <c r="A794">
        <v>0</v>
      </c>
      <c r="B794">
        <v>0</v>
      </c>
      <c r="C794">
        <v>0</v>
      </c>
      <c r="D794">
        <v>1697</v>
      </c>
      <c r="E794" t="s">
        <v>2499</v>
      </c>
      <c r="F794" t="s">
        <v>5762</v>
      </c>
      <c r="G794" t="s">
        <v>57</v>
      </c>
      <c r="H794">
        <v>1704863</v>
      </c>
      <c r="I794">
        <v>1705525</v>
      </c>
      <c r="J794" t="s">
        <v>2500</v>
      </c>
      <c r="K794">
        <v>221</v>
      </c>
      <c r="L794" t="s">
        <v>59</v>
      </c>
      <c r="M794">
        <v>5</v>
      </c>
      <c r="N794" t="str">
        <f>HYPERLINK("Gene1697-zp_tree_all.dnd", "Gene1697-tree")</f>
        <v>Gene1697-tree</v>
      </c>
      <c r="O794">
        <v>4</v>
      </c>
      <c r="P794">
        <v>1</v>
      </c>
      <c r="Q794">
        <v>3</v>
      </c>
      <c r="R794">
        <v>1</v>
      </c>
      <c r="S794">
        <v>0.25</v>
      </c>
      <c r="T794" t="s">
        <v>119</v>
      </c>
      <c r="U794" t="s">
        <v>61</v>
      </c>
      <c r="V794" t="s">
        <v>62</v>
      </c>
      <c r="W794" t="s">
        <v>62</v>
      </c>
      <c r="X794">
        <v>0</v>
      </c>
      <c r="Y794">
        <v>0</v>
      </c>
      <c r="Z794">
        <v>4</v>
      </c>
      <c r="AA794">
        <v>0</v>
      </c>
      <c r="AB794">
        <v>0</v>
      </c>
      <c r="AC794">
        <v>0</v>
      </c>
      <c r="AD794">
        <v>0</v>
      </c>
      <c r="AE794">
        <v>1</v>
      </c>
      <c r="AF794">
        <v>0</v>
      </c>
      <c r="AG794">
        <v>0</v>
      </c>
      <c r="AH794">
        <v>0</v>
      </c>
      <c r="AI794">
        <v>0</v>
      </c>
      <c r="AJ794">
        <v>3</v>
      </c>
      <c r="AK794">
        <v>0</v>
      </c>
      <c r="AL794">
        <v>4</v>
      </c>
      <c r="AM794">
        <v>1</v>
      </c>
      <c r="AN794">
        <v>18</v>
      </c>
      <c r="AO794">
        <v>4</v>
      </c>
      <c r="AP794">
        <v>15</v>
      </c>
      <c r="AQ794">
        <v>1</v>
      </c>
      <c r="AR794" t="s">
        <v>2501</v>
      </c>
      <c r="AS794" t="s">
        <v>2502</v>
      </c>
      <c r="AT794">
        <v>0.42699999999999999</v>
      </c>
      <c r="AU794" t="s">
        <v>65</v>
      </c>
      <c r="AV794">
        <v>33</v>
      </c>
      <c r="AW794">
        <v>5</v>
      </c>
      <c r="AX794" t="s">
        <v>2503</v>
      </c>
      <c r="AY794" t="s">
        <v>2504</v>
      </c>
      <c r="AZ794" t="s">
        <v>2505</v>
      </c>
      <c r="BA794">
        <v>4.1770000000000002E-2</v>
      </c>
      <c r="BB794">
        <v>1</v>
      </c>
      <c r="BC794" t="s">
        <v>69</v>
      </c>
      <c r="BD794">
        <v>0.35499999999999998</v>
      </c>
      <c r="BE794">
        <v>0.186</v>
      </c>
    </row>
    <row r="795" spans="1:57">
      <c r="A795">
        <v>0</v>
      </c>
      <c r="B795">
        <v>0</v>
      </c>
      <c r="C795">
        <v>0</v>
      </c>
      <c r="D795">
        <v>1698</v>
      </c>
      <c r="E795" t="s">
        <v>2506</v>
      </c>
      <c r="F795" t="s">
        <v>5762</v>
      </c>
      <c r="G795" t="s">
        <v>57</v>
      </c>
      <c r="H795">
        <v>1705543</v>
      </c>
      <c r="I795">
        <v>1705809</v>
      </c>
      <c r="J795" t="s">
        <v>2500</v>
      </c>
      <c r="K795">
        <v>89</v>
      </c>
      <c r="L795" t="s">
        <v>112</v>
      </c>
      <c r="M795">
        <v>4</v>
      </c>
      <c r="N795" t="str">
        <f>HYPERLINK("Gene1698-zp_tree_all.dnd", "Gene1698-tree")</f>
        <v>Gene1698-tree</v>
      </c>
    </row>
    <row r="796" spans="1:57">
      <c r="A796">
        <v>0</v>
      </c>
      <c r="B796">
        <v>0</v>
      </c>
      <c r="C796">
        <v>0</v>
      </c>
      <c r="D796">
        <v>1706</v>
      </c>
      <c r="E796" t="s">
        <v>2507</v>
      </c>
      <c r="F796" t="s">
        <v>5762</v>
      </c>
      <c r="G796" t="s">
        <v>57</v>
      </c>
      <c r="H796">
        <v>1714855</v>
      </c>
      <c r="I796">
        <v>1715322</v>
      </c>
      <c r="J796" t="s">
        <v>2508</v>
      </c>
      <c r="K796">
        <v>156</v>
      </c>
      <c r="L796" t="s">
        <v>59</v>
      </c>
      <c r="M796">
        <v>5</v>
      </c>
      <c r="N796" t="str">
        <f>HYPERLINK("Gene1706-zp_tree_all.dnd", "Gene1706-tree")</f>
        <v>Gene1706-tree</v>
      </c>
      <c r="O796">
        <v>4</v>
      </c>
      <c r="P796">
        <v>1</v>
      </c>
      <c r="Q796">
        <v>3</v>
      </c>
      <c r="R796">
        <v>1</v>
      </c>
      <c r="S796">
        <v>0.25</v>
      </c>
      <c r="T796" t="s">
        <v>119</v>
      </c>
      <c r="U796" t="s">
        <v>61</v>
      </c>
      <c r="V796" t="s">
        <v>62</v>
      </c>
      <c r="W796" t="s">
        <v>62</v>
      </c>
      <c r="X796">
        <v>0</v>
      </c>
      <c r="Y796">
        <v>0</v>
      </c>
      <c r="Z796">
        <v>5</v>
      </c>
      <c r="AA796">
        <v>0</v>
      </c>
      <c r="AB796">
        <v>0</v>
      </c>
      <c r="AC796">
        <v>0</v>
      </c>
      <c r="AD796">
        <v>0</v>
      </c>
      <c r="AE796">
        <v>4</v>
      </c>
      <c r="AF796">
        <v>0</v>
      </c>
      <c r="AG796">
        <v>0</v>
      </c>
      <c r="AH796">
        <v>0</v>
      </c>
      <c r="AI796">
        <v>0</v>
      </c>
      <c r="AJ796">
        <v>1</v>
      </c>
      <c r="AK796">
        <v>0</v>
      </c>
      <c r="AL796">
        <v>4</v>
      </c>
      <c r="AM796">
        <v>1</v>
      </c>
      <c r="AN796">
        <v>11</v>
      </c>
      <c r="AO796">
        <v>1</v>
      </c>
      <c r="AP796">
        <v>9</v>
      </c>
      <c r="AQ796">
        <v>4</v>
      </c>
      <c r="AR796" t="s">
        <v>2509</v>
      </c>
      <c r="AS796" t="s">
        <v>2510</v>
      </c>
      <c r="AT796">
        <v>2.3109999999999999</v>
      </c>
      <c r="AU796" t="s">
        <v>65</v>
      </c>
      <c r="AV796">
        <v>20</v>
      </c>
      <c r="AW796">
        <v>5</v>
      </c>
      <c r="AX796" t="s">
        <v>2511</v>
      </c>
      <c r="AY796" t="s">
        <v>2512</v>
      </c>
      <c r="AZ796" t="s">
        <v>2513</v>
      </c>
      <c r="BA796">
        <v>7.4200000000000002E-2</v>
      </c>
      <c r="BB796">
        <v>1</v>
      </c>
      <c r="BC796" t="s">
        <v>69</v>
      </c>
      <c r="BD796">
        <v>0.89100000000000001</v>
      </c>
      <c r="BE796">
        <v>0.56799999999999995</v>
      </c>
    </row>
    <row r="797" spans="1:57">
      <c r="A797">
        <v>0</v>
      </c>
      <c r="B797">
        <v>0</v>
      </c>
      <c r="C797">
        <v>0</v>
      </c>
      <c r="D797">
        <v>1707</v>
      </c>
      <c r="E797" t="s">
        <v>2514</v>
      </c>
      <c r="F797" t="s">
        <v>5762</v>
      </c>
      <c r="G797" t="s">
        <v>57</v>
      </c>
      <c r="H797">
        <v>1715344</v>
      </c>
      <c r="I797">
        <v>1715970</v>
      </c>
      <c r="J797" t="s">
        <v>2515</v>
      </c>
      <c r="K797">
        <v>209</v>
      </c>
      <c r="L797" t="s">
        <v>59</v>
      </c>
      <c r="M797">
        <v>5</v>
      </c>
      <c r="N797" t="str">
        <f>HYPERLINK("Gene1707-zp_tree_all.dnd", "Gene1707-tree")</f>
        <v>Gene1707-tree</v>
      </c>
      <c r="O797">
        <v>5</v>
      </c>
      <c r="P797">
        <v>0</v>
      </c>
      <c r="Q797">
        <v>5</v>
      </c>
      <c r="R797">
        <v>0</v>
      </c>
      <c r="S797">
        <v>0</v>
      </c>
      <c r="T797" t="s">
        <v>98</v>
      </c>
      <c r="U797" t="s">
        <v>62</v>
      </c>
      <c r="V797" t="s">
        <v>62</v>
      </c>
      <c r="W797" t="s">
        <v>62</v>
      </c>
      <c r="X797">
        <v>0</v>
      </c>
      <c r="Y797">
        <v>0</v>
      </c>
      <c r="Z797">
        <v>2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4</v>
      </c>
      <c r="AM797">
        <v>2</v>
      </c>
      <c r="AN797">
        <v>16</v>
      </c>
      <c r="AO797">
        <v>0</v>
      </c>
      <c r="AP797">
        <v>16</v>
      </c>
      <c r="AQ797">
        <v>2</v>
      </c>
      <c r="AR797" t="s">
        <v>64</v>
      </c>
      <c r="AS797" t="s">
        <v>2516</v>
      </c>
      <c r="AT797">
        <v>0.79400000000000004</v>
      </c>
      <c r="AU797" t="s">
        <v>65</v>
      </c>
      <c r="AV797">
        <v>32</v>
      </c>
      <c r="AW797">
        <v>2</v>
      </c>
      <c r="AX797" t="s">
        <v>2517</v>
      </c>
      <c r="AY797" t="s">
        <v>2518</v>
      </c>
      <c r="AZ797" t="s">
        <v>2519</v>
      </c>
      <c r="BA797">
        <v>1.865E-2</v>
      </c>
      <c r="BB797">
        <v>1</v>
      </c>
      <c r="BC797" t="s">
        <v>69</v>
      </c>
      <c r="BD797">
        <v>0.501</v>
      </c>
      <c r="BE797">
        <v>0.26500000000000001</v>
      </c>
    </row>
    <row r="798" spans="1:57">
      <c r="A798">
        <v>0</v>
      </c>
      <c r="B798">
        <v>0</v>
      </c>
      <c r="C798">
        <v>0</v>
      </c>
      <c r="D798">
        <v>1708</v>
      </c>
      <c r="E798" t="s">
        <v>2520</v>
      </c>
      <c r="F798" t="s">
        <v>5762</v>
      </c>
      <c r="G798" t="s">
        <v>57</v>
      </c>
      <c r="H798">
        <v>1715970</v>
      </c>
      <c r="I798">
        <v>1716467</v>
      </c>
      <c r="J798" t="s">
        <v>2521</v>
      </c>
      <c r="K798">
        <v>166</v>
      </c>
      <c r="L798" t="s">
        <v>59</v>
      </c>
      <c r="M798">
        <v>5</v>
      </c>
      <c r="N798" t="str">
        <f>HYPERLINK("Gene1708-zp_tree_all.dnd", "Gene1708-tree")</f>
        <v>Gene1708-tree</v>
      </c>
      <c r="O798">
        <v>3</v>
      </c>
      <c r="P798">
        <v>2</v>
      </c>
      <c r="Q798">
        <v>3</v>
      </c>
      <c r="R798">
        <v>1</v>
      </c>
      <c r="S798">
        <v>0.25</v>
      </c>
      <c r="T798" t="s">
        <v>84</v>
      </c>
      <c r="U798" t="s">
        <v>61</v>
      </c>
      <c r="V798" t="s">
        <v>62</v>
      </c>
      <c r="W798" t="s">
        <v>62</v>
      </c>
      <c r="X798">
        <v>0</v>
      </c>
      <c r="Y798">
        <v>0</v>
      </c>
      <c r="Z798">
        <v>3</v>
      </c>
      <c r="AA798">
        <v>0</v>
      </c>
      <c r="AB798">
        <v>0</v>
      </c>
      <c r="AC798">
        <v>0</v>
      </c>
      <c r="AD798">
        <v>0</v>
      </c>
      <c r="AE798">
        <v>2</v>
      </c>
      <c r="AF798">
        <v>0</v>
      </c>
      <c r="AG798">
        <v>0</v>
      </c>
      <c r="AH798">
        <v>0</v>
      </c>
      <c r="AI798">
        <v>0</v>
      </c>
      <c r="AJ798">
        <v>1</v>
      </c>
      <c r="AK798">
        <v>0</v>
      </c>
      <c r="AL798">
        <v>4</v>
      </c>
      <c r="AM798">
        <v>1</v>
      </c>
      <c r="AN798">
        <v>15</v>
      </c>
      <c r="AO798">
        <v>1</v>
      </c>
      <c r="AP798">
        <v>12</v>
      </c>
      <c r="AQ798">
        <v>2</v>
      </c>
      <c r="AR798" t="s">
        <v>2522</v>
      </c>
      <c r="AS798" t="s">
        <v>2523</v>
      </c>
      <c r="AT798">
        <v>0.85299999999999998</v>
      </c>
      <c r="AU798" t="s">
        <v>65</v>
      </c>
      <c r="AV798">
        <v>27</v>
      </c>
      <c r="AW798">
        <v>3</v>
      </c>
      <c r="AX798" t="s">
        <v>2524</v>
      </c>
      <c r="AY798" t="s">
        <v>2525</v>
      </c>
      <c r="AZ798" t="s">
        <v>2526</v>
      </c>
      <c r="BA798">
        <v>3.354E-2</v>
      </c>
      <c r="BB798">
        <v>1</v>
      </c>
      <c r="BC798" t="s">
        <v>69</v>
      </c>
      <c r="BD798">
        <v>0.57999999999999996</v>
      </c>
      <c r="BE798">
        <v>0.57999999999999996</v>
      </c>
    </row>
    <row r="799" spans="1:57">
      <c r="A799">
        <v>0</v>
      </c>
      <c r="B799">
        <v>0</v>
      </c>
      <c r="C799">
        <v>0</v>
      </c>
      <c r="D799">
        <v>1709</v>
      </c>
      <c r="E799" t="s">
        <v>2527</v>
      </c>
      <c r="F799" t="s">
        <v>5762</v>
      </c>
      <c r="G799" t="s">
        <v>57</v>
      </c>
      <c r="H799">
        <v>1716493</v>
      </c>
      <c r="I799">
        <v>1717254</v>
      </c>
      <c r="J799" t="s">
        <v>2528</v>
      </c>
      <c r="K799">
        <v>254</v>
      </c>
      <c r="L799" t="s">
        <v>59</v>
      </c>
      <c r="M799">
        <v>5</v>
      </c>
      <c r="N799" t="str">
        <f>HYPERLINK("Gene1709-zp_tree_all.dnd", "Gene1709-tree")</f>
        <v>Gene1709-tree</v>
      </c>
      <c r="O799">
        <v>4</v>
      </c>
      <c r="P799">
        <v>1</v>
      </c>
      <c r="Q799">
        <v>3</v>
      </c>
      <c r="R799">
        <v>1</v>
      </c>
      <c r="S799">
        <v>0.25</v>
      </c>
      <c r="T799" t="s">
        <v>119</v>
      </c>
      <c r="U799" t="s">
        <v>61</v>
      </c>
      <c r="V799" t="s">
        <v>62</v>
      </c>
      <c r="W799" t="s">
        <v>62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1</v>
      </c>
      <c r="AK799">
        <v>0</v>
      </c>
      <c r="AL799">
        <v>4</v>
      </c>
      <c r="AM799">
        <v>1</v>
      </c>
      <c r="AN799">
        <v>15</v>
      </c>
      <c r="AO799">
        <v>1</v>
      </c>
      <c r="AP799">
        <v>11</v>
      </c>
      <c r="AQ799">
        <v>0</v>
      </c>
      <c r="AR799" t="s">
        <v>2529</v>
      </c>
      <c r="AS799" t="s">
        <v>64</v>
      </c>
      <c r="AT799">
        <v>0.53900000000000003</v>
      </c>
      <c r="AU799" t="s">
        <v>65</v>
      </c>
      <c r="AV799">
        <v>26</v>
      </c>
      <c r="AW799">
        <v>1</v>
      </c>
      <c r="AX799" t="s">
        <v>2530</v>
      </c>
      <c r="AY799" t="s">
        <v>2531</v>
      </c>
      <c r="AZ799" t="s">
        <v>2532</v>
      </c>
      <c r="BA799">
        <v>8.9499999999999996E-3</v>
      </c>
      <c r="BB799">
        <v>1</v>
      </c>
      <c r="BC799" t="s">
        <v>69</v>
      </c>
      <c r="BD799">
        <v>0.31</v>
      </c>
      <c r="BE799">
        <v>0.31</v>
      </c>
    </row>
    <row r="800" spans="1:57">
      <c r="A800">
        <v>0</v>
      </c>
      <c r="B800">
        <v>0</v>
      </c>
      <c r="C800">
        <v>0</v>
      </c>
      <c r="D800">
        <v>1711</v>
      </c>
      <c r="E800" t="s">
        <v>2533</v>
      </c>
      <c r="F800" t="s">
        <v>5762</v>
      </c>
      <c r="G800" t="s">
        <v>57</v>
      </c>
      <c r="H800">
        <v>1717933</v>
      </c>
      <c r="I800">
        <v>1718670</v>
      </c>
      <c r="J800" t="s">
        <v>2534</v>
      </c>
      <c r="K800">
        <v>246</v>
      </c>
      <c r="L800" t="s">
        <v>59</v>
      </c>
      <c r="M800">
        <v>5</v>
      </c>
      <c r="N800" t="str">
        <f>HYPERLINK("Gene1711-zp_tree_all.dnd", "Gene1711-tree")</f>
        <v>Gene1711-tree</v>
      </c>
      <c r="O800">
        <v>5</v>
      </c>
      <c r="P800">
        <v>0</v>
      </c>
      <c r="Q800">
        <v>4</v>
      </c>
      <c r="R800">
        <v>0</v>
      </c>
      <c r="S800">
        <v>0</v>
      </c>
      <c r="T800" t="s">
        <v>150</v>
      </c>
      <c r="U800" t="s">
        <v>62</v>
      </c>
      <c r="V800" t="s">
        <v>62</v>
      </c>
      <c r="W800" t="s">
        <v>62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3</v>
      </c>
      <c r="AM800">
        <v>1</v>
      </c>
      <c r="AN800">
        <v>7</v>
      </c>
      <c r="AO800">
        <v>0</v>
      </c>
      <c r="AP800">
        <v>2</v>
      </c>
      <c r="AQ800">
        <v>0</v>
      </c>
      <c r="AR800" t="s">
        <v>64</v>
      </c>
      <c r="AS800" t="s">
        <v>64</v>
      </c>
      <c r="AT800">
        <v>0</v>
      </c>
      <c r="AU800" t="s">
        <v>65</v>
      </c>
      <c r="AV800">
        <v>9</v>
      </c>
      <c r="AW800">
        <v>0</v>
      </c>
      <c r="AX800" t="s">
        <v>2535</v>
      </c>
      <c r="AY800" t="s">
        <v>2536</v>
      </c>
      <c r="AZ800" t="s">
        <v>64</v>
      </c>
      <c r="BA800">
        <v>0</v>
      </c>
      <c r="BB800">
        <v>1</v>
      </c>
      <c r="BC800" t="s">
        <v>69</v>
      </c>
      <c r="BD800">
        <v>-0.19700000000000001</v>
      </c>
      <c r="BE800">
        <v>-0.19700000000000001</v>
      </c>
    </row>
    <row r="801" spans="1:57">
      <c r="A801">
        <v>0</v>
      </c>
      <c r="B801">
        <v>0</v>
      </c>
      <c r="C801">
        <v>0</v>
      </c>
      <c r="D801">
        <v>1712</v>
      </c>
      <c r="E801" t="s">
        <v>2537</v>
      </c>
      <c r="F801" t="s">
        <v>5762</v>
      </c>
      <c r="G801" t="s">
        <v>57</v>
      </c>
      <c r="H801">
        <v>1718775</v>
      </c>
      <c r="I801">
        <v>1719653</v>
      </c>
      <c r="J801" t="s">
        <v>2538</v>
      </c>
      <c r="K801">
        <v>293</v>
      </c>
      <c r="L801" t="s">
        <v>59</v>
      </c>
      <c r="M801">
        <v>5</v>
      </c>
      <c r="N801" t="str">
        <f>HYPERLINK("Gene1712-zp_tree_all.dnd", "Gene1712-tree")</f>
        <v>Gene1712-tree</v>
      </c>
      <c r="O801">
        <v>4</v>
      </c>
      <c r="P801">
        <v>1</v>
      </c>
      <c r="Q801">
        <v>4</v>
      </c>
      <c r="R801">
        <v>1</v>
      </c>
      <c r="S801">
        <v>0.2</v>
      </c>
      <c r="T801" t="s">
        <v>60</v>
      </c>
      <c r="U801" t="s">
        <v>61</v>
      </c>
      <c r="V801" t="s">
        <v>62</v>
      </c>
      <c r="W801" t="s">
        <v>62</v>
      </c>
      <c r="X801">
        <v>0</v>
      </c>
      <c r="Y801">
        <v>0</v>
      </c>
      <c r="Z801">
        <v>6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2</v>
      </c>
      <c r="AK801">
        <v>0</v>
      </c>
      <c r="AL801">
        <v>4</v>
      </c>
      <c r="AM801">
        <v>2</v>
      </c>
      <c r="AN801">
        <v>12</v>
      </c>
      <c r="AO801">
        <v>2</v>
      </c>
      <c r="AP801">
        <v>19</v>
      </c>
      <c r="AQ801">
        <v>4</v>
      </c>
      <c r="AR801" t="s">
        <v>2539</v>
      </c>
      <c r="AS801" t="s">
        <v>2540</v>
      </c>
      <c r="AT801">
        <v>0.1</v>
      </c>
      <c r="AU801" t="s">
        <v>65</v>
      </c>
      <c r="AV801">
        <v>31</v>
      </c>
      <c r="AW801">
        <v>6</v>
      </c>
      <c r="AX801" t="s">
        <v>2541</v>
      </c>
      <c r="AY801" t="s">
        <v>2542</v>
      </c>
      <c r="AZ801" t="s">
        <v>2543</v>
      </c>
      <c r="BA801">
        <v>5.3699999999999998E-2</v>
      </c>
      <c r="BB801">
        <v>1</v>
      </c>
      <c r="BC801" t="s">
        <v>69</v>
      </c>
      <c r="BD801">
        <v>0.98199999999999998</v>
      </c>
      <c r="BE801">
        <v>0.80400000000000005</v>
      </c>
    </row>
    <row r="802" spans="1:57">
      <c r="A802">
        <v>0</v>
      </c>
      <c r="B802">
        <v>0</v>
      </c>
      <c r="C802">
        <v>0</v>
      </c>
      <c r="D802">
        <v>1713</v>
      </c>
      <c r="E802" t="s">
        <v>2544</v>
      </c>
      <c r="F802" t="s">
        <v>5762</v>
      </c>
      <c r="G802" t="s">
        <v>57</v>
      </c>
      <c r="H802">
        <v>1719802</v>
      </c>
      <c r="I802">
        <v>1720521</v>
      </c>
      <c r="J802" t="s">
        <v>2545</v>
      </c>
      <c r="K802">
        <v>240</v>
      </c>
      <c r="L802" t="s">
        <v>59</v>
      </c>
      <c r="M802">
        <v>5</v>
      </c>
      <c r="N802" t="str">
        <f>HYPERLINK("Gene1713-zp_tree_all.dnd", "Gene1713-tree")</f>
        <v>Gene1713-tree</v>
      </c>
      <c r="O802">
        <v>5</v>
      </c>
      <c r="P802">
        <v>0</v>
      </c>
      <c r="Q802">
        <v>5</v>
      </c>
      <c r="R802">
        <v>0</v>
      </c>
      <c r="S802">
        <v>0</v>
      </c>
      <c r="T802" t="s">
        <v>98</v>
      </c>
      <c r="U802" t="s">
        <v>62</v>
      </c>
      <c r="V802" t="s">
        <v>62</v>
      </c>
      <c r="W802" t="s">
        <v>62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4</v>
      </c>
      <c r="AM802">
        <v>2</v>
      </c>
      <c r="AN802">
        <v>12</v>
      </c>
      <c r="AO802">
        <v>0</v>
      </c>
      <c r="AP802">
        <v>12</v>
      </c>
      <c r="AQ802">
        <v>0</v>
      </c>
      <c r="AR802" t="s">
        <v>64</v>
      </c>
      <c r="AS802" t="s">
        <v>64</v>
      </c>
      <c r="AT802">
        <v>0</v>
      </c>
      <c r="AU802" t="s">
        <v>65</v>
      </c>
      <c r="AV802">
        <v>24</v>
      </c>
      <c r="AW802">
        <v>0</v>
      </c>
      <c r="AX802" t="s">
        <v>2546</v>
      </c>
      <c r="AY802" t="s">
        <v>2547</v>
      </c>
      <c r="AZ802" t="s">
        <v>64</v>
      </c>
      <c r="BA802">
        <v>0</v>
      </c>
      <c r="BB802">
        <v>1</v>
      </c>
      <c r="BC802" t="s">
        <v>69</v>
      </c>
      <c r="BD802">
        <v>0.31</v>
      </c>
      <c r="BE802">
        <v>0.31</v>
      </c>
    </row>
    <row r="803" spans="1:57">
      <c r="A803">
        <v>0</v>
      </c>
      <c r="B803">
        <v>0</v>
      </c>
      <c r="C803">
        <v>0</v>
      </c>
      <c r="D803">
        <v>1714</v>
      </c>
      <c r="E803" t="s">
        <v>2548</v>
      </c>
      <c r="F803" t="s">
        <v>5762</v>
      </c>
      <c r="G803" t="s">
        <v>57</v>
      </c>
      <c r="H803">
        <v>1720526</v>
      </c>
      <c r="I803">
        <v>1721080</v>
      </c>
      <c r="J803" t="s">
        <v>2549</v>
      </c>
      <c r="K803">
        <v>185</v>
      </c>
      <c r="L803" t="s">
        <v>59</v>
      </c>
      <c r="M803">
        <v>5</v>
      </c>
      <c r="N803" t="str">
        <f>HYPERLINK("Gene1714-zp_tree_all.dnd", "Gene1714-tree")</f>
        <v>Gene1714-tree</v>
      </c>
      <c r="O803">
        <v>4</v>
      </c>
      <c r="P803">
        <v>1</v>
      </c>
      <c r="Q803">
        <v>4</v>
      </c>
      <c r="R803">
        <v>1</v>
      </c>
      <c r="S803">
        <v>0.2</v>
      </c>
      <c r="T803" t="s">
        <v>60</v>
      </c>
      <c r="U803" t="s">
        <v>61</v>
      </c>
      <c r="V803" t="s">
        <v>62</v>
      </c>
      <c r="W803" t="s">
        <v>62</v>
      </c>
      <c r="X803">
        <v>0</v>
      </c>
      <c r="Y803">
        <v>0</v>
      </c>
      <c r="Z803">
        <v>5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1</v>
      </c>
      <c r="AK803">
        <v>0</v>
      </c>
      <c r="AL803">
        <v>5</v>
      </c>
      <c r="AM803">
        <v>1</v>
      </c>
      <c r="AN803">
        <v>14</v>
      </c>
      <c r="AO803">
        <v>1</v>
      </c>
      <c r="AP803">
        <v>15</v>
      </c>
      <c r="AQ803">
        <v>4</v>
      </c>
      <c r="AR803" t="s">
        <v>2550</v>
      </c>
      <c r="AS803" t="s">
        <v>2551</v>
      </c>
      <c r="AT803">
        <v>1.345</v>
      </c>
      <c r="AU803" t="s">
        <v>65</v>
      </c>
      <c r="AV803">
        <v>29</v>
      </c>
      <c r="AW803">
        <v>5</v>
      </c>
      <c r="AX803" t="s">
        <v>2552</v>
      </c>
      <c r="AY803" t="s">
        <v>2553</v>
      </c>
      <c r="AZ803" t="s">
        <v>2554</v>
      </c>
      <c r="BA803">
        <v>5.3780000000000001E-2</v>
      </c>
      <c r="BB803">
        <v>1</v>
      </c>
      <c r="BC803" t="s">
        <v>69</v>
      </c>
      <c r="BD803">
        <v>0.59599999999999997</v>
      </c>
      <c r="BE803">
        <v>0.35899999999999999</v>
      </c>
    </row>
    <row r="804" spans="1:57">
      <c r="A804">
        <v>0</v>
      </c>
      <c r="B804">
        <v>0</v>
      </c>
      <c r="C804">
        <v>2</v>
      </c>
      <c r="D804">
        <v>1715</v>
      </c>
      <c r="E804" t="s">
        <v>2555</v>
      </c>
      <c r="F804" t="s">
        <v>5762</v>
      </c>
      <c r="G804" t="s">
        <v>57</v>
      </c>
      <c r="H804">
        <v>1721214</v>
      </c>
      <c r="I804">
        <v>1721993</v>
      </c>
      <c r="J804" t="s">
        <v>2556</v>
      </c>
      <c r="K804">
        <v>260</v>
      </c>
      <c r="L804" t="s">
        <v>59</v>
      </c>
      <c r="M804">
        <v>5</v>
      </c>
      <c r="N804" t="str">
        <f>HYPERLINK("Gene1715-zp_tree_all.dnd", "Gene1715-tree")</f>
        <v>Gene1715-tree</v>
      </c>
      <c r="O804">
        <v>3</v>
      </c>
      <c r="P804">
        <v>2</v>
      </c>
      <c r="Q804">
        <v>3</v>
      </c>
      <c r="R804">
        <v>2</v>
      </c>
      <c r="S804">
        <v>0.4</v>
      </c>
      <c r="T804" t="s">
        <v>84</v>
      </c>
      <c r="U804" t="s">
        <v>135</v>
      </c>
      <c r="V804" t="s">
        <v>62</v>
      </c>
      <c r="W804" t="s">
        <v>62</v>
      </c>
      <c r="X804">
        <v>1</v>
      </c>
      <c r="Y804">
        <v>2</v>
      </c>
      <c r="Z804">
        <v>6</v>
      </c>
      <c r="AA804">
        <v>0.25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3</v>
      </c>
      <c r="AK804">
        <v>0</v>
      </c>
      <c r="AL804">
        <v>5</v>
      </c>
      <c r="AM804">
        <v>1</v>
      </c>
      <c r="AN804">
        <v>11</v>
      </c>
      <c r="AO804">
        <v>3</v>
      </c>
      <c r="AP804">
        <v>19</v>
      </c>
      <c r="AQ804">
        <v>5</v>
      </c>
      <c r="AR804" t="s">
        <v>2557</v>
      </c>
      <c r="AS804" t="s">
        <v>2558</v>
      </c>
      <c r="AT804">
        <v>6.6000000000000003E-2</v>
      </c>
      <c r="AU804" t="s">
        <v>65</v>
      </c>
      <c r="AV804">
        <v>30</v>
      </c>
      <c r="AW804">
        <v>8</v>
      </c>
      <c r="AX804" t="s">
        <v>2559</v>
      </c>
      <c r="AY804" t="s">
        <v>2560</v>
      </c>
      <c r="AZ804" t="s">
        <v>2561</v>
      </c>
      <c r="BA804">
        <v>6.6970000000000002E-2</v>
      </c>
      <c r="BB804">
        <v>1</v>
      </c>
      <c r="BC804" t="s">
        <v>69</v>
      </c>
      <c r="BD804">
        <v>0.72499999999999998</v>
      </c>
      <c r="BE804">
        <v>0.72499999999999998</v>
      </c>
    </row>
    <row r="805" spans="1:57">
      <c r="A805">
        <v>0</v>
      </c>
      <c r="B805">
        <v>0</v>
      </c>
      <c r="C805">
        <v>0</v>
      </c>
      <c r="D805">
        <v>1716</v>
      </c>
      <c r="E805" t="s">
        <v>2562</v>
      </c>
      <c r="F805" t="s">
        <v>5762</v>
      </c>
      <c r="G805" t="s">
        <v>57</v>
      </c>
      <c r="H805">
        <v>1722000</v>
      </c>
      <c r="I805">
        <v>1722806</v>
      </c>
      <c r="J805" t="s">
        <v>2563</v>
      </c>
      <c r="K805">
        <v>269</v>
      </c>
      <c r="L805" t="s">
        <v>59</v>
      </c>
      <c r="M805">
        <v>5</v>
      </c>
      <c r="N805" t="str">
        <f>HYPERLINK("Gene1716-zp_tree_all.dnd", "Gene1716-tree")</f>
        <v>Gene1716-tree</v>
      </c>
      <c r="O805">
        <v>2</v>
      </c>
      <c r="P805">
        <v>3</v>
      </c>
      <c r="Q805">
        <v>2</v>
      </c>
      <c r="R805">
        <v>3</v>
      </c>
      <c r="S805">
        <v>0.6</v>
      </c>
      <c r="T805" t="s">
        <v>135</v>
      </c>
      <c r="U805" t="s">
        <v>84</v>
      </c>
      <c r="V805" t="s">
        <v>62</v>
      </c>
      <c r="W805" t="s">
        <v>62</v>
      </c>
      <c r="X805">
        <v>0</v>
      </c>
      <c r="Y805">
        <v>0</v>
      </c>
      <c r="Z805">
        <v>9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4</v>
      </c>
      <c r="AK805">
        <v>0</v>
      </c>
      <c r="AL805">
        <v>5</v>
      </c>
      <c r="AM805">
        <v>2</v>
      </c>
      <c r="AN805">
        <v>18</v>
      </c>
      <c r="AO805">
        <v>4</v>
      </c>
      <c r="AP805">
        <v>19</v>
      </c>
      <c r="AQ805">
        <v>5</v>
      </c>
      <c r="AR805" t="s">
        <v>2564</v>
      </c>
      <c r="AS805" t="s">
        <v>2565</v>
      </c>
      <c r="AT805">
        <v>0.10100000000000001</v>
      </c>
      <c r="AU805" t="s">
        <v>65</v>
      </c>
      <c r="AV805">
        <v>37</v>
      </c>
      <c r="AW805">
        <v>9</v>
      </c>
      <c r="AX805" t="s">
        <v>2566</v>
      </c>
      <c r="AY805" t="s">
        <v>2567</v>
      </c>
      <c r="AZ805" t="s">
        <v>2568</v>
      </c>
      <c r="BA805">
        <v>7.671E-2</v>
      </c>
      <c r="BB805">
        <v>1</v>
      </c>
      <c r="BC805" t="s">
        <v>69</v>
      </c>
      <c r="BD805">
        <v>0.79900000000000004</v>
      </c>
      <c r="BE805">
        <v>0.314</v>
      </c>
    </row>
    <row r="806" spans="1:57">
      <c r="A806">
        <v>0</v>
      </c>
      <c r="B806">
        <v>0</v>
      </c>
      <c r="C806">
        <v>2</v>
      </c>
      <c r="D806">
        <v>1717</v>
      </c>
      <c r="E806" t="s">
        <v>2569</v>
      </c>
      <c r="F806" t="s">
        <v>5762</v>
      </c>
      <c r="G806" t="s">
        <v>57</v>
      </c>
      <c r="H806">
        <v>1722871</v>
      </c>
      <c r="I806">
        <v>1724019</v>
      </c>
      <c r="J806" t="s">
        <v>2570</v>
      </c>
      <c r="K806">
        <v>383</v>
      </c>
      <c r="L806" t="s">
        <v>59</v>
      </c>
      <c r="M806">
        <v>5</v>
      </c>
      <c r="N806" t="str">
        <f>HYPERLINK("Gene1717-zp_tree_all.dnd", "Gene1717-tree")</f>
        <v>Gene1717-tree</v>
      </c>
      <c r="O806">
        <v>3</v>
      </c>
      <c r="P806">
        <v>2</v>
      </c>
      <c r="Q806">
        <v>3</v>
      </c>
      <c r="R806">
        <v>2</v>
      </c>
      <c r="S806">
        <v>0.4</v>
      </c>
      <c r="T806" t="s">
        <v>84</v>
      </c>
      <c r="U806" t="s">
        <v>135</v>
      </c>
      <c r="V806" t="s">
        <v>62</v>
      </c>
      <c r="W806" t="s">
        <v>62</v>
      </c>
      <c r="X806">
        <v>1</v>
      </c>
      <c r="Y806">
        <v>2</v>
      </c>
      <c r="Z806">
        <v>6</v>
      </c>
      <c r="AA806">
        <v>0.25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4</v>
      </c>
      <c r="AK806">
        <v>0</v>
      </c>
      <c r="AL806">
        <v>5</v>
      </c>
      <c r="AM806">
        <v>2</v>
      </c>
      <c r="AN806">
        <v>26</v>
      </c>
      <c r="AO806">
        <v>4</v>
      </c>
      <c r="AP806">
        <v>31</v>
      </c>
      <c r="AQ806">
        <v>4</v>
      </c>
      <c r="AR806" t="s">
        <v>2571</v>
      </c>
      <c r="AS806" t="s">
        <v>2572</v>
      </c>
      <c r="AT806">
        <v>0.13800000000000001</v>
      </c>
      <c r="AU806" t="s">
        <v>65</v>
      </c>
      <c r="AV806">
        <v>57</v>
      </c>
      <c r="AW806">
        <v>8</v>
      </c>
      <c r="AX806" t="s">
        <v>2573</v>
      </c>
      <c r="AY806" t="s">
        <v>2574</v>
      </c>
      <c r="AZ806" t="s">
        <v>2575</v>
      </c>
      <c r="BA806">
        <v>3.4380000000000001E-2</v>
      </c>
      <c r="BB806">
        <v>1</v>
      </c>
      <c r="BC806" t="s">
        <v>69</v>
      </c>
      <c r="BD806">
        <v>0.54400000000000004</v>
      </c>
      <c r="BE806">
        <v>0.315</v>
      </c>
    </row>
    <row r="807" spans="1:57">
      <c r="A807">
        <v>0</v>
      </c>
      <c r="B807">
        <v>0</v>
      </c>
      <c r="C807">
        <v>2</v>
      </c>
      <c r="D807">
        <v>1718</v>
      </c>
      <c r="E807" t="s">
        <v>2576</v>
      </c>
      <c r="F807" t="s">
        <v>5762</v>
      </c>
      <c r="G807" t="s">
        <v>57</v>
      </c>
      <c r="H807">
        <v>1724029</v>
      </c>
      <c r="I807">
        <v>1725294</v>
      </c>
      <c r="J807" t="s">
        <v>2577</v>
      </c>
      <c r="K807">
        <v>422</v>
      </c>
      <c r="L807" t="s">
        <v>59</v>
      </c>
      <c r="M807">
        <v>5</v>
      </c>
      <c r="N807" t="str">
        <f>HYPERLINK("Gene1718-zp_tree_all.dnd", "Gene1718-tree")</f>
        <v>Gene1718-tree</v>
      </c>
      <c r="O807">
        <v>2</v>
      </c>
      <c r="P807">
        <v>3</v>
      </c>
      <c r="Q807">
        <v>2</v>
      </c>
      <c r="R807">
        <v>3</v>
      </c>
      <c r="S807">
        <v>0.6</v>
      </c>
      <c r="T807" t="s">
        <v>135</v>
      </c>
      <c r="U807" t="s">
        <v>84</v>
      </c>
      <c r="V807" t="s">
        <v>62</v>
      </c>
      <c r="W807" t="s">
        <v>62</v>
      </c>
      <c r="X807">
        <v>1</v>
      </c>
      <c r="Y807">
        <v>2</v>
      </c>
      <c r="Z807">
        <v>19</v>
      </c>
      <c r="AA807">
        <v>9.5240000000000005E-2</v>
      </c>
      <c r="AB807">
        <v>0</v>
      </c>
      <c r="AC807">
        <v>0</v>
      </c>
      <c r="AD807">
        <v>0</v>
      </c>
      <c r="AE807">
        <v>1</v>
      </c>
      <c r="AF807">
        <v>0</v>
      </c>
      <c r="AG807">
        <v>0</v>
      </c>
      <c r="AH807">
        <v>2</v>
      </c>
      <c r="AI807">
        <v>2</v>
      </c>
      <c r="AJ807">
        <v>17</v>
      </c>
      <c r="AK807">
        <v>0.10526000000000001</v>
      </c>
      <c r="AL807">
        <v>5</v>
      </c>
      <c r="AM807">
        <v>2</v>
      </c>
      <c r="AN807">
        <v>69</v>
      </c>
      <c r="AO807">
        <v>22</v>
      </c>
      <c r="AP807">
        <v>35</v>
      </c>
      <c r="AQ807">
        <v>2</v>
      </c>
      <c r="AR807" t="s">
        <v>2578</v>
      </c>
      <c r="AS807" t="s">
        <v>2579</v>
      </c>
      <c r="AT807">
        <v>0.61599999999999999</v>
      </c>
      <c r="AU807" t="s">
        <v>65</v>
      </c>
      <c r="AV807">
        <v>104</v>
      </c>
      <c r="AW807">
        <v>24</v>
      </c>
      <c r="AX807" t="s">
        <v>2580</v>
      </c>
      <c r="AY807" t="s">
        <v>2581</v>
      </c>
      <c r="AZ807" t="s">
        <v>2582</v>
      </c>
      <c r="BA807">
        <v>5.9299999999999999E-2</v>
      </c>
      <c r="BB807">
        <v>1</v>
      </c>
      <c r="BC807" t="s">
        <v>69</v>
      </c>
      <c r="BD807">
        <v>0</v>
      </c>
      <c r="BE807">
        <v>-0.496</v>
      </c>
    </row>
    <row r="808" spans="1:57">
      <c r="A808">
        <v>0</v>
      </c>
      <c r="B808">
        <v>0</v>
      </c>
      <c r="C808">
        <v>0</v>
      </c>
      <c r="D808">
        <v>1721</v>
      </c>
      <c r="E808" t="s">
        <v>2583</v>
      </c>
      <c r="F808" t="s">
        <v>5762</v>
      </c>
      <c r="G808" t="s">
        <v>57</v>
      </c>
      <c r="H808">
        <v>1731776</v>
      </c>
      <c r="I808">
        <v>1732243</v>
      </c>
      <c r="J808" t="s">
        <v>2584</v>
      </c>
      <c r="K808">
        <v>156</v>
      </c>
      <c r="L808" t="s">
        <v>59</v>
      </c>
      <c r="M808">
        <v>5</v>
      </c>
      <c r="N808" t="str">
        <f>HYPERLINK("Gene1721-zp_tree_all.dnd", "Gene1721-tree")</f>
        <v>Gene1721-tree</v>
      </c>
    </row>
    <row r="809" spans="1:57">
      <c r="A809">
        <v>0</v>
      </c>
      <c r="B809">
        <v>0</v>
      </c>
      <c r="C809">
        <v>0</v>
      </c>
      <c r="D809">
        <v>1723</v>
      </c>
      <c r="E809" t="s">
        <v>2585</v>
      </c>
      <c r="F809" t="s">
        <v>5762</v>
      </c>
      <c r="G809" t="s">
        <v>57</v>
      </c>
      <c r="H809">
        <v>1733410</v>
      </c>
      <c r="I809">
        <v>1733682</v>
      </c>
      <c r="J809" t="s">
        <v>2586</v>
      </c>
      <c r="K809">
        <v>91</v>
      </c>
      <c r="L809" t="s">
        <v>59</v>
      </c>
      <c r="M809">
        <v>5</v>
      </c>
      <c r="N809" t="str">
        <f>HYPERLINK("Gene1723-zp_tree_all.dnd", "Gene1723-tree")</f>
        <v>Gene1723-tree</v>
      </c>
      <c r="O809">
        <v>5</v>
      </c>
      <c r="P809">
        <v>0</v>
      </c>
      <c r="Q809">
        <v>5</v>
      </c>
      <c r="R809">
        <v>0</v>
      </c>
      <c r="S809">
        <v>0</v>
      </c>
      <c r="T809" t="s">
        <v>98</v>
      </c>
      <c r="U809" t="s">
        <v>62</v>
      </c>
      <c r="V809" t="s">
        <v>62</v>
      </c>
      <c r="W809" t="s">
        <v>62</v>
      </c>
      <c r="X809">
        <v>0</v>
      </c>
      <c r="Y809">
        <v>0</v>
      </c>
      <c r="Z809">
        <v>3</v>
      </c>
      <c r="AA809">
        <v>0</v>
      </c>
      <c r="AB809">
        <v>0</v>
      </c>
      <c r="AC809">
        <v>0</v>
      </c>
      <c r="AD809">
        <v>0</v>
      </c>
      <c r="AE809">
        <v>3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2</v>
      </c>
      <c r="AM809">
        <v>2</v>
      </c>
      <c r="AN809">
        <v>2</v>
      </c>
      <c r="AO809">
        <v>0</v>
      </c>
      <c r="AP809">
        <v>3</v>
      </c>
      <c r="AQ809">
        <v>3</v>
      </c>
      <c r="AR809" t="s">
        <v>64</v>
      </c>
      <c r="AS809" t="s">
        <v>2587</v>
      </c>
      <c r="AT809">
        <v>1.2689999999999999</v>
      </c>
      <c r="AU809" t="s">
        <v>65</v>
      </c>
      <c r="AV809">
        <v>5</v>
      </c>
      <c r="AW809">
        <v>3</v>
      </c>
      <c r="AX809" t="s">
        <v>2588</v>
      </c>
      <c r="AY809" t="s">
        <v>2589</v>
      </c>
      <c r="AZ809" t="s">
        <v>2590</v>
      </c>
      <c r="BA809">
        <v>0.18285000000000001</v>
      </c>
      <c r="BB809">
        <v>0.95699999999999996</v>
      </c>
      <c r="BC809" t="s">
        <v>69</v>
      </c>
      <c r="BD809">
        <v>1.028</v>
      </c>
      <c r="BE809">
        <v>1.028</v>
      </c>
    </row>
    <row r="810" spans="1:57">
      <c r="A810">
        <v>0</v>
      </c>
      <c r="B810">
        <v>0</v>
      </c>
      <c r="C810">
        <v>0</v>
      </c>
      <c r="D810">
        <v>1724</v>
      </c>
      <c r="E810" t="s">
        <v>2591</v>
      </c>
      <c r="F810" t="s">
        <v>5762</v>
      </c>
      <c r="G810" t="s">
        <v>57</v>
      </c>
      <c r="H810">
        <v>1733687</v>
      </c>
      <c r="I810">
        <v>1733986</v>
      </c>
      <c r="J810" t="s">
        <v>2592</v>
      </c>
      <c r="K810">
        <v>100</v>
      </c>
      <c r="L810" t="s">
        <v>59</v>
      </c>
      <c r="M810">
        <v>5</v>
      </c>
      <c r="N810" t="str">
        <f>HYPERLINK("Gene1724-zp_tree_all.dnd", "Gene1724-tree")</f>
        <v>Gene1724-tree</v>
      </c>
    </row>
    <row r="811" spans="1:57">
      <c r="A811">
        <v>0</v>
      </c>
      <c r="B811">
        <v>2</v>
      </c>
      <c r="C811">
        <v>0</v>
      </c>
      <c r="D811">
        <v>1725</v>
      </c>
      <c r="E811" t="s">
        <v>2593</v>
      </c>
      <c r="F811" t="s">
        <v>5762</v>
      </c>
      <c r="G811" t="s">
        <v>57</v>
      </c>
      <c r="H811">
        <v>1734009</v>
      </c>
      <c r="I811">
        <v>1736156</v>
      </c>
      <c r="J811" t="s">
        <v>2594</v>
      </c>
      <c r="K811">
        <v>716</v>
      </c>
      <c r="L811" t="s">
        <v>59</v>
      </c>
      <c r="M811">
        <v>5</v>
      </c>
      <c r="N811" t="str">
        <f>HYPERLINK("Gene1725-zp_tree_all.dnd", "Gene1725-tree")</f>
        <v>Gene1725-tree</v>
      </c>
      <c r="O811">
        <v>1</v>
      </c>
      <c r="P811">
        <v>4</v>
      </c>
      <c r="Q811">
        <v>1</v>
      </c>
      <c r="R811">
        <v>4</v>
      </c>
      <c r="S811">
        <v>0.8</v>
      </c>
      <c r="T811" t="s">
        <v>61</v>
      </c>
      <c r="U811" t="s">
        <v>60</v>
      </c>
      <c r="V811" t="s">
        <v>62</v>
      </c>
      <c r="W811" t="s">
        <v>62</v>
      </c>
      <c r="X811">
        <v>1</v>
      </c>
      <c r="Y811">
        <v>2</v>
      </c>
      <c r="Z811">
        <v>6</v>
      </c>
      <c r="AA811">
        <v>0.25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2</v>
      </c>
      <c r="AH811">
        <v>0</v>
      </c>
      <c r="AI811">
        <v>2</v>
      </c>
      <c r="AJ811">
        <v>2</v>
      </c>
      <c r="AK811">
        <v>0.5</v>
      </c>
      <c r="AL811">
        <v>5</v>
      </c>
      <c r="AM811">
        <v>2</v>
      </c>
      <c r="AN811">
        <v>49</v>
      </c>
      <c r="AO811">
        <v>4</v>
      </c>
      <c r="AP811">
        <v>56</v>
      </c>
      <c r="AQ811">
        <v>4</v>
      </c>
      <c r="AR811" t="s">
        <v>2595</v>
      </c>
      <c r="AS811" t="s">
        <v>2596</v>
      </c>
      <c r="AT811">
        <v>0.154</v>
      </c>
      <c r="AU811" t="s">
        <v>65</v>
      </c>
      <c r="AV811">
        <v>105</v>
      </c>
      <c r="AW811">
        <v>8</v>
      </c>
      <c r="AX811" t="s">
        <v>2597</v>
      </c>
      <c r="AY811" t="s">
        <v>2598</v>
      </c>
      <c r="AZ811" t="s">
        <v>2599</v>
      </c>
      <c r="BA811">
        <v>1.9359999999999999E-2</v>
      </c>
      <c r="BB811">
        <v>1</v>
      </c>
      <c r="BC811" t="s">
        <v>69</v>
      </c>
      <c r="BD811">
        <v>0.64200000000000002</v>
      </c>
      <c r="BE811">
        <v>0.56799999999999995</v>
      </c>
    </row>
    <row r="812" spans="1:57">
      <c r="A812">
        <v>0</v>
      </c>
      <c r="B812">
        <v>0</v>
      </c>
      <c r="C812">
        <v>0</v>
      </c>
      <c r="D812">
        <v>1727</v>
      </c>
      <c r="E812" t="s">
        <v>2600</v>
      </c>
      <c r="F812" t="s">
        <v>5762</v>
      </c>
      <c r="G812" t="s">
        <v>57</v>
      </c>
      <c r="H812">
        <v>1736451</v>
      </c>
      <c r="I812">
        <v>1736801</v>
      </c>
      <c r="J812" t="s">
        <v>2601</v>
      </c>
      <c r="K812">
        <v>117</v>
      </c>
      <c r="L812" t="s">
        <v>59</v>
      </c>
      <c r="M812">
        <v>5</v>
      </c>
      <c r="N812" t="str">
        <f>HYPERLINK("Gene1727-zp_tree_all.dnd", "Gene1727-tree")</f>
        <v>Gene1727-tree</v>
      </c>
      <c r="O812">
        <v>4</v>
      </c>
      <c r="P812">
        <v>1</v>
      </c>
      <c r="Q812">
        <v>3</v>
      </c>
      <c r="R812">
        <v>1</v>
      </c>
      <c r="S812">
        <v>0.25</v>
      </c>
      <c r="T812" t="s">
        <v>119</v>
      </c>
      <c r="U812" t="s">
        <v>61</v>
      </c>
      <c r="V812" t="s">
        <v>62</v>
      </c>
      <c r="W812" t="s">
        <v>62</v>
      </c>
      <c r="X812">
        <v>0</v>
      </c>
      <c r="Y812">
        <v>0</v>
      </c>
      <c r="Z812">
        <v>2</v>
      </c>
      <c r="AA812">
        <v>0</v>
      </c>
      <c r="AB812">
        <v>0</v>
      </c>
      <c r="AC812">
        <v>0</v>
      </c>
      <c r="AD812">
        <v>0</v>
      </c>
      <c r="AE812">
        <v>1</v>
      </c>
      <c r="AF812">
        <v>0</v>
      </c>
      <c r="AG812">
        <v>0</v>
      </c>
      <c r="AH812">
        <v>0</v>
      </c>
      <c r="AI812">
        <v>0</v>
      </c>
      <c r="AJ812">
        <v>1</v>
      </c>
      <c r="AK812">
        <v>0</v>
      </c>
      <c r="AL812">
        <v>3</v>
      </c>
      <c r="AM812">
        <v>1</v>
      </c>
      <c r="AN812">
        <v>8</v>
      </c>
      <c r="AO812">
        <v>1</v>
      </c>
      <c r="AP812">
        <v>3</v>
      </c>
      <c r="AQ812">
        <v>1</v>
      </c>
      <c r="AR812" t="s">
        <v>2602</v>
      </c>
      <c r="AS812" t="s">
        <v>2603</v>
      </c>
      <c r="AT812">
        <v>1.302</v>
      </c>
      <c r="AU812" t="s">
        <v>65</v>
      </c>
      <c r="AV812">
        <v>11</v>
      </c>
      <c r="AW812">
        <v>2</v>
      </c>
      <c r="AX812" t="s">
        <v>2604</v>
      </c>
      <c r="AY812" t="s">
        <v>2605</v>
      </c>
      <c r="AZ812" t="s">
        <v>2606</v>
      </c>
      <c r="BA812">
        <v>5.4010000000000002E-2</v>
      </c>
      <c r="BB812">
        <v>1</v>
      </c>
      <c r="BC812" t="s">
        <v>69</v>
      </c>
      <c r="BD812">
        <v>-4.7E-2</v>
      </c>
      <c r="BE812">
        <v>-4.7E-2</v>
      </c>
    </row>
    <row r="813" spans="1:57">
      <c r="A813">
        <v>0</v>
      </c>
      <c r="B813">
        <v>0</v>
      </c>
      <c r="C813">
        <v>0</v>
      </c>
      <c r="D813">
        <v>1730</v>
      </c>
      <c r="E813" t="s">
        <v>2607</v>
      </c>
      <c r="F813" t="s">
        <v>5762</v>
      </c>
      <c r="G813" t="s">
        <v>57</v>
      </c>
      <c r="H813">
        <v>1738941</v>
      </c>
      <c r="I813">
        <v>1739207</v>
      </c>
      <c r="J813" t="s">
        <v>2608</v>
      </c>
      <c r="K813">
        <v>89</v>
      </c>
      <c r="L813" t="s">
        <v>59</v>
      </c>
      <c r="M813">
        <v>5</v>
      </c>
      <c r="N813" t="str">
        <f>HYPERLINK("Gene1730-zp_tree_all.dnd", "Gene1730-tree")</f>
        <v>Gene1730-tree</v>
      </c>
    </row>
    <row r="814" spans="1:57">
      <c r="A814">
        <v>0</v>
      </c>
      <c r="B814">
        <v>0</v>
      </c>
      <c r="C814">
        <v>0</v>
      </c>
      <c r="D814">
        <v>1731</v>
      </c>
      <c r="E814" t="s">
        <v>2609</v>
      </c>
      <c r="F814" t="s">
        <v>5762</v>
      </c>
      <c r="G814" t="s">
        <v>57</v>
      </c>
      <c r="H814">
        <v>1739383</v>
      </c>
      <c r="I814">
        <v>1741497</v>
      </c>
      <c r="J814" t="s">
        <v>2610</v>
      </c>
      <c r="K814">
        <v>705</v>
      </c>
      <c r="L814" t="s">
        <v>83</v>
      </c>
      <c r="M814">
        <v>4</v>
      </c>
      <c r="N814" t="str">
        <f>HYPERLINK("Gene1731-zp_tree_all.dnd", "Gene1731-tree")</f>
        <v>Gene1731-tree</v>
      </c>
      <c r="O814">
        <v>2</v>
      </c>
      <c r="P814">
        <v>2</v>
      </c>
      <c r="Q814">
        <v>2</v>
      </c>
      <c r="R814">
        <v>2</v>
      </c>
      <c r="S814">
        <v>0.5</v>
      </c>
      <c r="T814" t="s">
        <v>135</v>
      </c>
      <c r="U814" t="s">
        <v>135</v>
      </c>
      <c r="V814" t="s">
        <v>62</v>
      </c>
      <c r="W814" t="s">
        <v>62</v>
      </c>
      <c r="X814">
        <v>0</v>
      </c>
      <c r="Y814">
        <v>0</v>
      </c>
      <c r="Z814">
        <v>12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12</v>
      </c>
      <c r="AK814">
        <v>0</v>
      </c>
      <c r="AL814">
        <v>4</v>
      </c>
      <c r="AM814">
        <v>1</v>
      </c>
      <c r="AN814">
        <v>98</v>
      </c>
      <c r="AO814">
        <v>13</v>
      </c>
      <c r="AP814">
        <v>4</v>
      </c>
      <c r="AQ814">
        <v>0</v>
      </c>
      <c r="AR814" t="s">
        <v>2611</v>
      </c>
      <c r="AS814" t="s">
        <v>64</v>
      </c>
      <c r="AT814">
        <v>0.48499999999999999</v>
      </c>
      <c r="AU814" t="s">
        <v>65</v>
      </c>
      <c r="AV814">
        <v>102</v>
      </c>
      <c r="AW814">
        <v>13</v>
      </c>
      <c r="AX814" t="s">
        <v>2612</v>
      </c>
      <c r="AY814" t="s">
        <v>2613</v>
      </c>
      <c r="AZ814" t="s">
        <v>2614</v>
      </c>
      <c r="BA814">
        <v>3.449E-2</v>
      </c>
      <c r="BB814">
        <v>1</v>
      </c>
      <c r="BC814" t="s">
        <v>69</v>
      </c>
      <c r="BD814">
        <v>-0.54900000000000004</v>
      </c>
      <c r="BE814">
        <v>-0.81399999999999995</v>
      </c>
    </row>
    <row r="815" spans="1:57">
      <c r="A815">
        <v>0</v>
      </c>
      <c r="B815">
        <v>0</v>
      </c>
      <c r="C815">
        <v>0</v>
      </c>
      <c r="D815">
        <v>1733</v>
      </c>
      <c r="E815" t="s">
        <v>2615</v>
      </c>
      <c r="F815" t="s">
        <v>5762</v>
      </c>
      <c r="G815" t="s">
        <v>57</v>
      </c>
      <c r="H815">
        <v>1742617</v>
      </c>
      <c r="I815">
        <v>1743843</v>
      </c>
      <c r="J815" t="s">
        <v>2616</v>
      </c>
      <c r="K815">
        <v>409</v>
      </c>
      <c r="L815" t="s">
        <v>112</v>
      </c>
      <c r="M815">
        <v>4</v>
      </c>
      <c r="N815" t="str">
        <f>HYPERLINK("Gene1733-zp_tree_all.dnd", "Gene1733-tree")</f>
        <v>Gene1733-tree</v>
      </c>
      <c r="O815">
        <v>3</v>
      </c>
      <c r="P815">
        <v>1</v>
      </c>
      <c r="Q815">
        <v>3</v>
      </c>
      <c r="R815">
        <v>1</v>
      </c>
      <c r="S815">
        <v>0.25</v>
      </c>
      <c r="T815" t="s">
        <v>84</v>
      </c>
      <c r="U815" t="s">
        <v>61</v>
      </c>
      <c r="V815" t="s">
        <v>62</v>
      </c>
      <c r="W815" t="s">
        <v>62</v>
      </c>
      <c r="X815">
        <v>0</v>
      </c>
      <c r="Y815">
        <v>0</v>
      </c>
      <c r="Z815">
        <v>5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5</v>
      </c>
      <c r="AK815">
        <v>0</v>
      </c>
      <c r="AL815">
        <v>4</v>
      </c>
      <c r="AM815">
        <v>0</v>
      </c>
      <c r="AN815">
        <v>60</v>
      </c>
      <c r="AO815">
        <v>6</v>
      </c>
      <c r="AP815">
        <v>0</v>
      </c>
      <c r="AQ815">
        <v>0</v>
      </c>
      <c r="AR815" t="s">
        <v>2617</v>
      </c>
      <c r="AS815" t="s">
        <v>64</v>
      </c>
      <c r="AT815">
        <v>0.45900000000000002</v>
      </c>
      <c r="AU815" t="s">
        <v>65</v>
      </c>
      <c r="AV815">
        <v>60</v>
      </c>
      <c r="AW815">
        <v>6</v>
      </c>
      <c r="AX815" t="s">
        <v>2618</v>
      </c>
      <c r="AY815" t="s">
        <v>2619</v>
      </c>
      <c r="AZ815" t="s">
        <v>2620</v>
      </c>
      <c r="BA815">
        <v>2.6339999999999999E-2</v>
      </c>
      <c r="BB815">
        <v>1</v>
      </c>
      <c r="BC815" t="s">
        <v>69</v>
      </c>
      <c r="BD815">
        <v>-0.56599999999999995</v>
      </c>
      <c r="BE815">
        <v>-1.0209999999999999</v>
      </c>
    </row>
    <row r="816" spans="1:57">
      <c r="A816">
        <v>0</v>
      </c>
      <c r="B816">
        <v>0</v>
      </c>
      <c r="C816">
        <v>2</v>
      </c>
      <c r="D816">
        <v>1735</v>
      </c>
      <c r="E816" t="s">
        <v>2621</v>
      </c>
      <c r="F816" t="s">
        <v>5762</v>
      </c>
      <c r="G816" t="s">
        <v>57</v>
      </c>
      <c r="H816">
        <v>1744367</v>
      </c>
      <c r="I816">
        <v>1745257</v>
      </c>
      <c r="J816" t="s">
        <v>2622</v>
      </c>
      <c r="K816">
        <v>297</v>
      </c>
      <c r="L816" t="s">
        <v>59</v>
      </c>
      <c r="M816">
        <v>5</v>
      </c>
      <c r="N816" t="str">
        <f>HYPERLINK("Gene1735-zp_tree_all.dnd", "Gene1735-tree")</f>
        <v>Gene1735-tree</v>
      </c>
      <c r="O816">
        <v>2</v>
      </c>
      <c r="P816">
        <v>3</v>
      </c>
      <c r="Q816">
        <v>2</v>
      </c>
      <c r="R816">
        <v>3</v>
      </c>
      <c r="S816">
        <v>0.6</v>
      </c>
      <c r="T816" t="s">
        <v>135</v>
      </c>
      <c r="U816" t="s">
        <v>84</v>
      </c>
      <c r="V816" t="s">
        <v>62</v>
      </c>
      <c r="W816" t="s">
        <v>62</v>
      </c>
      <c r="X816">
        <v>1</v>
      </c>
      <c r="Y816">
        <v>2</v>
      </c>
      <c r="Z816">
        <v>5</v>
      </c>
      <c r="AA816">
        <v>0.28571000000000002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4</v>
      </c>
      <c r="AK816">
        <v>0</v>
      </c>
      <c r="AL816">
        <v>5</v>
      </c>
      <c r="AM816">
        <v>2</v>
      </c>
      <c r="AN816">
        <v>12</v>
      </c>
      <c r="AO816">
        <v>4</v>
      </c>
      <c r="AP816">
        <v>28</v>
      </c>
      <c r="AQ816">
        <v>3</v>
      </c>
      <c r="AR816" t="s">
        <v>2623</v>
      </c>
      <c r="AS816" t="s">
        <v>2624</v>
      </c>
      <c r="AT816">
        <v>1.0309999999999999</v>
      </c>
      <c r="AU816" t="s">
        <v>65</v>
      </c>
      <c r="AV816">
        <v>40</v>
      </c>
      <c r="AW816">
        <v>7</v>
      </c>
      <c r="AX816" t="s">
        <v>2625</v>
      </c>
      <c r="AY816" t="s">
        <v>2626</v>
      </c>
      <c r="AZ816" t="s">
        <v>2627</v>
      </c>
      <c r="BA816">
        <v>4.1169999999999998E-2</v>
      </c>
      <c r="BB816">
        <v>1</v>
      </c>
      <c r="BC816" t="s">
        <v>69</v>
      </c>
      <c r="BD816">
        <v>1.012</v>
      </c>
      <c r="BE816">
        <v>0.69799999999999995</v>
      </c>
    </row>
    <row r="817" spans="1:57">
      <c r="A817">
        <v>0</v>
      </c>
      <c r="B817">
        <v>0</v>
      </c>
      <c r="C817">
        <v>0</v>
      </c>
      <c r="D817">
        <v>1737</v>
      </c>
      <c r="E817" t="s">
        <v>2628</v>
      </c>
      <c r="F817" t="s">
        <v>5762</v>
      </c>
      <c r="G817" t="s">
        <v>57</v>
      </c>
      <c r="H817">
        <v>1745991</v>
      </c>
      <c r="I817">
        <v>1747028</v>
      </c>
      <c r="J817" t="s">
        <v>2629</v>
      </c>
      <c r="K817">
        <v>346</v>
      </c>
      <c r="L817" t="s">
        <v>59</v>
      </c>
      <c r="M817">
        <v>5</v>
      </c>
      <c r="N817" t="str">
        <f>HYPERLINK("Gene1737-zp_tree_all.dnd", "Gene1737-tree")</f>
        <v>Gene1737-tree</v>
      </c>
      <c r="O817">
        <v>3</v>
      </c>
      <c r="P817">
        <v>2</v>
      </c>
      <c r="Q817">
        <v>3</v>
      </c>
      <c r="R817">
        <v>2</v>
      </c>
      <c r="S817">
        <v>0.4</v>
      </c>
      <c r="T817" t="s">
        <v>84</v>
      </c>
      <c r="U817" t="s">
        <v>135</v>
      </c>
      <c r="V817" t="s">
        <v>62</v>
      </c>
      <c r="W817" t="s">
        <v>62</v>
      </c>
      <c r="X817">
        <v>0</v>
      </c>
      <c r="Y817">
        <v>0</v>
      </c>
      <c r="Z817">
        <v>8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4</v>
      </c>
      <c r="AK817">
        <v>0</v>
      </c>
      <c r="AL817">
        <v>5</v>
      </c>
      <c r="AM817">
        <v>2</v>
      </c>
      <c r="AN817">
        <v>16</v>
      </c>
      <c r="AO817">
        <v>4</v>
      </c>
      <c r="AP817">
        <v>23</v>
      </c>
      <c r="AQ817">
        <v>4</v>
      </c>
      <c r="AR817" t="s">
        <v>2630</v>
      </c>
      <c r="AS817" t="s">
        <v>2631</v>
      </c>
      <c r="AT817">
        <v>0.27700000000000002</v>
      </c>
      <c r="AU817" t="s">
        <v>65</v>
      </c>
      <c r="AV817">
        <v>39</v>
      </c>
      <c r="AW817">
        <v>8</v>
      </c>
      <c r="AX817" t="s">
        <v>2632</v>
      </c>
      <c r="AY817" t="s">
        <v>2633</v>
      </c>
      <c r="AZ817" t="s">
        <v>2634</v>
      </c>
      <c r="BA817">
        <v>5.5169999999999997E-2</v>
      </c>
      <c r="BB817">
        <v>1</v>
      </c>
      <c r="BC817" t="s">
        <v>69</v>
      </c>
      <c r="BD817">
        <v>0.69799999999999995</v>
      </c>
      <c r="BE817">
        <v>0.69799999999999995</v>
      </c>
    </row>
    <row r="818" spans="1:57">
      <c r="A818">
        <v>0</v>
      </c>
      <c r="B818">
        <v>0</v>
      </c>
      <c r="C818">
        <v>0</v>
      </c>
      <c r="D818">
        <v>1739</v>
      </c>
      <c r="E818" t="s">
        <v>2635</v>
      </c>
      <c r="F818" t="s">
        <v>5762</v>
      </c>
      <c r="G818" t="s">
        <v>57</v>
      </c>
      <c r="H818">
        <v>1748368</v>
      </c>
      <c r="I818">
        <v>1749237</v>
      </c>
      <c r="J818" t="s">
        <v>2636</v>
      </c>
      <c r="K818">
        <v>290</v>
      </c>
      <c r="L818" t="s">
        <v>83</v>
      </c>
      <c r="M818">
        <v>4</v>
      </c>
      <c r="N818" t="str">
        <f>HYPERLINK("Gene1739-zp_tree_all.dnd", "Gene1739-tree")</f>
        <v>Gene1739-tree</v>
      </c>
      <c r="O818">
        <v>2</v>
      </c>
      <c r="P818">
        <v>2</v>
      </c>
      <c r="Q818">
        <v>2</v>
      </c>
      <c r="R818">
        <v>2</v>
      </c>
      <c r="S818">
        <v>0.5</v>
      </c>
      <c r="T818" t="s">
        <v>135</v>
      </c>
      <c r="U818" t="s">
        <v>135</v>
      </c>
      <c r="V818" t="s">
        <v>62</v>
      </c>
      <c r="W818" t="s">
        <v>62</v>
      </c>
      <c r="X818">
        <v>0</v>
      </c>
      <c r="Y818">
        <v>0</v>
      </c>
      <c r="Z818">
        <v>3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3</v>
      </c>
      <c r="AK818">
        <v>0</v>
      </c>
      <c r="AL818">
        <v>3</v>
      </c>
      <c r="AM818">
        <v>1</v>
      </c>
      <c r="AN818">
        <v>41</v>
      </c>
      <c r="AO818">
        <v>3</v>
      </c>
      <c r="AP818">
        <v>4</v>
      </c>
      <c r="AQ818">
        <v>0</v>
      </c>
      <c r="AR818" t="s">
        <v>2637</v>
      </c>
      <c r="AS818" t="s">
        <v>64</v>
      </c>
      <c r="AT818">
        <v>1.198</v>
      </c>
      <c r="AU818" t="s">
        <v>65</v>
      </c>
      <c r="AV818">
        <v>45</v>
      </c>
      <c r="AW818">
        <v>3</v>
      </c>
      <c r="AX818" t="s">
        <v>2638</v>
      </c>
      <c r="AY818" t="s">
        <v>2639</v>
      </c>
      <c r="AZ818" t="s">
        <v>2640</v>
      </c>
      <c r="BA818">
        <v>1.9650000000000001E-2</v>
      </c>
      <c r="BB818">
        <v>1</v>
      </c>
      <c r="BC818" t="s">
        <v>69</v>
      </c>
      <c r="BD818">
        <v>-0.46100000000000002</v>
      </c>
      <c r="BE818">
        <v>-0.66400000000000003</v>
      </c>
    </row>
    <row r="819" spans="1:57">
      <c r="A819">
        <v>0</v>
      </c>
      <c r="B819">
        <v>0</v>
      </c>
      <c r="C819">
        <v>2</v>
      </c>
      <c r="D819">
        <v>1740</v>
      </c>
      <c r="E819" t="s">
        <v>2641</v>
      </c>
      <c r="F819" t="s">
        <v>5762</v>
      </c>
      <c r="G819" t="s">
        <v>57</v>
      </c>
      <c r="H819">
        <v>1749418</v>
      </c>
      <c r="I819">
        <v>1751082</v>
      </c>
      <c r="J819" t="s">
        <v>2642</v>
      </c>
      <c r="K819">
        <v>555</v>
      </c>
      <c r="L819" t="s">
        <v>59</v>
      </c>
      <c r="M819">
        <v>5</v>
      </c>
      <c r="N819" t="str">
        <f>HYPERLINK("Gene1740-zp_tree_all.dnd", "Gene1740-tree")</f>
        <v>Gene1740-tree</v>
      </c>
      <c r="O819">
        <v>3</v>
      </c>
      <c r="P819">
        <v>2</v>
      </c>
      <c r="Q819">
        <v>3</v>
      </c>
      <c r="R819">
        <v>2</v>
      </c>
      <c r="S819">
        <v>0.4</v>
      </c>
      <c r="T819" t="s">
        <v>84</v>
      </c>
      <c r="U819" t="s">
        <v>135</v>
      </c>
      <c r="V819" t="s">
        <v>62</v>
      </c>
      <c r="W819" t="s">
        <v>62</v>
      </c>
      <c r="X819">
        <v>1</v>
      </c>
      <c r="Y819">
        <v>2</v>
      </c>
      <c r="Z819">
        <v>4</v>
      </c>
      <c r="AA819">
        <v>0.33333000000000002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2</v>
      </c>
      <c r="AK819">
        <v>0</v>
      </c>
      <c r="AL819">
        <v>5</v>
      </c>
      <c r="AM819">
        <v>2</v>
      </c>
      <c r="AN819">
        <v>36</v>
      </c>
      <c r="AO819">
        <v>2</v>
      </c>
      <c r="AP819">
        <v>59</v>
      </c>
      <c r="AQ819">
        <v>5</v>
      </c>
      <c r="AR819" t="s">
        <v>2643</v>
      </c>
      <c r="AS819" t="s">
        <v>2644</v>
      </c>
      <c r="AT819">
        <v>0.32400000000000001</v>
      </c>
      <c r="AU819" t="s">
        <v>65</v>
      </c>
      <c r="AV819">
        <v>95</v>
      </c>
      <c r="AW819">
        <v>7</v>
      </c>
      <c r="AX819" t="s">
        <v>2645</v>
      </c>
      <c r="AY819" t="s">
        <v>2646</v>
      </c>
      <c r="AZ819" t="s">
        <v>2647</v>
      </c>
      <c r="BA819">
        <v>2.12E-2</v>
      </c>
      <c r="BB819">
        <v>1</v>
      </c>
      <c r="BC819" t="s">
        <v>69</v>
      </c>
      <c r="BD819">
        <v>0.77600000000000002</v>
      </c>
      <c r="BE819">
        <v>0.69699999999999995</v>
      </c>
    </row>
    <row r="820" spans="1:57">
      <c r="A820">
        <v>0</v>
      </c>
      <c r="B820">
        <v>0</v>
      </c>
      <c r="C820">
        <v>0</v>
      </c>
      <c r="D820">
        <v>1744</v>
      </c>
      <c r="E820" t="s">
        <v>2648</v>
      </c>
      <c r="F820" t="s">
        <v>5762</v>
      </c>
      <c r="G820" t="s">
        <v>57</v>
      </c>
      <c r="H820">
        <v>1754785</v>
      </c>
      <c r="I820">
        <v>1755507</v>
      </c>
      <c r="J820" t="s">
        <v>2649</v>
      </c>
      <c r="K820">
        <v>241</v>
      </c>
      <c r="L820" t="s">
        <v>112</v>
      </c>
      <c r="M820">
        <v>4</v>
      </c>
      <c r="N820" t="str">
        <f>HYPERLINK("Gene1744-zp_tree_all.dnd", "Gene1744-tree")</f>
        <v>Gene1744-tree</v>
      </c>
      <c r="O820">
        <v>3</v>
      </c>
      <c r="P820">
        <v>1</v>
      </c>
      <c r="Q820">
        <v>3</v>
      </c>
      <c r="R820">
        <v>1</v>
      </c>
      <c r="S820">
        <v>0.25</v>
      </c>
      <c r="T820" t="s">
        <v>84</v>
      </c>
      <c r="U820" t="s">
        <v>61</v>
      </c>
      <c r="V820" t="s">
        <v>62</v>
      </c>
      <c r="W820" t="s">
        <v>62</v>
      </c>
      <c r="X820">
        <v>0</v>
      </c>
      <c r="Y820">
        <v>0</v>
      </c>
      <c r="Z820">
        <v>5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5</v>
      </c>
      <c r="AK820">
        <v>0</v>
      </c>
      <c r="AL820">
        <v>4</v>
      </c>
      <c r="AM820">
        <v>1</v>
      </c>
      <c r="AN820">
        <v>33</v>
      </c>
      <c r="AO820">
        <v>5</v>
      </c>
      <c r="AP820">
        <v>2</v>
      </c>
      <c r="AQ820">
        <v>0</v>
      </c>
      <c r="AR820" t="s">
        <v>2650</v>
      </c>
      <c r="AS820" t="s">
        <v>64</v>
      </c>
      <c r="AT820">
        <v>0.44700000000000001</v>
      </c>
      <c r="AU820" t="s">
        <v>65</v>
      </c>
      <c r="AV820">
        <v>35</v>
      </c>
      <c r="AW820">
        <v>5</v>
      </c>
      <c r="AX820" t="s">
        <v>2651</v>
      </c>
      <c r="AY820" t="s">
        <v>2652</v>
      </c>
      <c r="AZ820" t="s">
        <v>2653</v>
      </c>
      <c r="BA820">
        <v>3.6200000000000003E-2</v>
      </c>
      <c r="BB820">
        <v>1</v>
      </c>
      <c r="BC820" t="s">
        <v>69</v>
      </c>
      <c r="BD820">
        <v>-0.70699999999999996</v>
      </c>
      <c r="BE820">
        <v>-0.70699999999999996</v>
      </c>
    </row>
    <row r="821" spans="1:57">
      <c r="A821">
        <v>0</v>
      </c>
      <c r="B821">
        <v>0</v>
      </c>
      <c r="C821">
        <v>0</v>
      </c>
      <c r="D821">
        <v>1747</v>
      </c>
      <c r="E821" t="s">
        <v>2654</v>
      </c>
      <c r="F821" t="s">
        <v>5762</v>
      </c>
      <c r="G821" t="s">
        <v>57</v>
      </c>
      <c r="H821">
        <v>1758314</v>
      </c>
      <c r="I821">
        <v>1759597</v>
      </c>
      <c r="J821" t="s">
        <v>2655</v>
      </c>
      <c r="K821">
        <v>428</v>
      </c>
      <c r="L821" t="s">
        <v>83</v>
      </c>
      <c r="M821">
        <v>4</v>
      </c>
      <c r="N821" t="str">
        <f>HYPERLINK("Gene1747-zp_tree_all.dnd", "Gene1747-tree")</f>
        <v>Gene1747-tree</v>
      </c>
      <c r="O821">
        <v>2</v>
      </c>
      <c r="P821">
        <v>2</v>
      </c>
      <c r="Q821">
        <v>2</v>
      </c>
      <c r="R821">
        <v>2</v>
      </c>
      <c r="S821">
        <v>0.5</v>
      </c>
      <c r="T821" t="s">
        <v>135</v>
      </c>
      <c r="U821" t="s">
        <v>135</v>
      </c>
      <c r="V821" t="s">
        <v>62</v>
      </c>
      <c r="W821" t="s">
        <v>62</v>
      </c>
      <c r="X821">
        <v>0</v>
      </c>
      <c r="Y821">
        <v>0</v>
      </c>
      <c r="Z821">
        <v>7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7</v>
      </c>
      <c r="AK821">
        <v>0</v>
      </c>
      <c r="AL821">
        <v>4</v>
      </c>
      <c r="AM821">
        <v>1</v>
      </c>
      <c r="AN821">
        <v>65</v>
      </c>
      <c r="AO821">
        <v>7</v>
      </c>
      <c r="AP821">
        <v>9</v>
      </c>
      <c r="AQ821">
        <v>0</v>
      </c>
      <c r="AR821" t="s">
        <v>2656</v>
      </c>
      <c r="AS821" t="s">
        <v>64</v>
      </c>
      <c r="AT821">
        <v>0.59799999999999998</v>
      </c>
      <c r="AU821" t="s">
        <v>65</v>
      </c>
      <c r="AV821">
        <v>74</v>
      </c>
      <c r="AW821">
        <v>7</v>
      </c>
      <c r="AX821" t="s">
        <v>2657</v>
      </c>
      <c r="AY821" t="s">
        <v>2658</v>
      </c>
      <c r="AZ821" t="s">
        <v>2659</v>
      </c>
      <c r="BA821">
        <v>2.2939999999999999E-2</v>
      </c>
      <c r="BB821">
        <v>1</v>
      </c>
      <c r="BC821" t="s">
        <v>69</v>
      </c>
      <c r="BD821">
        <v>-0.379</v>
      </c>
      <c r="BE821">
        <v>-0.625</v>
      </c>
    </row>
    <row r="822" spans="1:57">
      <c r="A822">
        <v>0</v>
      </c>
      <c r="B822">
        <v>0</v>
      </c>
      <c r="C822">
        <v>0</v>
      </c>
      <c r="D822">
        <v>1749</v>
      </c>
      <c r="E822" t="s">
        <v>2660</v>
      </c>
      <c r="F822" t="s">
        <v>5762</v>
      </c>
      <c r="G822" t="s">
        <v>57</v>
      </c>
      <c r="H822">
        <v>1760464</v>
      </c>
      <c r="I822">
        <v>1760718</v>
      </c>
      <c r="J822" t="s">
        <v>2097</v>
      </c>
      <c r="K822">
        <v>85</v>
      </c>
      <c r="L822" t="s">
        <v>59</v>
      </c>
      <c r="M822">
        <v>5</v>
      </c>
      <c r="N822" t="str">
        <f>HYPERLINK("Gene1749-zp_tree_all.dnd", "Gene1749-tree")</f>
        <v>Gene1749-tree</v>
      </c>
      <c r="O822">
        <v>4</v>
      </c>
      <c r="P822">
        <v>0</v>
      </c>
      <c r="Q822">
        <v>4</v>
      </c>
      <c r="R822">
        <v>0</v>
      </c>
      <c r="S822">
        <v>0</v>
      </c>
      <c r="T822" t="s">
        <v>60</v>
      </c>
      <c r="U822" t="s">
        <v>62</v>
      </c>
      <c r="V822" t="s">
        <v>62</v>
      </c>
      <c r="W822" t="s">
        <v>62</v>
      </c>
      <c r="X822">
        <v>0</v>
      </c>
      <c r="Y822">
        <v>0</v>
      </c>
      <c r="Z822">
        <v>1</v>
      </c>
      <c r="AA822">
        <v>0</v>
      </c>
      <c r="AB822">
        <v>0</v>
      </c>
      <c r="AC822">
        <v>0</v>
      </c>
      <c r="AD822">
        <v>0</v>
      </c>
      <c r="AE822">
        <v>1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2</v>
      </c>
      <c r="AM822">
        <v>1</v>
      </c>
      <c r="AN822">
        <v>3</v>
      </c>
      <c r="AO822">
        <v>0</v>
      </c>
      <c r="AP822">
        <v>2</v>
      </c>
      <c r="AQ822">
        <v>1</v>
      </c>
      <c r="AR822" t="s">
        <v>64</v>
      </c>
      <c r="AS822" t="s">
        <v>2661</v>
      </c>
      <c r="AT822">
        <v>0</v>
      </c>
      <c r="AU822" t="s">
        <v>65</v>
      </c>
      <c r="AV822">
        <v>5</v>
      </c>
      <c r="AW822">
        <v>1</v>
      </c>
      <c r="AX822" t="s">
        <v>2662</v>
      </c>
      <c r="AY822" t="s">
        <v>2663</v>
      </c>
      <c r="AZ822" t="s">
        <v>2664</v>
      </c>
      <c r="BA822">
        <v>5.4370000000000002E-2</v>
      </c>
      <c r="BB822">
        <v>1</v>
      </c>
      <c r="BC822" t="s">
        <v>69</v>
      </c>
      <c r="BD822">
        <v>0.28599999999999998</v>
      </c>
      <c r="BE822">
        <v>0.28599999999999998</v>
      </c>
    </row>
    <row r="823" spans="1:57">
      <c r="A823">
        <v>0</v>
      </c>
      <c r="B823">
        <v>0</v>
      </c>
      <c r="C823">
        <v>0</v>
      </c>
      <c r="D823">
        <v>1755</v>
      </c>
      <c r="E823" t="s">
        <v>2665</v>
      </c>
      <c r="F823" t="s">
        <v>5762</v>
      </c>
      <c r="G823" t="s">
        <v>57</v>
      </c>
      <c r="H823">
        <v>1764645</v>
      </c>
      <c r="I823">
        <v>1765688</v>
      </c>
      <c r="J823" t="s">
        <v>2666</v>
      </c>
      <c r="K823">
        <v>348</v>
      </c>
      <c r="L823" t="s">
        <v>59</v>
      </c>
      <c r="M823">
        <v>5</v>
      </c>
      <c r="N823" t="str">
        <f>HYPERLINK("Gene1755-zp_tree_all.dnd", "Gene1755-tree")</f>
        <v>Gene1755-tree</v>
      </c>
      <c r="O823">
        <v>3</v>
      </c>
      <c r="P823">
        <v>2</v>
      </c>
      <c r="Q823">
        <v>3</v>
      </c>
      <c r="R823">
        <v>2</v>
      </c>
      <c r="S823">
        <v>0.4</v>
      </c>
      <c r="T823" t="s">
        <v>84</v>
      </c>
      <c r="U823" t="s">
        <v>135</v>
      </c>
      <c r="V823" t="s">
        <v>62</v>
      </c>
      <c r="W823" t="s">
        <v>62</v>
      </c>
      <c r="X823">
        <v>0</v>
      </c>
      <c r="Y823">
        <v>0</v>
      </c>
      <c r="Z823">
        <v>5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2</v>
      </c>
      <c r="AK823">
        <v>0</v>
      </c>
      <c r="AL823">
        <v>5</v>
      </c>
      <c r="AM823">
        <v>2</v>
      </c>
      <c r="AN823">
        <v>27</v>
      </c>
      <c r="AO823">
        <v>2</v>
      </c>
      <c r="AP823">
        <v>20</v>
      </c>
      <c r="AQ823">
        <v>3</v>
      </c>
      <c r="AR823" t="s">
        <v>2667</v>
      </c>
      <c r="AS823" t="s">
        <v>2668</v>
      </c>
      <c r="AT823">
        <v>0.36399999999999999</v>
      </c>
      <c r="AU823" t="s">
        <v>65</v>
      </c>
      <c r="AV823">
        <v>47</v>
      </c>
      <c r="AW823">
        <v>5</v>
      </c>
      <c r="AX823" t="s">
        <v>2669</v>
      </c>
      <c r="AY823" t="s">
        <v>2670</v>
      </c>
      <c r="AZ823" t="s">
        <v>2671</v>
      </c>
      <c r="BA823">
        <v>3.2899999999999999E-2</v>
      </c>
      <c r="BB823">
        <v>1</v>
      </c>
      <c r="BC823" t="s">
        <v>69</v>
      </c>
      <c r="BD823">
        <v>0.22</v>
      </c>
      <c r="BE823">
        <v>6.3E-2</v>
      </c>
    </row>
    <row r="824" spans="1:57">
      <c r="A824">
        <v>0</v>
      </c>
      <c r="B824">
        <v>0</v>
      </c>
      <c r="C824">
        <v>0</v>
      </c>
      <c r="D824">
        <v>1757</v>
      </c>
      <c r="E824" t="s">
        <v>2672</v>
      </c>
      <c r="F824" t="s">
        <v>5762</v>
      </c>
      <c r="G824" t="s">
        <v>57</v>
      </c>
      <c r="H824">
        <v>1767310</v>
      </c>
      <c r="I824">
        <v>1768869</v>
      </c>
      <c r="J824" t="s">
        <v>2673</v>
      </c>
      <c r="K824">
        <v>520</v>
      </c>
      <c r="L824" t="s">
        <v>59</v>
      </c>
      <c r="M824">
        <v>5</v>
      </c>
      <c r="N824" t="str">
        <f>HYPERLINK("Gene1757-zp_tree_all.dnd", "Gene1757-tree")</f>
        <v>Gene1757-tree</v>
      </c>
      <c r="O824">
        <v>5</v>
      </c>
      <c r="P824">
        <v>0</v>
      </c>
      <c r="Q824">
        <v>5</v>
      </c>
      <c r="R824">
        <v>0</v>
      </c>
      <c r="S824">
        <v>0</v>
      </c>
      <c r="T824" t="s">
        <v>98</v>
      </c>
      <c r="U824" t="s">
        <v>62</v>
      </c>
      <c r="V824" t="s">
        <v>62</v>
      </c>
      <c r="W824" t="s">
        <v>62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4</v>
      </c>
      <c r="AM824">
        <v>1</v>
      </c>
      <c r="AN824">
        <v>20</v>
      </c>
      <c r="AO824">
        <v>0</v>
      </c>
      <c r="AP824">
        <v>13</v>
      </c>
      <c r="AQ824">
        <v>0</v>
      </c>
      <c r="AR824" t="s">
        <v>64</v>
      </c>
      <c r="AS824" t="s">
        <v>64</v>
      </c>
      <c r="AT824">
        <v>0</v>
      </c>
      <c r="AU824" t="s">
        <v>65</v>
      </c>
      <c r="AV824">
        <v>33</v>
      </c>
      <c r="AW824">
        <v>0</v>
      </c>
      <c r="AX824" t="s">
        <v>2674</v>
      </c>
      <c r="AY824" t="s">
        <v>2675</v>
      </c>
      <c r="AZ824" t="s">
        <v>64</v>
      </c>
      <c r="BA824">
        <v>0</v>
      </c>
      <c r="BB824">
        <v>1</v>
      </c>
      <c r="BC824" t="s">
        <v>69</v>
      </c>
      <c r="BD824">
        <v>0.11700000000000001</v>
      </c>
      <c r="BE824">
        <v>0.11700000000000001</v>
      </c>
    </row>
    <row r="825" spans="1:57">
      <c r="A825">
        <v>0</v>
      </c>
      <c r="B825">
        <v>0</v>
      </c>
      <c r="C825">
        <v>0</v>
      </c>
      <c r="D825">
        <v>1759</v>
      </c>
      <c r="E825" t="s">
        <v>2676</v>
      </c>
      <c r="F825" t="s">
        <v>5762</v>
      </c>
      <c r="G825" t="s">
        <v>57</v>
      </c>
      <c r="H825">
        <v>1769935</v>
      </c>
      <c r="I825">
        <v>1770192</v>
      </c>
      <c r="J825" t="s">
        <v>2677</v>
      </c>
      <c r="K825">
        <v>86</v>
      </c>
      <c r="L825" t="s">
        <v>59</v>
      </c>
      <c r="M825">
        <v>5</v>
      </c>
      <c r="N825" t="str">
        <f>HYPERLINK("Gene1759-zp_tree_all.dnd", "Gene1759-tree")</f>
        <v>Gene1759-tree</v>
      </c>
      <c r="O825">
        <v>4</v>
      </c>
      <c r="P825">
        <v>0</v>
      </c>
      <c r="Q825">
        <v>4</v>
      </c>
      <c r="R825">
        <v>0</v>
      </c>
      <c r="S825">
        <v>0</v>
      </c>
      <c r="T825" t="s">
        <v>60</v>
      </c>
      <c r="U825" t="s">
        <v>62</v>
      </c>
      <c r="V825" t="s">
        <v>62</v>
      </c>
      <c r="W825" t="s">
        <v>62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3</v>
      </c>
      <c r="AM825">
        <v>1</v>
      </c>
      <c r="AN825">
        <v>4</v>
      </c>
      <c r="AO825">
        <v>0</v>
      </c>
      <c r="AP825">
        <v>7</v>
      </c>
      <c r="AQ825">
        <v>0</v>
      </c>
      <c r="AR825" t="s">
        <v>64</v>
      </c>
      <c r="AS825" t="s">
        <v>64</v>
      </c>
      <c r="AT825">
        <v>0</v>
      </c>
      <c r="AU825" t="s">
        <v>65</v>
      </c>
      <c r="AV825">
        <v>11</v>
      </c>
      <c r="AW825">
        <v>0</v>
      </c>
      <c r="AX825" t="s">
        <v>2678</v>
      </c>
      <c r="AY825" t="s">
        <v>2679</v>
      </c>
      <c r="AZ825" t="s">
        <v>64</v>
      </c>
      <c r="BA825">
        <v>0</v>
      </c>
      <c r="BB825">
        <v>1</v>
      </c>
      <c r="BC825" t="s">
        <v>69</v>
      </c>
      <c r="BD825">
        <v>0.98099999999999998</v>
      </c>
      <c r="BE825">
        <v>0.98099999999999998</v>
      </c>
    </row>
    <row r="826" spans="1:57">
      <c r="A826">
        <v>0</v>
      </c>
      <c r="B826">
        <v>0</v>
      </c>
      <c r="C826">
        <v>2</v>
      </c>
      <c r="D826">
        <v>1762</v>
      </c>
      <c r="E826" t="s">
        <v>2680</v>
      </c>
      <c r="F826" t="s">
        <v>5762</v>
      </c>
      <c r="G826" t="s">
        <v>57</v>
      </c>
      <c r="H826">
        <v>1772843</v>
      </c>
      <c r="I826">
        <v>1774369</v>
      </c>
      <c r="J826" t="s">
        <v>2681</v>
      </c>
      <c r="K826">
        <v>509</v>
      </c>
      <c r="L826" t="s">
        <v>59</v>
      </c>
      <c r="M826">
        <v>5</v>
      </c>
      <c r="N826" t="str">
        <f>HYPERLINK("Gene1762-zp_tree_all.dnd", "Gene1762-tree")</f>
        <v>Gene1762-tree</v>
      </c>
      <c r="O826">
        <v>3</v>
      </c>
      <c r="P826">
        <v>2</v>
      </c>
      <c r="Q826">
        <v>3</v>
      </c>
      <c r="R826">
        <v>2</v>
      </c>
      <c r="S826">
        <v>0.4</v>
      </c>
      <c r="T826" t="s">
        <v>84</v>
      </c>
      <c r="U826" t="s">
        <v>135</v>
      </c>
      <c r="V826" t="s">
        <v>62</v>
      </c>
      <c r="W826" t="s">
        <v>62</v>
      </c>
      <c r="X826">
        <v>1</v>
      </c>
      <c r="Y826">
        <v>2</v>
      </c>
      <c r="Z826">
        <v>3</v>
      </c>
      <c r="AA826">
        <v>0.4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2</v>
      </c>
      <c r="AK826">
        <v>0</v>
      </c>
      <c r="AL826">
        <v>5</v>
      </c>
      <c r="AM826">
        <v>2</v>
      </c>
      <c r="AN826">
        <v>45</v>
      </c>
      <c r="AO826">
        <v>2</v>
      </c>
      <c r="AP826">
        <v>42</v>
      </c>
      <c r="AQ826">
        <v>3</v>
      </c>
      <c r="AR826" t="s">
        <v>2682</v>
      </c>
      <c r="AS826" t="s">
        <v>2683</v>
      </c>
      <c r="AT826">
        <v>0.46300000000000002</v>
      </c>
      <c r="AU826" t="s">
        <v>65</v>
      </c>
      <c r="AV826">
        <v>87</v>
      </c>
      <c r="AW826">
        <v>5</v>
      </c>
      <c r="AX826" t="s">
        <v>2684</v>
      </c>
      <c r="AY826" t="s">
        <v>2685</v>
      </c>
      <c r="AZ826" t="s">
        <v>2686</v>
      </c>
      <c r="BA826">
        <v>1.601E-2</v>
      </c>
      <c r="BB826">
        <v>1</v>
      </c>
      <c r="BC826" t="s">
        <v>69</v>
      </c>
      <c r="BD826">
        <v>0.502</v>
      </c>
      <c r="BE826">
        <v>0.33500000000000002</v>
      </c>
    </row>
    <row r="827" spans="1:57">
      <c r="A827">
        <v>0</v>
      </c>
      <c r="B827">
        <v>0</v>
      </c>
      <c r="C827">
        <v>0</v>
      </c>
      <c r="D827">
        <v>1763</v>
      </c>
      <c r="E827" t="s">
        <v>2687</v>
      </c>
      <c r="F827" t="s">
        <v>5762</v>
      </c>
      <c r="G827" t="s">
        <v>57</v>
      </c>
      <c r="H827">
        <v>1774374</v>
      </c>
      <c r="I827">
        <v>1774802</v>
      </c>
      <c r="J827" t="s">
        <v>2688</v>
      </c>
      <c r="K827">
        <v>143</v>
      </c>
      <c r="L827" t="s">
        <v>59</v>
      </c>
      <c r="M827">
        <v>5</v>
      </c>
      <c r="N827" t="str">
        <f>HYPERLINK("Gene1763-zp_tree_all.dnd", "Gene1763-tree")</f>
        <v>Gene1763-tree</v>
      </c>
      <c r="O827">
        <v>5</v>
      </c>
      <c r="P827">
        <v>0</v>
      </c>
      <c r="Q827">
        <v>5</v>
      </c>
      <c r="R827">
        <v>0</v>
      </c>
      <c r="S827">
        <v>0</v>
      </c>
      <c r="T827" t="s">
        <v>98</v>
      </c>
      <c r="U827" t="s">
        <v>62</v>
      </c>
      <c r="V827" t="s">
        <v>62</v>
      </c>
      <c r="W827" t="s">
        <v>62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4</v>
      </c>
      <c r="AM827">
        <v>2</v>
      </c>
      <c r="AN827">
        <v>10</v>
      </c>
      <c r="AO827">
        <v>0</v>
      </c>
      <c r="AP827">
        <v>9</v>
      </c>
      <c r="AQ827">
        <v>0</v>
      </c>
      <c r="AR827" t="s">
        <v>64</v>
      </c>
      <c r="AS827" t="s">
        <v>64</v>
      </c>
      <c r="AT827">
        <v>0</v>
      </c>
      <c r="AU827" t="s">
        <v>65</v>
      </c>
      <c r="AV827">
        <v>19</v>
      </c>
      <c r="AW827">
        <v>0</v>
      </c>
      <c r="AX827" t="s">
        <v>2689</v>
      </c>
      <c r="AY827" t="s">
        <v>2690</v>
      </c>
      <c r="AZ827" t="s">
        <v>64</v>
      </c>
      <c r="BA827">
        <v>0</v>
      </c>
      <c r="BB827">
        <v>1</v>
      </c>
      <c r="BC827" t="s">
        <v>69</v>
      </c>
      <c r="BD827">
        <v>0.22700000000000001</v>
      </c>
      <c r="BE827">
        <v>0.22700000000000001</v>
      </c>
    </row>
    <row r="828" spans="1:57">
      <c r="A828">
        <v>0</v>
      </c>
      <c r="B828">
        <v>0</v>
      </c>
      <c r="C828">
        <v>0</v>
      </c>
      <c r="D828">
        <v>1797</v>
      </c>
      <c r="E828" t="s">
        <v>2691</v>
      </c>
      <c r="F828" t="s">
        <v>5762</v>
      </c>
      <c r="G828" t="s">
        <v>57</v>
      </c>
      <c r="H828">
        <v>1867373</v>
      </c>
      <c r="I828">
        <v>1867591</v>
      </c>
      <c r="J828" t="s">
        <v>2692</v>
      </c>
      <c r="K828">
        <v>73</v>
      </c>
      <c r="L828" t="s">
        <v>59</v>
      </c>
      <c r="M828">
        <v>5</v>
      </c>
      <c r="N828" t="str">
        <f>HYPERLINK("Gene1797-zp_tree_all.dnd", "Gene1797-tree")</f>
        <v>Gene1797-tree</v>
      </c>
    </row>
    <row r="829" spans="1:57">
      <c r="A829">
        <v>0</v>
      </c>
      <c r="B829">
        <v>0</v>
      </c>
      <c r="C829">
        <v>0</v>
      </c>
      <c r="D829">
        <v>1799</v>
      </c>
      <c r="E829" t="s">
        <v>2693</v>
      </c>
      <c r="F829" t="s">
        <v>5762</v>
      </c>
      <c r="G829" t="s">
        <v>57</v>
      </c>
      <c r="H829">
        <v>1868144</v>
      </c>
      <c r="I829">
        <v>1868371</v>
      </c>
      <c r="J829" t="s">
        <v>170</v>
      </c>
      <c r="K829">
        <v>76</v>
      </c>
      <c r="L829" t="s">
        <v>59</v>
      </c>
      <c r="M829">
        <v>5</v>
      </c>
      <c r="N829" t="str">
        <f>HYPERLINK("Gene1799-zp_tree_all.dnd", "Gene1799-tree")</f>
        <v>Gene1799-tree</v>
      </c>
      <c r="O829">
        <v>5</v>
      </c>
      <c r="P829">
        <v>0</v>
      </c>
      <c r="Q829">
        <v>4</v>
      </c>
      <c r="R829">
        <v>0</v>
      </c>
      <c r="S829">
        <v>0</v>
      </c>
      <c r="T829" t="s">
        <v>150</v>
      </c>
      <c r="U829" t="s">
        <v>62</v>
      </c>
      <c r="V829" t="s">
        <v>62</v>
      </c>
      <c r="W829" t="s">
        <v>62</v>
      </c>
      <c r="X829">
        <v>0</v>
      </c>
      <c r="Y829">
        <v>0</v>
      </c>
      <c r="Z829">
        <v>2</v>
      </c>
      <c r="AA829">
        <v>0</v>
      </c>
      <c r="AB829">
        <v>0</v>
      </c>
      <c r="AC829">
        <v>0</v>
      </c>
      <c r="AD829">
        <v>0</v>
      </c>
      <c r="AE829">
        <v>2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2</v>
      </c>
      <c r="AM829">
        <v>1</v>
      </c>
      <c r="AN829">
        <v>3</v>
      </c>
      <c r="AO829">
        <v>0</v>
      </c>
      <c r="AP829">
        <v>2</v>
      </c>
      <c r="AQ829">
        <v>2</v>
      </c>
      <c r="AR829" t="s">
        <v>64</v>
      </c>
      <c r="AS829" t="s">
        <v>2694</v>
      </c>
      <c r="AT829">
        <v>0</v>
      </c>
      <c r="AU829" t="s">
        <v>65</v>
      </c>
      <c r="AV829">
        <v>5</v>
      </c>
      <c r="AW829">
        <v>2</v>
      </c>
      <c r="AX829" t="s">
        <v>2695</v>
      </c>
      <c r="AY829" t="s">
        <v>2696</v>
      </c>
      <c r="AZ829" t="s">
        <v>2697</v>
      </c>
      <c r="BA829">
        <v>0.10881</v>
      </c>
      <c r="BB829">
        <v>0.98799999999999999</v>
      </c>
      <c r="BC829" t="s">
        <v>69</v>
      </c>
      <c r="BD829">
        <v>0.91300000000000003</v>
      </c>
      <c r="BE829">
        <v>0.91300000000000003</v>
      </c>
    </row>
    <row r="830" spans="1:57">
      <c r="A830">
        <v>0</v>
      </c>
      <c r="B830">
        <v>0</v>
      </c>
      <c r="C830">
        <v>2</v>
      </c>
      <c r="D830">
        <v>1800</v>
      </c>
      <c r="E830" t="s">
        <v>2698</v>
      </c>
      <c r="F830" t="s">
        <v>5762</v>
      </c>
      <c r="G830" t="s">
        <v>57</v>
      </c>
      <c r="H830">
        <v>1868617</v>
      </c>
      <c r="I830">
        <v>1869006</v>
      </c>
      <c r="J830" t="s">
        <v>2699</v>
      </c>
      <c r="K830">
        <v>130</v>
      </c>
      <c r="L830" t="s">
        <v>59</v>
      </c>
      <c r="M830">
        <v>5</v>
      </c>
      <c r="N830" t="str">
        <f>HYPERLINK("Gene1800-zp_tree_all.dnd", "Gene1800-tree")</f>
        <v>Gene1800-tree</v>
      </c>
      <c r="O830">
        <v>4</v>
      </c>
      <c r="P830">
        <v>1</v>
      </c>
      <c r="Q830">
        <v>4</v>
      </c>
      <c r="R830">
        <v>1</v>
      </c>
      <c r="S830">
        <v>0.2</v>
      </c>
      <c r="T830" t="s">
        <v>60</v>
      </c>
      <c r="U830" t="s">
        <v>61</v>
      </c>
      <c r="V830" t="s">
        <v>62</v>
      </c>
      <c r="W830" t="s">
        <v>62</v>
      </c>
      <c r="X830">
        <v>1</v>
      </c>
      <c r="Y830">
        <v>2</v>
      </c>
      <c r="Z830">
        <v>2</v>
      </c>
      <c r="AA830">
        <v>0.5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1</v>
      </c>
      <c r="AK830">
        <v>0</v>
      </c>
      <c r="AL830">
        <v>4</v>
      </c>
      <c r="AM830">
        <v>2</v>
      </c>
      <c r="AN830">
        <v>5</v>
      </c>
      <c r="AO830">
        <v>1</v>
      </c>
      <c r="AP830">
        <v>4</v>
      </c>
      <c r="AQ830">
        <v>3</v>
      </c>
      <c r="AR830" t="s">
        <v>2700</v>
      </c>
      <c r="AS830" t="s">
        <v>2701</v>
      </c>
      <c r="AT830">
        <v>1.482</v>
      </c>
      <c r="AU830" t="s">
        <v>65</v>
      </c>
      <c r="AV830">
        <v>9</v>
      </c>
      <c r="AW830">
        <v>4</v>
      </c>
      <c r="AX830" t="s">
        <v>2702</v>
      </c>
      <c r="AY830" t="s">
        <v>2703</v>
      </c>
      <c r="AZ830" t="s">
        <v>2704</v>
      </c>
      <c r="BA830">
        <v>0.12099</v>
      </c>
      <c r="BB830">
        <v>1</v>
      </c>
      <c r="BC830" t="s">
        <v>69</v>
      </c>
      <c r="BD830">
        <v>0.84499999999999997</v>
      </c>
      <c r="BE830">
        <v>-0.38200000000000001</v>
      </c>
    </row>
    <row r="831" spans="1:57">
      <c r="A831">
        <v>0</v>
      </c>
      <c r="B831">
        <v>0</v>
      </c>
      <c r="C831">
        <v>0</v>
      </c>
      <c r="D831">
        <v>1801</v>
      </c>
      <c r="E831" t="s">
        <v>2705</v>
      </c>
      <c r="F831" t="s">
        <v>5762</v>
      </c>
      <c r="G831" t="s">
        <v>57</v>
      </c>
      <c r="H831">
        <v>1868969</v>
      </c>
      <c r="I831">
        <v>1871068</v>
      </c>
      <c r="J831" t="s">
        <v>2706</v>
      </c>
      <c r="K831">
        <v>700</v>
      </c>
      <c r="L831" t="s">
        <v>83</v>
      </c>
      <c r="M831">
        <v>4</v>
      </c>
      <c r="N831" t="str">
        <f>HYPERLINK("Gene1801-zp_tree_all.dnd", "Gene1801-tree")</f>
        <v>Gene1801-tree</v>
      </c>
      <c r="O831">
        <v>1</v>
      </c>
      <c r="P831">
        <v>3</v>
      </c>
      <c r="Q831">
        <v>1</v>
      </c>
      <c r="R831">
        <v>3</v>
      </c>
      <c r="S831">
        <v>0.75</v>
      </c>
      <c r="T831" t="s">
        <v>61</v>
      </c>
      <c r="U831" t="s">
        <v>84</v>
      </c>
      <c r="V831" t="s">
        <v>62</v>
      </c>
      <c r="W831" t="s">
        <v>62</v>
      </c>
      <c r="X831">
        <v>0</v>
      </c>
      <c r="Y831">
        <v>0</v>
      </c>
      <c r="Z831">
        <v>9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6</v>
      </c>
      <c r="AK831">
        <v>0</v>
      </c>
      <c r="AL831">
        <v>4</v>
      </c>
      <c r="AM831">
        <v>1</v>
      </c>
      <c r="AN831">
        <v>117</v>
      </c>
      <c r="AO831">
        <v>6</v>
      </c>
      <c r="AP831">
        <v>15</v>
      </c>
      <c r="AQ831">
        <v>3</v>
      </c>
      <c r="AR831" t="s">
        <v>2707</v>
      </c>
      <c r="AS831" t="s">
        <v>2708</v>
      </c>
      <c r="AT831">
        <v>4.9340000000000002</v>
      </c>
      <c r="AU831" t="s">
        <v>65</v>
      </c>
      <c r="AV831">
        <v>132</v>
      </c>
      <c r="AW831">
        <v>9</v>
      </c>
      <c r="AX831" t="s">
        <v>2709</v>
      </c>
      <c r="AY831" t="s">
        <v>2710</v>
      </c>
      <c r="AZ831" t="s">
        <v>2711</v>
      </c>
      <c r="BA831">
        <v>2.0820000000000002E-2</v>
      </c>
      <c r="BB831">
        <v>1</v>
      </c>
      <c r="BC831" t="s">
        <v>69</v>
      </c>
      <c r="BD831">
        <v>0.36899999999999999</v>
      </c>
      <c r="BE831">
        <v>-4.4999999999999998E-2</v>
      </c>
    </row>
    <row r="832" spans="1:57">
      <c r="A832">
        <v>0</v>
      </c>
      <c r="B832">
        <v>0</v>
      </c>
      <c r="C832">
        <v>0</v>
      </c>
      <c r="D832">
        <v>1802</v>
      </c>
      <c r="E832" t="s">
        <v>2712</v>
      </c>
      <c r="F832" t="s">
        <v>5762</v>
      </c>
      <c r="G832" t="s">
        <v>57</v>
      </c>
      <c r="H832">
        <v>1871089</v>
      </c>
      <c r="I832">
        <v>1872075</v>
      </c>
      <c r="J832" t="s">
        <v>2713</v>
      </c>
      <c r="K832">
        <v>329</v>
      </c>
      <c r="L832" t="s">
        <v>83</v>
      </c>
      <c r="M832">
        <v>4</v>
      </c>
      <c r="N832" t="str">
        <f>HYPERLINK("Gene1802-zp_tree_all.dnd", "Gene1802-tree")</f>
        <v>Gene1802-tree</v>
      </c>
      <c r="O832">
        <v>3</v>
      </c>
      <c r="P832">
        <v>1</v>
      </c>
      <c r="Q832">
        <v>3</v>
      </c>
      <c r="R832">
        <v>1</v>
      </c>
      <c r="S832">
        <v>0.25</v>
      </c>
      <c r="T832" t="s">
        <v>84</v>
      </c>
      <c r="U832" t="s">
        <v>61</v>
      </c>
      <c r="V832" t="s">
        <v>62</v>
      </c>
      <c r="W832" t="s">
        <v>62</v>
      </c>
      <c r="X832">
        <v>0</v>
      </c>
      <c r="Y832">
        <v>0</v>
      </c>
      <c r="Z832">
        <v>3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3</v>
      </c>
      <c r="AK832">
        <v>0</v>
      </c>
      <c r="AL832">
        <v>4</v>
      </c>
      <c r="AM832">
        <v>1</v>
      </c>
      <c r="AN832">
        <v>56</v>
      </c>
      <c r="AO832">
        <v>3</v>
      </c>
      <c r="AP832">
        <v>3</v>
      </c>
      <c r="AQ832">
        <v>0</v>
      </c>
      <c r="AR832" t="s">
        <v>2714</v>
      </c>
      <c r="AS832" t="s">
        <v>64</v>
      </c>
      <c r="AT832">
        <v>0.50900000000000001</v>
      </c>
      <c r="AU832" t="s">
        <v>65</v>
      </c>
      <c r="AV832">
        <v>59</v>
      </c>
      <c r="AW832">
        <v>3</v>
      </c>
      <c r="AX832" t="s">
        <v>2715</v>
      </c>
      <c r="AY832" t="s">
        <v>2716</v>
      </c>
      <c r="AZ832" t="s">
        <v>2395</v>
      </c>
      <c r="BA832">
        <v>1.2160000000000001E-2</v>
      </c>
      <c r="BB832">
        <v>1</v>
      </c>
      <c r="BC832" t="s">
        <v>69</v>
      </c>
      <c r="BD832">
        <v>-0.54500000000000004</v>
      </c>
      <c r="BE832">
        <v>-0.70699999999999996</v>
      </c>
    </row>
    <row r="833" spans="1:57">
      <c r="A833">
        <v>0</v>
      </c>
      <c r="B833">
        <v>0</v>
      </c>
      <c r="C833">
        <v>0</v>
      </c>
      <c r="D833">
        <v>1805</v>
      </c>
      <c r="E833" t="s">
        <v>2717</v>
      </c>
      <c r="F833" t="s">
        <v>5762</v>
      </c>
      <c r="G833" t="s">
        <v>57</v>
      </c>
      <c r="H833">
        <v>1874203</v>
      </c>
      <c r="I833">
        <v>1875168</v>
      </c>
      <c r="J833" t="s">
        <v>2718</v>
      </c>
      <c r="K833">
        <v>322</v>
      </c>
      <c r="L833" t="s">
        <v>59</v>
      </c>
      <c r="M833">
        <v>5</v>
      </c>
      <c r="N833" t="str">
        <f>HYPERLINK("Gene1805-zp_tree_all.dnd", "Gene1805-tree")</f>
        <v>Gene1805-tree</v>
      </c>
      <c r="O833">
        <v>4</v>
      </c>
      <c r="P833">
        <v>1</v>
      </c>
      <c r="Q833">
        <v>4</v>
      </c>
      <c r="R833">
        <v>1</v>
      </c>
      <c r="S833">
        <v>0.2</v>
      </c>
      <c r="T833" t="s">
        <v>60</v>
      </c>
      <c r="U833" t="s">
        <v>61</v>
      </c>
      <c r="V833" t="s">
        <v>62</v>
      </c>
      <c r="W833" t="s">
        <v>62</v>
      </c>
      <c r="X833">
        <v>0</v>
      </c>
      <c r="Y833">
        <v>0</v>
      </c>
      <c r="Z833">
        <v>3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1</v>
      </c>
      <c r="AK833">
        <v>0</v>
      </c>
      <c r="AL833">
        <v>5</v>
      </c>
      <c r="AM833">
        <v>2</v>
      </c>
      <c r="AN833">
        <v>32</v>
      </c>
      <c r="AO833">
        <v>1</v>
      </c>
      <c r="AP833">
        <v>31</v>
      </c>
      <c r="AQ833">
        <v>2</v>
      </c>
      <c r="AR833" t="s">
        <v>2719</v>
      </c>
      <c r="AS833" t="s">
        <v>2720</v>
      </c>
      <c r="AT833">
        <v>0.29799999999999999</v>
      </c>
      <c r="AU833" t="s">
        <v>65</v>
      </c>
      <c r="AV833">
        <v>63</v>
      </c>
      <c r="AW833">
        <v>3</v>
      </c>
      <c r="AX833" t="s">
        <v>2721</v>
      </c>
      <c r="AY833" t="s">
        <v>2722</v>
      </c>
      <c r="AZ833" t="s">
        <v>2723</v>
      </c>
      <c r="BA833">
        <v>1.183E-2</v>
      </c>
      <c r="BB833">
        <v>1</v>
      </c>
      <c r="BC833" t="s">
        <v>69</v>
      </c>
      <c r="BD833">
        <v>0.34</v>
      </c>
      <c r="BE833">
        <v>0.34</v>
      </c>
    </row>
    <row r="834" spans="1:57">
      <c r="A834">
        <v>0</v>
      </c>
      <c r="B834">
        <v>0</v>
      </c>
      <c r="C834">
        <v>0</v>
      </c>
      <c r="D834">
        <v>1807</v>
      </c>
      <c r="E834" t="s">
        <v>2724</v>
      </c>
      <c r="F834" t="s">
        <v>5762</v>
      </c>
      <c r="G834" t="s">
        <v>57</v>
      </c>
      <c r="H834">
        <v>1876584</v>
      </c>
      <c r="I834">
        <v>1877846</v>
      </c>
      <c r="J834" t="s">
        <v>2725</v>
      </c>
      <c r="K834">
        <v>421</v>
      </c>
      <c r="L834" t="s">
        <v>112</v>
      </c>
      <c r="M834">
        <v>4</v>
      </c>
      <c r="N834" t="str">
        <f>HYPERLINK("Gene1807-zp_tree_all.dnd", "Gene1807-tree")</f>
        <v>Gene1807-tree</v>
      </c>
      <c r="O834">
        <v>1</v>
      </c>
      <c r="P834">
        <v>3</v>
      </c>
      <c r="Q834">
        <v>1</v>
      </c>
      <c r="R834">
        <v>3</v>
      </c>
      <c r="S834">
        <v>0.75</v>
      </c>
      <c r="T834" t="s">
        <v>61</v>
      </c>
      <c r="U834" t="s">
        <v>84</v>
      </c>
      <c r="V834" t="s">
        <v>62</v>
      </c>
      <c r="W834" t="s">
        <v>62</v>
      </c>
      <c r="X834">
        <v>0</v>
      </c>
      <c r="Y834">
        <v>0</v>
      </c>
      <c r="Z834">
        <v>6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6</v>
      </c>
      <c r="AK834">
        <v>0</v>
      </c>
      <c r="AL834">
        <v>4</v>
      </c>
      <c r="AM834">
        <v>1</v>
      </c>
      <c r="AN834">
        <v>74</v>
      </c>
      <c r="AO834">
        <v>6</v>
      </c>
      <c r="AP834">
        <v>4</v>
      </c>
      <c r="AQ834">
        <v>0</v>
      </c>
      <c r="AR834" t="s">
        <v>2726</v>
      </c>
      <c r="AS834" t="s">
        <v>64</v>
      </c>
      <c r="AT834">
        <v>1.506</v>
      </c>
      <c r="AU834" t="s">
        <v>65</v>
      </c>
      <c r="AV834">
        <v>78</v>
      </c>
      <c r="AW834">
        <v>6</v>
      </c>
      <c r="AX834" t="s">
        <v>2727</v>
      </c>
      <c r="AY834" t="s">
        <v>2728</v>
      </c>
      <c r="AZ834" t="s">
        <v>2729</v>
      </c>
      <c r="BA834">
        <v>2.1760000000000002E-2</v>
      </c>
      <c r="BB834">
        <v>1</v>
      </c>
      <c r="BC834" t="s">
        <v>69</v>
      </c>
      <c r="BD834">
        <v>-0.28299999999999997</v>
      </c>
      <c r="BE834">
        <v>-0.66</v>
      </c>
    </row>
    <row r="835" spans="1:57">
      <c r="A835">
        <v>0</v>
      </c>
      <c r="B835">
        <v>0</v>
      </c>
      <c r="C835">
        <v>0</v>
      </c>
      <c r="D835">
        <v>1808</v>
      </c>
      <c r="E835" t="s">
        <v>2730</v>
      </c>
      <c r="F835" t="s">
        <v>5762</v>
      </c>
      <c r="G835" t="s">
        <v>57</v>
      </c>
      <c r="H835">
        <v>1877959</v>
      </c>
      <c r="I835">
        <v>1878363</v>
      </c>
      <c r="J835" t="s">
        <v>2731</v>
      </c>
      <c r="K835">
        <v>135</v>
      </c>
      <c r="L835" t="s">
        <v>59</v>
      </c>
      <c r="M835">
        <v>5</v>
      </c>
      <c r="N835" t="str">
        <f>HYPERLINK("Gene1808-zp_tree_all.dnd", "Gene1808-tree")</f>
        <v>Gene1808-tree</v>
      </c>
      <c r="O835">
        <v>2</v>
      </c>
      <c r="P835">
        <v>3</v>
      </c>
      <c r="Q835">
        <v>1</v>
      </c>
      <c r="R835">
        <v>3</v>
      </c>
      <c r="S835">
        <v>0.75</v>
      </c>
      <c r="T835" t="s">
        <v>61</v>
      </c>
      <c r="U835" t="s">
        <v>84</v>
      </c>
      <c r="V835" t="s">
        <v>62</v>
      </c>
      <c r="W835" t="s">
        <v>62</v>
      </c>
      <c r="X835">
        <v>0</v>
      </c>
      <c r="Y835">
        <v>0</v>
      </c>
      <c r="Z835">
        <v>3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3</v>
      </c>
      <c r="AK835">
        <v>0</v>
      </c>
      <c r="AL835">
        <v>4</v>
      </c>
      <c r="AM835">
        <v>1</v>
      </c>
      <c r="AN835">
        <v>6</v>
      </c>
      <c r="AO835">
        <v>3</v>
      </c>
      <c r="AP835">
        <v>4</v>
      </c>
      <c r="AQ835">
        <v>0</v>
      </c>
      <c r="AR835" t="s">
        <v>2732</v>
      </c>
      <c r="AS835" t="s">
        <v>64</v>
      </c>
      <c r="AT835">
        <v>4.476</v>
      </c>
      <c r="AU835" t="s">
        <v>286</v>
      </c>
      <c r="AV835">
        <v>10</v>
      </c>
      <c r="AW835">
        <v>3</v>
      </c>
      <c r="AX835" t="s">
        <v>2733</v>
      </c>
      <c r="AY835" t="s">
        <v>2734</v>
      </c>
      <c r="AZ835" t="s">
        <v>2735</v>
      </c>
      <c r="BA835">
        <v>7.0349999999999996E-2</v>
      </c>
      <c r="BB835">
        <v>1</v>
      </c>
      <c r="BC835" t="s">
        <v>69</v>
      </c>
      <c r="BD835">
        <v>0.55200000000000005</v>
      </c>
      <c r="BE835">
        <v>0.55200000000000005</v>
      </c>
    </row>
    <row r="836" spans="1:57">
      <c r="A836">
        <v>0</v>
      </c>
      <c r="B836">
        <v>0</v>
      </c>
      <c r="C836">
        <v>0</v>
      </c>
      <c r="D836">
        <v>1809</v>
      </c>
      <c r="E836" t="s">
        <v>2736</v>
      </c>
      <c r="F836" t="s">
        <v>5762</v>
      </c>
      <c r="G836" t="s">
        <v>57</v>
      </c>
      <c r="H836">
        <v>1878425</v>
      </c>
      <c r="I836">
        <v>1879756</v>
      </c>
      <c r="J836" t="s">
        <v>2737</v>
      </c>
      <c r="K836">
        <v>444</v>
      </c>
      <c r="L836" t="s">
        <v>59</v>
      </c>
      <c r="M836">
        <v>5</v>
      </c>
      <c r="N836" t="str">
        <f>HYPERLINK("Gene1809-zp_tree_all.dnd", "Gene1809-tree")</f>
        <v>Gene1809-tree</v>
      </c>
      <c r="O836">
        <v>3</v>
      </c>
      <c r="P836">
        <v>2</v>
      </c>
      <c r="Q836">
        <v>3</v>
      </c>
      <c r="R836">
        <v>2</v>
      </c>
      <c r="S836">
        <v>0.4</v>
      </c>
      <c r="T836" t="s">
        <v>84</v>
      </c>
      <c r="U836" t="s">
        <v>135</v>
      </c>
      <c r="V836" t="s">
        <v>62</v>
      </c>
      <c r="W836" t="s">
        <v>62</v>
      </c>
      <c r="X836">
        <v>0</v>
      </c>
      <c r="Y836">
        <v>0</v>
      </c>
      <c r="Z836">
        <v>4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2</v>
      </c>
      <c r="AK836">
        <v>0</v>
      </c>
      <c r="AL836">
        <v>5</v>
      </c>
      <c r="AM836">
        <v>2</v>
      </c>
      <c r="AN836">
        <v>54</v>
      </c>
      <c r="AO836">
        <v>2</v>
      </c>
      <c r="AP836">
        <v>29</v>
      </c>
      <c r="AQ836">
        <v>3</v>
      </c>
      <c r="AR836" t="s">
        <v>2738</v>
      </c>
      <c r="AS836" t="s">
        <v>2739</v>
      </c>
      <c r="AT836">
        <v>0.63700000000000001</v>
      </c>
      <c r="AU836" t="s">
        <v>65</v>
      </c>
      <c r="AV836">
        <v>83</v>
      </c>
      <c r="AW836">
        <v>5</v>
      </c>
      <c r="AX836" t="s">
        <v>2740</v>
      </c>
      <c r="AY836" t="s">
        <v>2741</v>
      </c>
      <c r="AZ836" t="s">
        <v>2742</v>
      </c>
      <c r="BA836">
        <v>1.804E-2</v>
      </c>
      <c r="BB836">
        <v>1</v>
      </c>
      <c r="BC836" t="s">
        <v>69</v>
      </c>
      <c r="BD836">
        <v>0.27700000000000002</v>
      </c>
      <c r="BE836">
        <v>0.04</v>
      </c>
    </row>
    <row r="837" spans="1:57">
      <c r="A837">
        <v>0</v>
      </c>
      <c r="B837">
        <v>2</v>
      </c>
      <c r="C837">
        <v>0</v>
      </c>
      <c r="D837">
        <v>1821</v>
      </c>
      <c r="E837" t="s">
        <v>2743</v>
      </c>
      <c r="F837" t="s">
        <v>5762</v>
      </c>
      <c r="G837" t="s">
        <v>57</v>
      </c>
      <c r="H837">
        <v>1887352</v>
      </c>
      <c r="I837">
        <v>1888740</v>
      </c>
      <c r="J837" t="s">
        <v>2744</v>
      </c>
      <c r="K837">
        <v>463</v>
      </c>
      <c r="L837" t="s">
        <v>83</v>
      </c>
      <c r="M837">
        <v>4</v>
      </c>
      <c r="N837" t="str">
        <f>HYPERLINK("Gene1821-zp_tree_all.dnd", "Gene1821-tree")</f>
        <v>Gene1821-tree</v>
      </c>
      <c r="O837">
        <v>1</v>
      </c>
      <c r="P837">
        <v>3</v>
      </c>
      <c r="Q837">
        <v>1</v>
      </c>
      <c r="R837">
        <v>3</v>
      </c>
      <c r="S837">
        <v>0.75</v>
      </c>
      <c r="T837" t="s">
        <v>61</v>
      </c>
      <c r="U837" t="s">
        <v>84</v>
      </c>
      <c r="V837" t="s">
        <v>62</v>
      </c>
      <c r="W837" t="s">
        <v>62</v>
      </c>
      <c r="X837">
        <v>1</v>
      </c>
      <c r="Y837">
        <v>2</v>
      </c>
      <c r="Z837">
        <v>15</v>
      </c>
      <c r="AA837">
        <v>0.11765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2</v>
      </c>
      <c r="AH837">
        <v>0</v>
      </c>
      <c r="AI837">
        <v>2</v>
      </c>
      <c r="AJ837">
        <v>14</v>
      </c>
      <c r="AK837">
        <v>0.125</v>
      </c>
      <c r="AL837">
        <v>4</v>
      </c>
      <c r="AM837">
        <v>1</v>
      </c>
      <c r="AN837">
        <v>59</v>
      </c>
      <c r="AO837">
        <v>16</v>
      </c>
      <c r="AP837">
        <v>10</v>
      </c>
      <c r="AQ837">
        <v>1</v>
      </c>
      <c r="AR837" t="s">
        <v>2745</v>
      </c>
      <c r="AS837" t="s">
        <v>2746</v>
      </c>
      <c r="AT837">
        <v>0.56100000000000005</v>
      </c>
      <c r="AU837" t="s">
        <v>65</v>
      </c>
      <c r="AV837">
        <v>69</v>
      </c>
      <c r="AW837">
        <v>17</v>
      </c>
      <c r="AX837" t="s">
        <v>2747</v>
      </c>
      <c r="AY837" t="s">
        <v>2748</v>
      </c>
      <c r="AZ837" t="s">
        <v>2749</v>
      </c>
      <c r="BA837">
        <v>6.7169999999999994E-2</v>
      </c>
      <c r="BB837">
        <v>1</v>
      </c>
      <c r="BC837" t="s">
        <v>69</v>
      </c>
      <c r="BD837">
        <v>-0.33200000000000002</v>
      </c>
      <c r="BE837">
        <v>-0.44800000000000001</v>
      </c>
    </row>
    <row r="838" spans="1:57">
      <c r="A838">
        <v>0</v>
      </c>
      <c r="B838">
        <v>0</v>
      </c>
      <c r="C838">
        <v>4</v>
      </c>
      <c r="D838">
        <v>1824</v>
      </c>
      <c r="E838" t="s">
        <v>2750</v>
      </c>
      <c r="F838" t="s">
        <v>5762</v>
      </c>
      <c r="G838" t="s">
        <v>57</v>
      </c>
      <c r="H838">
        <v>1891908</v>
      </c>
      <c r="I838">
        <v>1893242</v>
      </c>
      <c r="J838" t="s">
        <v>2751</v>
      </c>
      <c r="K838">
        <v>445</v>
      </c>
      <c r="L838" t="s">
        <v>59</v>
      </c>
      <c r="M838">
        <v>5</v>
      </c>
      <c r="N838" t="str">
        <f>HYPERLINK("Gene1824-zp_tree_all.dnd", "Gene1824-tree")</f>
        <v>Gene1824-tree</v>
      </c>
      <c r="O838">
        <v>0</v>
      </c>
      <c r="P838">
        <v>5</v>
      </c>
      <c r="Q838">
        <v>0</v>
      </c>
      <c r="R838">
        <v>5</v>
      </c>
      <c r="S838">
        <v>1</v>
      </c>
      <c r="T838" t="s">
        <v>62</v>
      </c>
      <c r="U838" t="s">
        <v>98</v>
      </c>
      <c r="V838" t="s">
        <v>62</v>
      </c>
      <c r="W838" t="s">
        <v>62</v>
      </c>
      <c r="X838">
        <v>2</v>
      </c>
      <c r="Y838">
        <v>4</v>
      </c>
      <c r="Z838">
        <v>20</v>
      </c>
      <c r="AA838">
        <v>0.16667000000000001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11</v>
      </c>
      <c r="AK838">
        <v>0</v>
      </c>
      <c r="AL838">
        <v>5</v>
      </c>
      <c r="AM838">
        <v>2</v>
      </c>
      <c r="AN838">
        <v>25</v>
      </c>
      <c r="AO838">
        <v>11</v>
      </c>
      <c r="AP838">
        <v>39</v>
      </c>
      <c r="AQ838">
        <v>16</v>
      </c>
      <c r="AR838" t="s">
        <v>2752</v>
      </c>
      <c r="AS838" t="s">
        <v>2753</v>
      </c>
      <c r="AT838">
        <v>0.11</v>
      </c>
      <c r="AU838" t="s">
        <v>65</v>
      </c>
      <c r="AV838">
        <v>64</v>
      </c>
      <c r="AW838">
        <v>27</v>
      </c>
      <c r="AX838" t="s">
        <v>2754</v>
      </c>
      <c r="AY838" t="s">
        <v>2755</v>
      </c>
      <c r="AZ838" t="s">
        <v>2756</v>
      </c>
      <c r="BA838">
        <v>0.11024</v>
      </c>
      <c r="BB838">
        <v>1</v>
      </c>
      <c r="BC838" t="s">
        <v>69</v>
      </c>
      <c r="BD838">
        <v>0.92300000000000004</v>
      </c>
      <c r="BE838">
        <v>0.68400000000000005</v>
      </c>
    </row>
    <row r="839" spans="1:57">
      <c r="A839">
        <v>0</v>
      </c>
      <c r="B839">
        <v>0</v>
      </c>
      <c r="C839">
        <v>0</v>
      </c>
      <c r="D839">
        <v>1854</v>
      </c>
      <c r="E839" t="s">
        <v>2757</v>
      </c>
      <c r="F839" t="s">
        <v>5762</v>
      </c>
      <c r="G839" t="s">
        <v>57</v>
      </c>
      <c r="H839">
        <v>1919459</v>
      </c>
      <c r="I839">
        <v>1919689</v>
      </c>
      <c r="J839" t="s">
        <v>118</v>
      </c>
      <c r="K839">
        <v>77</v>
      </c>
      <c r="L839" t="s">
        <v>112</v>
      </c>
      <c r="M839">
        <v>4</v>
      </c>
      <c r="N839" t="str">
        <f>HYPERLINK("Gene1854-zp_tree_all.dnd", "Gene1854-tree")</f>
        <v>Gene1854-tree</v>
      </c>
    </row>
    <row r="840" spans="1:57">
      <c r="A840">
        <v>0</v>
      </c>
      <c r="B840">
        <v>0</v>
      </c>
      <c r="C840">
        <v>0</v>
      </c>
      <c r="D840">
        <v>1856</v>
      </c>
      <c r="E840" t="s">
        <v>2758</v>
      </c>
      <c r="F840" t="s">
        <v>5762</v>
      </c>
      <c r="G840" t="s">
        <v>57</v>
      </c>
      <c r="H840">
        <v>1922017</v>
      </c>
      <c r="I840">
        <v>1922460</v>
      </c>
      <c r="J840" t="s">
        <v>2759</v>
      </c>
      <c r="K840">
        <v>148</v>
      </c>
      <c r="L840" t="s">
        <v>112</v>
      </c>
      <c r="M840">
        <v>4</v>
      </c>
      <c r="N840" t="str">
        <f>HYPERLINK("Gene1856-zp_tree_all.dnd", "Gene1856-tree")</f>
        <v>Gene1856-tree</v>
      </c>
      <c r="O840">
        <v>2</v>
      </c>
      <c r="P840">
        <v>2</v>
      </c>
      <c r="Q840">
        <v>2</v>
      </c>
      <c r="R840">
        <v>2</v>
      </c>
      <c r="S840">
        <v>0.5</v>
      </c>
      <c r="T840" t="s">
        <v>135</v>
      </c>
      <c r="U840" t="s">
        <v>135</v>
      </c>
      <c r="V840" t="s">
        <v>62</v>
      </c>
      <c r="W840" t="s">
        <v>62</v>
      </c>
      <c r="X840">
        <v>0</v>
      </c>
      <c r="Y840">
        <v>0</v>
      </c>
      <c r="Z840">
        <v>5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5</v>
      </c>
      <c r="AK840">
        <v>0</v>
      </c>
      <c r="AL840">
        <v>3</v>
      </c>
      <c r="AM840">
        <v>1</v>
      </c>
      <c r="AN840">
        <v>16</v>
      </c>
      <c r="AO840">
        <v>6</v>
      </c>
      <c r="AP840">
        <v>1</v>
      </c>
      <c r="AQ840">
        <v>0</v>
      </c>
      <c r="AR840" t="s">
        <v>2760</v>
      </c>
      <c r="AS840" t="s">
        <v>64</v>
      </c>
      <c r="AT840">
        <v>0.68</v>
      </c>
      <c r="AU840" t="s">
        <v>65</v>
      </c>
      <c r="AV840">
        <v>17</v>
      </c>
      <c r="AW840">
        <v>6</v>
      </c>
      <c r="AX840" t="s">
        <v>2761</v>
      </c>
      <c r="AY840" t="s">
        <v>2762</v>
      </c>
      <c r="AZ840" t="s">
        <v>2763</v>
      </c>
      <c r="BA840">
        <v>7.8219999999999998E-2</v>
      </c>
      <c r="BB840">
        <v>1</v>
      </c>
      <c r="BC840" t="s">
        <v>69</v>
      </c>
      <c r="BD840">
        <v>-0.72</v>
      </c>
      <c r="BE840">
        <v>-0.72</v>
      </c>
    </row>
    <row r="841" spans="1:57">
      <c r="A841">
        <v>0</v>
      </c>
      <c r="B841">
        <v>0</v>
      </c>
      <c r="C841">
        <v>0</v>
      </c>
      <c r="D841">
        <v>1857</v>
      </c>
      <c r="E841" t="s">
        <v>2764</v>
      </c>
      <c r="F841" t="s">
        <v>5762</v>
      </c>
      <c r="G841" t="s">
        <v>57</v>
      </c>
      <c r="H841">
        <v>1922549</v>
      </c>
      <c r="I841">
        <v>1922764</v>
      </c>
      <c r="J841" t="s">
        <v>2765</v>
      </c>
      <c r="K841">
        <v>72</v>
      </c>
      <c r="L841" t="s">
        <v>59</v>
      </c>
      <c r="M841">
        <v>5</v>
      </c>
      <c r="N841" t="str">
        <f>HYPERLINK("Gene1857-zp_tree_all.dnd", "Gene1857-tree")</f>
        <v>Gene1857-tree</v>
      </c>
    </row>
    <row r="842" spans="1:57">
      <c r="A842">
        <v>0</v>
      </c>
      <c r="B842">
        <v>0</v>
      </c>
      <c r="C842">
        <v>0</v>
      </c>
      <c r="D842">
        <v>1859</v>
      </c>
      <c r="E842" t="s">
        <v>2768</v>
      </c>
      <c r="F842" t="s">
        <v>5762</v>
      </c>
      <c r="G842" t="s">
        <v>57</v>
      </c>
      <c r="H842">
        <v>1923234</v>
      </c>
      <c r="I842">
        <v>1923938</v>
      </c>
      <c r="J842" t="s">
        <v>2769</v>
      </c>
      <c r="K842">
        <v>235</v>
      </c>
      <c r="L842" t="s">
        <v>83</v>
      </c>
      <c r="M842">
        <v>4</v>
      </c>
      <c r="N842" t="str">
        <f>HYPERLINK("Gene1859-zp_tree_all.dnd", "Gene1859-tree")</f>
        <v>Gene1859-tree</v>
      </c>
      <c r="O842">
        <v>2</v>
      </c>
      <c r="P842">
        <v>2</v>
      </c>
      <c r="Q842">
        <v>2</v>
      </c>
      <c r="R842">
        <v>2</v>
      </c>
      <c r="S842">
        <v>0.5</v>
      </c>
      <c r="T842" t="s">
        <v>135</v>
      </c>
      <c r="U842" t="s">
        <v>135</v>
      </c>
      <c r="V842" t="s">
        <v>62</v>
      </c>
      <c r="W842" t="s">
        <v>62</v>
      </c>
      <c r="X842">
        <v>0</v>
      </c>
      <c r="Y842">
        <v>0</v>
      </c>
      <c r="Z842">
        <v>5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4</v>
      </c>
      <c r="AK842">
        <v>0</v>
      </c>
      <c r="AL842">
        <v>4</v>
      </c>
      <c r="AM842">
        <v>1</v>
      </c>
      <c r="AN842">
        <v>34</v>
      </c>
      <c r="AO842">
        <v>4</v>
      </c>
      <c r="AP842">
        <v>5</v>
      </c>
      <c r="AQ842">
        <v>1</v>
      </c>
      <c r="AR842" t="s">
        <v>2770</v>
      </c>
      <c r="AS842" t="s">
        <v>2771</v>
      </c>
      <c r="AT842">
        <v>0.622</v>
      </c>
      <c r="AU842" t="s">
        <v>65</v>
      </c>
      <c r="AV842">
        <v>39</v>
      </c>
      <c r="AW842">
        <v>5</v>
      </c>
      <c r="AX842" t="s">
        <v>2772</v>
      </c>
      <c r="AY842" t="s">
        <v>2773</v>
      </c>
      <c r="AZ842" t="s">
        <v>2774</v>
      </c>
      <c r="BA842">
        <v>3.8519999999999999E-2</v>
      </c>
      <c r="BB842">
        <v>1</v>
      </c>
      <c r="BC842" t="s">
        <v>69</v>
      </c>
      <c r="BD842">
        <v>7.0000000000000001E-3</v>
      </c>
      <c r="BE842">
        <v>-0.94399999999999995</v>
      </c>
    </row>
    <row r="843" spans="1:57">
      <c r="A843">
        <v>0</v>
      </c>
      <c r="B843">
        <v>0</v>
      </c>
      <c r="C843">
        <v>0</v>
      </c>
      <c r="D843">
        <v>1860</v>
      </c>
      <c r="E843" t="s">
        <v>2775</v>
      </c>
      <c r="F843" t="s">
        <v>5762</v>
      </c>
      <c r="G843" t="s">
        <v>57</v>
      </c>
      <c r="H843">
        <v>1924030</v>
      </c>
      <c r="I843">
        <v>1924389</v>
      </c>
      <c r="J843" t="s">
        <v>2776</v>
      </c>
      <c r="K843">
        <v>120</v>
      </c>
      <c r="L843" t="s">
        <v>112</v>
      </c>
      <c r="M843">
        <v>4</v>
      </c>
      <c r="N843" t="str">
        <f>HYPERLINK("Gene1860-zp_tree_all.dnd", "Gene1860-tree")</f>
        <v>Gene1860-tree</v>
      </c>
      <c r="O843">
        <v>2</v>
      </c>
      <c r="P843">
        <v>2</v>
      </c>
      <c r="Q843">
        <v>2</v>
      </c>
      <c r="R843">
        <v>2</v>
      </c>
      <c r="S843">
        <v>0.5</v>
      </c>
      <c r="T843" t="s">
        <v>135</v>
      </c>
      <c r="U843" t="s">
        <v>135</v>
      </c>
      <c r="V843" t="s">
        <v>62</v>
      </c>
      <c r="W843" t="s">
        <v>62</v>
      </c>
      <c r="X843">
        <v>0</v>
      </c>
      <c r="Y843">
        <v>0</v>
      </c>
      <c r="Z843">
        <v>3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3</v>
      </c>
      <c r="AK843">
        <v>0</v>
      </c>
      <c r="AL843">
        <v>3</v>
      </c>
      <c r="AM843">
        <v>1</v>
      </c>
      <c r="AN843">
        <v>16</v>
      </c>
      <c r="AO843">
        <v>3</v>
      </c>
      <c r="AP843">
        <v>1</v>
      </c>
      <c r="AQ843">
        <v>0</v>
      </c>
      <c r="AR843" t="s">
        <v>2777</v>
      </c>
      <c r="AS843" t="s">
        <v>64</v>
      </c>
      <c r="AT843">
        <v>0.84499999999999997</v>
      </c>
      <c r="AU843" t="s">
        <v>65</v>
      </c>
      <c r="AV843">
        <v>17</v>
      </c>
      <c r="AW843">
        <v>3</v>
      </c>
      <c r="AX843" t="s">
        <v>2778</v>
      </c>
      <c r="AY843" t="s">
        <v>2779</v>
      </c>
      <c r="AZ843" t="s">
        <v>2780</v>
      </c>
      <c r="BA843">
        <v>4.505E-2</v>
      </c>
      <c r="BB843">
        <v>1</v>
      </c>
      <c r="BC843" t="s">
        <v>69</v>
      </c>
      <c r="BD843">
        <v>-0.35899999999999999</v>
      </c>
      <c r="BE843">
        <v>-0.85299999999999998</v>
      </c>
    </row>
    <row r="844" spans="1:57">
      <c r="A844">
        <v>0</v>
      </c>
      <c r="B844">
        <v>0</v>
      </c>
      <c r="C844">
        <v>0</v>
      </c>
      <c r="D844">
        <v>1861</v>
      </c>
      <c r="E844" t="s">
        <v>2781</v>
      </c>
      <c r="F844" t="s">
        <v>5762</v>
      </c>
      <c r="G844" t="s">
        <v>57</v>
      </c>
      <c r="H844">
        <v>1924471</v>
      </c>
      <c r="I844">
        <v>1924959</v>
      </c>
      <c r="J844" t="s">
        <v>2782</v>
      </c>
      <c r="K844">
        <v>163</v>
      </c>
      <c r="L844" t="s">
        <v>59</v>
      </c>
      <c r="M844">
        <v>5</v>
      </c>
      <c r="N844" t="str">
        <f>HYPERLINK("Gene1861-zp_tree_all.dnd", "Gene1861-tree")</f>
        <v>Gene1861-tree</v>
      </c>
      <c r="O844">
        <v>2</v>
      </c>
      <c r="P844">
        <v>3</v>
      </c>
      <c r="Q844">
        <v>2</v>
      </c>
      <c r="R844">
        <v>3</v>
      </c>
      <c r="S844">
        <v>0.6</v>
      </c>
      <c r="T844" t="s">
        <v>135</v>
      </c>
      <c r="U844" t="s">
        <v>84</v>
      </c>
      <c r="V844" t="s">
        <v>62</v>
      </c>
      <c r="W844" t="s">
        <v>62</v>
      </c>
      <c r="X844">
        <v>0</v>
      </c>
      <c r="Y844">
        <v>0</v>
      </c>
      <c r="Z844">
        <v>6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4</v>
      </c>
      <c r="AK844">
        <v>0</v>
      </c>
      <c r="AL844">
        <v>5</v>
      </c>
      <c r="AM844">
        <v>2</v>
      </c>
      <c r="AN844">
        <v>10</v>
      </c>
      <c r="AO844">
        <v>4</v>
      </c>
      <c r="AP844">
        <v>12</v>
      </c>
      <c r="AQ844">
        <v>2</v>
      </c>
      <c r="AR844" t="s">
        <v>2783</v>
      </c>
      <c r="AS844" t="s">
        <v>2784</v>
      </c>
      <c r="AT844">
        <v>0.99399999999999999</v>
      </c>
      <c r="AU844" t="s">
        <v>65</v>
      </c>
      <c r="AV844">
        <v>22</v>
      </c>
      <c r="AW844">
        <v>6</v>
      </c>
      <c r="AX844" t="s">
        <v>2785</v>
      </c>
      <c r="AY844" t="s">
        <v>2786</v>
      </c>
      <c r="AZ844" t="s">
        <v>2787</v>
      </c>
      <c r="BA844">
        <v>6.7299999999999999E-2</v>
      </c>
      <c r="BB844">
        <v>1</v>
      </c>
      <c r="BC844" t="s">
        <v>69</v>
      </c>
      <c r="BD844">
        <v>0.36799999999999999</v>
      </c>
      <c r="BE844">
        <v>0.36799999999999999</v>
      </c>
    </row>
    <row r="845" spans="1:57">
      <c r="A845">
        <v>0</v>
      </c>
      <c r="B845">
        <v>0</v>
      </c>
      <c r="C845">
        <v>0</v>
      </c>
      <c r="D845">
        <v>1868</v>
      </c>
      <c r="E845" t="s">
        <v>2800</v>
      </c>
      <c r="F845" t="s">
        <v>5762</v>
      </c>
      <c r="G845" t="s">
        <v>57</v>
      </c>
      <c r="H845">
        <v>1930074</v>
      </c>
      <c r="I845">
        <v>1930196</v>
      </c>
      <c r="J845" t="s">
        <v>170</v>
      </c>
      <c r="K845">
        <v>41</v>
      </c>
      <c r="L845" t="s">
        <v>59</v>
      </c>
      <c r="M845">
        <v>5</v>
      </c>
      <c r="N845" t="str">
        <f>HYPERLINK("Gene1868-zp_tree_all.dnd", "Gene1868-tree")</f>
        <v>Gene1868-tree</v>
      </c>
      <c r="O845">
        <v>4</v>
      </c>
      <c r="P845">
        <v>0</v>
      </c>
      <c r="Q845">
        <v>4</v>
      </c>
      <c r="R845">
        <v>0</v>
      </c>
      <c r="S845">
        <v>0</v>
      </c>
      <c r="T845" t="s">
        <v>60</v>
      </c>
      <c r="U845" t="s">
        <v>62</v>
      </c>
      <c r="V845" t="s">
        <v>62</v>
      </c>
      <c r="W845" t="s">
        <v>62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3</v>
      </c>
      <c r="AM845">
        <v>0</v>
      </c>
      <c r="AN845">
        <v>4</v>
      </c>
      <c r="AO845">
        <v>0</v>
      </c>
      <c r="AP845">
        <v>0</v>
      </c>
      <c r="AQ845">
        <v>0</v>
      </c>
      <c r="AR845" t="s">
        <v>64</v>
      </c>
      <c r="AS845" t="s">
        <v>64</v>
      </c>
      <c r="AT845">
        <v>0</v>
      </c>
      <c r="AU845" t="s">
        <v>65</v>
      </c>
      <c r="AV845">
        <v>4</v>
      </c>
      <c r="AW845">
        <v>0</v>
      </c>
      <c r="AX845" t="s">
        <v>2801</v>
      </c>
      <c r="AY845" t="s">
        <v>2802</v>
      </c>
      <c r="AZ845" t="s">
        <v>64</v>
      </c>
      <c r="BA845">
        <v>0</v>
      </c>
      <c r="BB845">
        <v>1</v>
      </c>
      <c r="BC845" t="s">
        <v>69</v>
      </c>
      <c r="BD845">
        <v>0.27300000000000002</v>
      </c>
      <c r="BE845">
        <v>0.27300000000000002</v>
      </c>
    </row>
    <row r="846" spans="1:57">
      <c r="A846">
        <v>0</v>
      </c>
      <c r="B846">
        <v>0</v>
      </c>
      <c r="C846">
        <v>0</v>
      </c>
      <c r="D846">
        <v>1869</v>
      </c>
      <c r="E846" t="s">
        <v>2803</v>
      </c>
      <c r="F846" t="s">
        <v>5762</v>
      </c>
      <c r="G846" t="s">
        <v>57</v>
      </c>
      <c r="H846">
        <v>1930264</v>
      </c>
      <c r="I846">
        <v>1930407</v>
      </c>
      <c r="J846" t="s">
        <v>172</v>
      </c>
      <c r="K846">
        <v>48</v>
      </c>
      <c r="L846" t="s">
        <v>59</v>
      </c>
      <c r="M846">
        <v>5</v>
      </c>
      <c r="N846" t="str">
        <f>HYPERLINK("Gene1869-zp_tree_all.dnd", "Gene1869-tree")</f>
        <v>Gene1869-tree</v>
      </c>
      <c r="O846">
        <v>5</v>
      </c>
      <c r="P846">
        <v>0</v>
      </c>
      <c r="Q846">
        <v>4</v>
      </c>
      <c r="R846">
        <v>0</v>
      </c>
      <c r="S846">
        <v>0</v>
      </c>
      <c r="T846" t="s">
        <v>150</v>
      </c>
      <c r="U846" t="s">
        <v>62</v>
      </c>
      <c r="V846" t="s">
        <v>62</v>
      </c>
      <c r="W846" t="s">
        <v>62</v>
      </c>
      <c r="X846">
        <v>0</v>
      </c>
      <c r="Y846">
        <v>0</v>
      </c>
      <c r="Z846">
        <v>1</v>
      </c>
      <c r="AA846">
        <v>0</v>
      </c>
      <c r="AB846">
        <v>0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3</v>
      </c>
      <c r="AM846">
        <v>1</v>
      </c>
      <c r="AN846">
        <v>7</v>
      </c>
      <c r="AO846">
        <v>0</v>
      </c>
      <c r="AP846">
        <v>0</v>
      </c>
      <c r="AQ846">
        <v>1</v>
      </c>
      <c r="AR846" t="s">
        <v>64</v>
      </c>
      <c r="AS846" t="s">
        <v>64</v>
      </c>
      <c r="AT846">
        <v>0</v>
      </c>
      <c r="AU846" t="s">
        <v>65</v>
      </c>
      <c r="AV846">
        <v>7</v>
      </c>
      <c r="AW846">
        <v>1</v>
      </c>
      <c r="AX846" t="s">
        <v>2804</v>
      </c>
      <c r="AY846" t="s">
        <v>2805</v>
      </c>
      <c r="AZ846" t="s">
        <v>2806</v>
      </c>
      <c r="BA846">
        <v>5.4899999999999997E-2</v>
      </c>
      <c r="BB846">
        <v>1</v>
      </c>
      <c r="BC846" t="s">
        <v>69</v>
      </c>
      <c r="BD846">
        <v>0.52500000000000002</v>
      </c>
      <c r="BE846">
        <v>-0.66800000000000004</v>
      </c>
    </row>
    <row r="847" spans="1:57">
      <c r="A847">
        <v>0</v>
      </c>
      <c r="B847">
        <v>0</v>
      </c>
      <c r="C847">
        <v>0</v>
      </c>
      <c r="D847">
        <v>1915</v>
      </c>
      <c r="E847" t="s">
        <v>2820</v>
      </c>
      <c r="F847" t="s">
        <v>5762</v>
      </c>
      <c r="G847" t="s">
        <v>57</v>
      </c>
      <c r="H847">
        <v>2014779</v>
      </c>
      <c r="I847">
        <v>2015678</v>
      </c>
      <c r="J847" t="s">
        <v>2821</v>
      </c>
      <c r="K847">
        <v>300</v>
      </c>
      <c r="L847" t="s">
        <v>59</v>
      </c>
      <c r="M847">
        <v>5</v>
      </c>
      <c r="N847" t="str">
        <f>HYPERLINK("Gene1915-zp_tree_all.dnd", "Gene1915-tree")</f>
        <v>Gene1915-tree</v>
      </c>
      <c r="O847">
        <v>4</v>
      </c>
      <c r="P847">
        <v>1</v>
      </c>
      <c r="Q847">
        <v>4</v>
      </c>
      <c r="R847">
        <v>1</v>
      </c>
      <c r="S847">
        <v>0.2</v>
      </c>
      <c r="T847" t="s">
        <v>60</v>
      </c>
      <c r="U847" t="s">
        <v>61</v>
      </c>
      <c r="V847" t="s">
        <v>62</v>
      </c>
      <c r="W847" t="s">
        <v>62</v>
      </c>
      <c r="X847">
        <v>0</v>
      </c>
      <c r="Y847">
        <v>0</v>
      </c>
      <c r="Z847">
        <v>5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2</v>
      </c>
      <c r="AK847">
        <v>0</v>
      </c>
      <c r="AL847">
        <v>4</v>
      </c>
      <c r="AM847">
        <v>2</v>
      </c>
      <c r="AN847">
        <v>21</v>
      </c>
      <c r="AO847">
        <v>2</v>
      </c>
      <c r="AP847">
        <v>29</v>
      </c>
      <c r="AQ847">
        <v>3</v>
      </c>
      <c r="AR847" t="s">
        <v>2822</v>
      </c>
      <c r="AS847" t="s">
        <v>2823</v>
      </c>
      <c r="AT847">
        <v>8.9999999999999993E-3</v>
      </c>
      <c r="AU847" t="s">
        <v>65</v>
      </c>
      <c r="AV847">
        <v>50</v>
      </c>
      <c r="AW847">
        <v>5</v>
      </c>
      <c r="AX847" t="s">
        <v>2824</v>
      </c>
      <c r="AY847" t="s">
        <v>2825</v>
      </c>
      <c r="AZ847" t="s">
        <v>2826</v>
      </c>
      <c r="BA847">
        <v>2.7040000000000002E-2</v>
      </c>
      <c r="BB847">
        <v>1</v>
      </c>
      <c r="BC847" t="s">
        <v>69</v>
      </c>
      <c r="BD847">
        <v>0.73</v>
      </c>
      <c r="BE847">
        <v>0.58199999999999996</v>
      </c>
    </row>
    <row r="848" spans="1:57">
      <c r="A848">
        <v>0</v>
      </c>
      <c r="B848">
        <v>0</v>
      </c>
      <c r="C848">
        <v>0</v>
      </c>
      <c r="D848">
        <v>37</v>
      </c>
      <c r="E848" t="s">
        <v>153</v>
      </c>
      <c r="F848" t="s">
        <v>5761</v>
      </c>
      <c r="G848" t="s">
        <v>62</v>
      </c>
      <c r="H848">
        <v>44851</v>
      </c>
      <c r="I848">
        <v>45138</v>
      </c>
      <c r="J848" t="s">
        <v>154</v>
      </c>
      <c r="K848">
        <v>96</v>
      </c>
      <c r="L848" t="s">
        <v>59</v>
      </c>
      <c r="M848">
        <v>5</v>
      </c>
      <c r="N848" t="str">
        <f>HYPERLINK("Gene37-zp_tree_all.dnd", "Gene37-tree")</f>
        <v>Gene37-tree</v>
      </c>
    </row>
    <row r="849" spans="1:57">
      <c r="A849">
        <v>0</v>
      </c>
      <c r="B849">
        <v>0</v>
      </c>
      <c r="C849">
        <v>0</v>
      </c>
      <c r="D849">
        <v>156</v>
      </c>
      <c r="E849" t="s">
        <v>592</v>
      </c>
      <c r="F849" t="s">
        <v>5761</v>
      </c>
      <c r="G849" t="s">
        <v>62</v>
      </c>
      <c r="H849">
        <v>158518</v>
      </c>
      <c r="I849">
        <v>159072</v>
      </c>
      <c r="J849" t="s">
        <v>593</v>
      </c>
      <c r="K849">
        <v>185</v>
      </c>
      <c r="L849" t="s">
        <v>59</v>
      </c>
      <c r="M849">
        <v>5</v>
      </c>
      <c r="N849" t="str">
        <f>HYPERLINK("Gene156-zp_tree_all.dnd", "Gene156-tree")</f>
        <v>Gene156-tree</v>
      </c>
      <c r="O849">
        <v>4</v>
      </c>
      <c r="P849">
        <v>1</v>
      </c>
      <c r="Q849">
        <v>3</v>
      </c>
      <c r="R849">
        <v>1</v>
      </c>
      <c r="S849">
        <v>0.25</v>
      </c>
      <c r="T849" t="s">
        <v>119</v>
      </c>
      <c r="U849" t="s">
        <v>61</v>
      </c>
      <c r="V849" t="s">
        <v>62</v>
      </c>
      <c r="W849" t="s">
        <v>62</v>
      </c>
      <c r="X849">
        <v>0</v>
      </c>
      <c r="Y849">
        <v>0</v>
      </c>
      <c r="Z849">
        <v>6</v>
      </c>
      <c r="AA849">
        <v>0</v>
      </c>
      <c r="AB849">
        <v>0</v>
      </c>
      <c r="AC849">
        <v>0</v>
      </c>
      <c r="AD849">
        <v>0</v>
      </c>
      <c r="AE849">
        <v>5</v>
      </c>
      <c r="AF849">
        <v>0</v>
      </c>
      <c r="AG849">
        <v>0</v>
      </c>
      <c r="AH849">
        <v>0</v>
      </c>
      <c r="AI849">
        <v>0</v>
      </c>
      <c r="AJ849">
        <v>1</v>
      </c>
      <c r="AK849">
        <v>0</v>
      </c>
      <c r="AL849">
        <v>3</v>
      </c>
      <c r="AM849">
        <v>1</v>
      </c>
      <c r="AN849">
        <v>5</v>
      </c>
      <c r="AO849">
        <v>1</v>
      </c>
      <c r="AP849">
        <v>14</v>
      </c>
      <c r="AQ849">
        <v>5</v>
      </c>
      <c r="AR849" t="s">
        <v>594</v>
      </c>
      <c r="AS849" t="s">
        <v>595</v>
      </c>
      <c r="AT849">
        <v>0.54400000000000004</v>
      </c>
      <c r="AU849" t="s">
        <v>65</v>
      </c>
      <c r="AV849">
        <v>19</v>
      </c>
      <c r="AW849">
        <v>6</v>
      </c>
      <c r="AX849" t="s">
        <v>596</v>
      </c>
      <c r="AY849" t="s">
        <v>597</v>
      </c>
      <c r="AZ849" t="s">
        <v>598</v>
      </c>
      <c r="BA849">
        <v>6.9940000000000002E-2</v>
      </c>
      <c r="BB849">
        <v>1</v>
      </c>
      <c r="BC849" t="s">
        <v>69</v>
      </c>
      <c r="BD849">
        <v>1.24</v>
      </c>
      <c r="BE849">
        <v>1.24</v>
      </c>
    </row>
    <row r="850" spans="1:57">
      <c r="A850">
        <v>0</v>
      </c>
      <c r="B850">
        <v>0</v>
      </c>
      <c r="C850">
        <v>0</v>
      </c>
      <c r="D850">
        <v>164</v>
      </c>
      <c r="E850" t="s">
        <v>606</v>
      </c>
      <c r="F850" t="s">
        <v>5761</v>
      </c>
      <c r="G850" t="s">
        <v>62</v>
      </c>
      <c r="H850">
        <v>182373</v>
      </c>
      <c r="I850">
        <v>183323</v>
      </c>
      <c r="J850" t="s">
        <v>607</v>
      </c>
      <c r="K850">
        <v>317</v>
      </c>
      <c r="L850" t="s">
        <v>83</v>
      </c>
      <c r="M850">
        <v>4</v>
      </c>
      <c r="N850" t="str">
        <f>HYPERLINK("Gene164-zp_tree_all.dnd", "Gene164-tree")</f>
        <v>Gene164-tree</v>
      </c>
      <c r="O850">
        <v>2</v>
      </c>
      <c r="P850">
        <v>2</v>
      </c>
      <c r="Q850">
        <v>2</v>
      </c>
      <c r="R850">
        <v>2</v>
      </c>
      <c r="S850">
        <v>0.5</v>
      </c>
      <c r="T850" t="s">
        <v>135</v>
      </c>
      <c r="U850" t="s">
        <v>135</v>
      </c>
      <c r="V850" t="s">
        <v>62</v>
      </c>
      <c r="W850" t="s">
        <v>62</v>
      </c>
      <c r="X850">
        <v>0</v>
      </c>
      <c r="Y850">
        <v>0</v>
      </c>
      <c r="Z850">
        <v>7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7</v>
      </c>
      <c r="AK850">
        <v>0</v>
      </c>
      <c r="AL850">
        <v>4</v>
      </c>
      <c r="AM850">
        <v>1</v>
      </c>
      <c r="AN850">
        <v>40</v>
      </c>
      <c r="AO850">
        <v>7</v>
      </c>
      <c r="AP850">
        <v>2</v>
      </c>
      <c r="AQ850">
        <v>0</v>
      </c>
      <c r="AR850" t="s">
        <v>608</v>
      </c>
      <c r="AS850" t="s">
        <v>64</v>
      </c>
      <c r="AT850">
        <v>0.86399999999999999</v>
      </c>
      <c r="AU850" t="s">
        <v>65</v>
      </c>
      <c r="AV850">
        <v>42</v>
      </c>
      <c r="AW850">
        <v>7</v>
      </c>
      <c r="AX850" t="s">
        <v>609</v>
      </c>
      <c r="AY850" t="s">
        <v>610</v>
      </c>
      <c r="AZ850" t="s">
        <v>611</v>
      </c>
      <c r="BA850">
        <v>4.1939999999999998E-2</v>
      </c>
      <c r="BB850">
        <v>1</v>
      </c>
      <c r="BC850" t="s">
        <v>69</v>
      </c>
      <c r="BD850">
        <v>-0.73699999999999999</v>
      </c>
      <c r="BE850">
        <v>-0.73699999999999999</v>
      </c>
    </row>
    <row r="851" spans="1:57">
      <c r="A851">
        <v>0</v>
      </c>
      <c r="B851">
        <v>0</v>
      </c>
      <c r="C851">
        <v>0</v>
      </c>
      <c r="D851">
        <v>210</v>
      </c>
      <c r="E851" t="s">
        <v>671</v>
      </c>
      <c r="F851" t="s">
        <v>5761</v>
      </c>
      <c r="G851" t="s">
        <v>62</v>
      </c>
      <c r="H851">
        <v>230822</v>
      </c>
      <c r="I851">
        <v>231079</v>
      </c>
      <c r="J851" t="s">
        <v>118</v>
      </c>
      <c r="K851">
        <v>86</v>
      </c>
      <c r="L851" t="s">
        <v>112</v>
      </c>
      <c r="M851">
        <v>4</v>
      </c>
      <c r="N851" t="str">
        <f>HYPERLINK("Gene210-zp_tree_all.dnd", "Gene210-tree")</f>
        <v>Gene210-tree</v>
      </c>
      <c r="O851">
        <v>3</v>
      </c>
      <c r="P851">
        <v>1</v>
      </c>
      <c r="Q851">
        <v>3</v>
      </c>
      <c r="R851">
        <v>1</v>
      </c>
      <c r="S851">
        <v>0.25</v>
      </c>
      <c r="T851" t="s">
        <v>84</v>
      </c>
      <c r="U851" t="s">
        <v>61</v>
      </c>
      <c r="V851" t="s">
        <v>62</v>
      </c>
      <c r="W851" t="s">
        <v>62</v>
      </c>
      <c r="X851">
        <v>0</v>
      </c>
      <c r="Y851">
        <v>0</v>
      </c>
      <c r="Z851">
        <v>2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2</v>
      </c>
      <c r="AK851">
        <v>0</v>
      </c>
      <c r="AL851">
        <v>3</v>
      </c>
      <c r="AM851">
        <v>1</v>
      </c>
      <c r="AN851">
        <v>6</v>
      </c>
      <c r="AO851">
        <v>2</v>
      </c>
      <c r="AP851">
        <v>1</v>
      </c>
      <c r="AQ851">
        <v>0</v>
      </c>
      <c r="AR851" t="s">
        <v>672</v>
      </c>
      <c r="AS851" t="s">
        <v>64</v>
      </c>
      <c r="AT851">
        <v>0.68600000000000005</v>
      </c>
      <c r="AU851" t="s">
        <v>65</v>
      </c>
      <c r="AV851">
        <v>7</v>
      </c>
      <c r="AW851">
        <v>2</v>
      </c>
      <c r="AX851" t="s">
        <v>673</v>
      </c>
      <c r="AY851" t="s">
        <v>674</v>
      </c>
      <c r="AZ851" t="s">
        <v>675</v>
      </c>
      <c r="BA851">
        <v>6.8610000000000004E-2</v>
      </c>
      <c r="BB851">
        <v>1</v>
      </c>
      <c r="BC851" t="s">
        <v>69</v>
      </c>
      <c r="BD851">
        <v>-0.49199999999999999</v>
      </c>
      <c r="BE851">
        <v>-0.49199999999999999</v>
      </c>
    </row>
    <row r="852" spans="1:57">
      <c r="A852">
        <v>0</v>
      </c>
      <c r="B852">
        <v>0</v>
      </c>
      <c r="C852">
        <v>0</v>
      </c>
      <c r="D852">
        <v>280</v>
      </c>
      <c r="E852" t="s">
        <v>708</v>
      </c>
      <c r="F852" t="s">
        <v>5761</v>
      </c>
      <c r="G852" t="s">
        <v>62</v>
      </c>
      <c r="H852">
        <v>300528</v>
      </c>
      <c r="I852">
        <v>300656</v>
      </c>
      <c r="J852" t="s">
        <v>709</v>
      </c>
      <c r="K852">
        <v>43</v>
      </c>
      <c r="L852" t="s">
        <v>59</v>
      </c>
      <c r="M852">
        <v>5</v>
      </c>
      <c r="N852" t="str">
        <f>HYPERLINK("Gene280-zp_tree_all.dnd", "Gene280-tree")</f>
        <v>Gene280-tree</v>
      </c>
    </row>
    <row r="853" spans="1:57">
      <c r="A853">
        <v>0</v>
      </c>
      <c r="B853">
        <v>0</v>
      </c>
      <c r="C853">
        <v>0</v>
      </c>
      <c r="D853">
        <v>298</v>
      </c>
      <c r="E853" t="s">
        <v>729</v>
      </c>
      <c r="F853" t="s">
        <v>5761</v>
      </c>
      <c r="G853" t="s">
        <v>62</v>
      </c>
      <c r="H853">
        <v>320424</v>
      </c>
      <c r="I853">
        <v>320723</v>
      </c>
      <c r="J853" t="s">
        <v>730</v>
      </c>
      <c r="K853">
        <v>100</v>
      </c>
      <c r="L853" t="s">
        <v>83</v>
      </c>
      <c r="M853">
        <v>4</v>
      </c>
      <c r="N853" t="str">
        <f>HYPERLINK("Gene298-zp_tree_all.dnd", "Gene298-tree")</f>
        <v>Gene298-tree</v>
      </c>
    </row>
    <row r="854" spans="1:57">
      <c r="A854">
        <v>0</v>
      </c>
      <c r="B854">
        <v>0</v>
      </c>
      <c r="C854">
        <v>0</v>
      </c>
      <c r="D854">
        <v>308</v>
      </c>
      <c r="E854" t="s">
        <v>740</v>
      </c>
      <c r="F854" t="s">
        <v>5761</v>
      </c>
      <c r="G854" t="s">
        <v>62</v>
      </c>
      <c r="H854">
        <v>332444</v>
      </c>
      <c r="I854">
        <v>333979</v>
      </c>
      <c r="J854" t="s">
        <v>741</v>
      </c>
      <c r="K854">
        <v>512</v>
      </c>
      <c r="L854" t="s">
        <v>83</v>
      </c>
      <c r="M854">
        <v>4</v>
      </c>
      <c r="N854" t="str">
        <f>HYPERLINK("Gene308-zp_tree_all.dnd", "Gene308-tree")</f>
        <v>Gene308-tree</v>
      </c>
    </row>
    <row r="855" spans="1:57">
      <c r="A855">
        <v>0</v>
      </c>
      <c r="B855">
        <v>2</v>
      </c>
      <c r="C855">
        <v>0</v>
      </c>
      <c r="D855">
        <v>325</v>
      </c>
      <c r="E855" t="s">
        <v>761</v>
      </c>
      <c r="F855" t="s">
        <v>5761</v>
      </c>
      <c r="G855" t="s">
        <v>62</v>
      </c>
      <c r="H855">
        <v>349999</v>
      </c>
      <c r="I855">
        <v>350853</v>
      </c>
      <c r="J855" t="s">
        <v>118</v>
      </c>
      <c r="K855">
        <v>285</v>
      </c>
      <c r="L855" t="s">
        <v>59</v>
      </c>
      <c r="M855">
        <v>5</v>
      </c>
      <c r="N855" t="str">
        <f>HYPERLINK("Gene325-zp_tree_all.dnd", "Gene325-tree")</f>
        <v>Gene325-tree</v>
      </c>
      <c r="O855">
        <v>2</v>
      </c>
      <c r="P855">
        <v>3</v>
      </c>
      <c r="Q855">
        <v>2</v>
      </c>
      <c r="R855">
        <v>3</v>
      </c>
      <c r="S855">
        <v>0.6</v>
      </c>
      <c r="T855" t="s">
        <v>135</v>
      </c>
      <c r="U855" t="s">
        <v>84</v>
      </c>
      <c r="V855" t="s">
        <v>62</v>
      </c>
      <c r="W855" t="s">
        <v>62</v>
      </c>
      <c r="X855">
        <v>1</v>
      </c>
      <c r="Y855">
        <v>2</v>
      </c>
      <c r="Z855">
        <v>10</v>
      </c>
      <c r="AA855">
        <v>0.16667000000000001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7</v>
      </c>
      <c r="AK855">
        <v>0</v>
      </c>
      <c r="AL855">
        <v>5</v>
      </c>
      <c r="AM855">
        <v>2</v>
      </c>
      <c r="AN855">
        <v>38</v>
      </c>
      <c r="AO855">
        <v>7</v>
      </c>
      <c r="AP855">
        <v>22</v>
      </c>
      <c r="AQ855">
        <v>5</v>
      </c>
      <c r="AR855" t="s">
        <v>762</v>
      </c>
      <c r="AS855" t="s">
        <v>763</v>
      </c>
      <c r="AT855">
        <v>0.14199999999999999</v>
      </c>
      <c r="AU855" t="s">
        <v>65</v>
      </c>
      <c r="AV855">
        <v>60</v>
      </c>
      <c r="AW855">
        <v>12</v>
      </c>
      <c r="AX855" t="s">
        <v>764</v>
      </c>
      <c r="AY855" t="s">
        <v>765</v>
      </c>
      <c r="AZ855" t="s">
        <v>766</v>
      </c>
      <c r="BA855">
        <v>5.0689999999999999E-2</v>
      </c>
      <c r="BB855">
        <v>1</v>
      </c>
      <c r="BC855" t="s">
        <v>69</v>
      </c>
      <c r="BD855">
        <v>0.19600000000000001</v>
      </c>
      <c r="BE855">
        <v>7.5999999999999998E-2</v>
      </c>
    </row>
    <row r="856" spans="1:57">
      <c r="A856">
        <v>0</v>
      </c>
      <c r="B856">
        <v>0</v>
      </c>
      <c r="C856">
        <v>0</v>
      </c>
      <c r="D856">
        <v>330</v>
      </c>
      <c r="E856" t="s">
        <v>767</v>
      </c>
      <c r="F856" t="s">
        <v>5761</v>
      </c>
      <c r="G856" t="s">
        <v>62</v>
      </c>
      <c r="H856">
        <v>355415</v>
      </c>
      <c r="I856">
        <v>355732</v>
      </c>
      <c r="J856" t="s">
        <v>768</v>
      </c>
      <c r="K856">
        <v>106</v>
      </c>
      <c r="L856" t="s">
        <v>59</v>
      </c>
      <c r="M856">
        <v>5</v>
      </c>
      <c r="N856" t="str">
        <f>HYPERLINK("Gene330-zp_tree_all.dnd", "Gene330-tree")</f>
        <v>Gene330-tree</v>
      </c>
      <c r="O856">
        <v>4</v>
      </c>
      <c r="P856">
        <v>1</v>
      </c>
      <c r="Q856">
        <v>4</v>
      </c>
      <c r="R856">
        <v>1</v>
      </c>
      <c r="S856">
        <v>0.2</v>
      </c>
      <c r="T856" t="s">
        <v>60</v>
      </c>
      <c r="U856" t="s">
        <v>61</v>
      </c>
      <c r="V856" t="s">
        <v>62</v>
      </c>
      <c r="W856" t="s">
        <v>62</v>
      </c>
      <c r="X856">
        <v>0</v>
      </c>
      <c r="Y856">
        <v>0</v>
      </c>
      <c r="Z856">
        <v>3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1</v>
      </c>
      <c r="AK856">
        <v>0</v>
      </c>
      <c r="AL856">
        <v>5</v>
      </c>
      <c r="AM856">
        <v>2</v>
      </c>
      <c r="AN856">
        <v>7</v>
      </c>
      <c r="AO856">
        <v>1</v>
      </c>
      <c r="AP856">
        <v>7</v>
      </c>
      <c r="AQ856">
        <v>2</v>
      </c>
      <c r="AR856" t="s">
        <v>769</v>
      </c>
      <c r="AS856" t="s">
        <v>770</v>
      </c>
      <c r="AT856">
        <v>0.39200000000000002</v>
      </c>
      <c r="AU856" t="s">
        <v>65</v>
      </c>
      <c r="AV856">
        <v>14</v>
      </c>
      <c r="AW856">
        <v>3</v>
      </c>
      <c r="AX856" t="s">
        <v>771</v>
      </c>
      <c r="AY856" t="s">
        <v>772</v>
      </c>
      <c r="AZ856" t="s">
        <v>773</v>
      </c>
      <c r="BA856">
        <v>5.9659999999999998E-2</v>
      </c>
      <c r="BB856">
        <v>1</v>
      </c>
      <c r="BC856" t="s">
        <v>69</v>
      </c>
      <c r="BD856">
        <v>0.39600000000000002</v>
      </c>
      <c r="BE856">
        <v>0.39600000000000002</v>
      </c>
    </row>
    <row r="857" spans="1:57">
      <c r="A857">
        <v>0</v>
      </c>
      <c r="B857">
        <v>6</v>
      </c>
      <c r="C857">
        <v>1</v>
      </c>
      <c r="D857">
        <v>331</v>
      </c>
      <c r="E857" t="s">
        <v>774</v>
      </c>
      <c r="F857" t="s">
        <v>5761</v>
      </c>
      <c r="G857" t="s">
        <v>62</v>
      </c>
      <c r="H857">
        <v>355767</v>
      </c>
      <c r="I857">
        <v>358181</v>
      </c>
      <c r="J857" t="s">
        <v>768</v>
      </c>
      <c r="K857">
        <v>805</v>
      </c>
      <c r="L857" t="s">
        <v>112</v>
      </c>
      <c r="M857">
        <v>4</v>
      </c>
      <c r="N857" t="str">
        <f>HYPERLINK("Gene331-zp_tree_all.dnd", "Gene331-tree")</f>
        <v>Gene331-tree</v>
      </c>
      <c r="O857">
        <v>0</v>
      </c>
      <c r="P857">
        <v>4</v>
      </c>
      <c r="Q857">
        <v>0</v>
      </c>
      <c r="R857">
        <v>4</v>
      </c>
      <c r="S857">
        <v>1</v>
      </c>
      <c r="T857" t="s">
        <v>62</v>
      </c>
      <c r="U857" t="s">
        <v>60</v>
      </c>
      <c r="V857" t="s">
        <v>62</v>
      </c>
      <c r="W857" t="s">
        <v>62</v>
      </c>
      <c r="X857">
        <v>3</v>
      </c>
      <c r="Y857">
        <v>7</v>
      </c>
      <c r="Z857">
        <v>17</v>
      </c>
      <c r="AA857">
        <v>0.29166999999999998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2</v>
      </c>
      <c r="AH857">
        <v>3</v>
      </c>
      <c r="AI857">
        <v>5</v>
      </c>
      <c r="AJ857">
        <v>17</v>
      </c>
      <c r="AK857">
        <v>0.22727</v>
      </c>
      <c r="AL857">
        <v>4</v>
      </c>
      <c r="AM857">
        <v>1</v>
      </c>
      <c r="AN857">
        <v>138</v>
      </c>
      <c r="AO857">
        <v>22</v>
      </c>
      <c r="AP857">
        <v>10</v>
      </c>
      <c r="AQ857">
        <v>2</v>
      </c>
      <c r="AR857" t="s">
        <v>775</v>
      </c>
      <c r="AS857" t="s">
        <v>776</v>
      </c>
      <c r="AT857">
        <v>0.61399999999999999</v>
      </c>
      <c r="AU857" t="s">
        <v>65</v>
      </c>
      <c r="AV857">
        <v>148</v>
      </c>
      <c r="AW857">
        <v>24</v>
      </c>
      <c r="AX857" t="s">
        <v>777</v>
      </c>
      <c r="AY857" t="s">
        <v>778</v>
      </c>
      <c r="AZ857" t="s">
        <v>779</v>
      </c>
      <c r="BA857">
        <v>4.1509999999999998E-2</v>
      </c>
      <c r="BB857">
        <v>1</v>
      </c>
      <c r="BC857" t="s">
        <v>69</v>
      </c>
      <c r="BD857">
        <v>-0.17100000000000001</v>
      </c>
      <c r="BE857">
        <v>-0.66700000000000004</v>
      </c>
    </row>
    <row r="858" spans="1:57">
      <c r="A858">
        <v>0</v>
      </c>
      <c r="B858">
        <v>0</v>
      </c>
      <c r="C858">
        <v>0</v>
      </c>
      <c r="D858">
        <v>361</v>
      </c>
      <c r="E858" t="s">
        <v>794</v>
      </c>
      <c r="F858" t="s">
        <v>5761</v>
      </c>
      <c r="G858" t="s">
        <v>62</v>
      </c>
      <c r="H858">
        <v>408243</v>
      </c>
      <c r="I858">
        <v>408887</v>
      </c>
      <c r="J858" t="s">
        <v>795</v>
      </c>
      <c r="K858">
        <v>215</v>
      </c>
      <c r="L858" t="s">
        <v>83</v>
      </c>
      <c r="M858">
        <v>4</v>
      </c>
      <c r="N858" t="str">
        <f>HYPERLINK("Gene361-zp_tree_all.dnd", "Gene361-tree")</f>
        <v>Gene361-tree</v>
      </c>
      <c r="O858">
        <v>2</v>
      </c>
      <c r="P858">
        <v>2</v>
      </c>
      <c r="Q858">
        <v>2</v>
      </c>
      <c r="R858">
        <v>2</v>
      </c>
      <c r="S858">
        <v>0.5</v>
      </c>
      <c r="T858" t="s">
        <v>135</v>
      </c>
      <c r="U858" t="s">
        <v>135</v>
      </c>
      <c r="V858" t="s">
        <v>62</v>
      </c>
      <c r="W858" t="s">
        <v>62</v>
      </c>
      <c r="X858">
        <v>0</v>
      </c>
      <c r="Y858">
        <v>0</v>
      </c>
      <c r="Z858">
        <v>8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8</v>
      </c>
      <c r="AK858">
        <v>0</v>
      </c>
      <c r="AL858">
        <v>4</v>
      </c>
      <c r="AM858">
        <v>1</v>
      </c>
      <c r="AN858">
        <v>25</v>
      </c>
      <c r="AO858">
        <v>8</v>
      </c>
      <c r="AP858">
        <v>1</v>
      </c>
      <c r="AQ858">
        <v>0</v>
      </c>
      <c r="AR858" t="s">
        <v>796</v>
      </c>
      <c r="AS858" t="s">
        <v>64</v>
      </c>
      <c r="AT858">
        <v>0.94499999999999995</v>
      </c>
      <c r="AU858" t="s">
        <v>65</v>
      </c>
      <c r="AV858">
        <v>26</v>
      </c>
      <c r="AW858">
        <v>8</v>
      </c>
      <c r="AX858" t="s">
        <v>797</v>
      </c>
      <c r="AY858" t="s">
        <v>798</v>
      </c>
      <c r="AZ858" t="s">
        <v>799</v>
      </c>
      <c r="BA858">
        <v>0.10077</v>
      </c>
      <c r="BB858">
        <v>1</v>
      </c>
      <c r="BC858" t="s">
        <v>69</v>
      </c>
      <c r="BD858">
        <v>-0.57499999999999996</v>
      </c>
      <c r="BE858">
        <v>-0.86299999999999999</v>
      </c>
    </row>
    <row r="859" spans="1:57">
      <c r="A859">
        <v>0</v>
      </c>
      <c r="B859">
        <v>0</v>
      </c>
      <c r="C859">
        <v>0</v>
      </c>
      <c r="D859">
        <v>362</v>
      </c>
      <c r="E859" t="s">
        <v>800</v>
      </c>
      <c r="F859" t="s">
        <v>5761</v>
      </c>
      <c r="G859" t="s">
        <v>62</v>
      </c>
      <c r="H859">
        <v>409211</v>
      </c>
      <c r="I859">
        <v>409951</v>
      </c>
      <c r="J859" t="s">
        <v>801</v>
      </c>
      <c r="K859">
        <v>247</v>
      </c>
      <c r="L859" t="s">
        <v>59</v>
      </c>
      <c r="M859">
        <v>5</v>
      </c>
      <c r="N859" t="str">
        <f>HYPERLINK("Gene362-zp_tree_all.dnd", "Gene362-tree")</f>
        <v>Gene362-tree</v>
      </c>
      <c r="O859">
        <v>2</v>
      </c>
      <c r="P859">
        <v>3</v>
      </c>
      <c r="Q859">
        <v>2</v>
      </c>
      <c r="R859">
        <v>3</v>
      </c>
      <c r="S859">
        <v>0.6</v>
      </c>
      <c r="T859" t="s">
        <v>135</v>
      </c>
      <c r="U859" t="s">
        <v>84</v>
      </c>
      <c r="V859" t="s">
        <v>62</v>
      </c>
      <c r="W859" t="s">
        <v>62</v>
      </c>
      <c r="X859">
        <v>0</v>
      </c>
      <c r="Y859">
        <v>0</v>
      </c>
      <c r="Z859">
        <v>8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6</v>
      </c>
      <c r="AK859">
        <v>0</v>
      </c>
      <c r="AL859">
        <v>5</v>
      </c>
      <c r="AM859">
        <v>2</v>
      </c>
      <c r="AN859">
        <v>26</v>
      </c>
      <c r="AO859">
        <v>6</v>
      </c>
      <c r="AP859">
        <v>20</v>
      </c>
      <c r="AQ859">
        <v>2</v>
      </c>
      <c r="AR859" t="s">
        <v>802</v>
      </c>
      <c r="AS859" t="s">
        <v>803</v>
      </c>
      <c r="AT859">
        <v>0.77900000000000003</v>
      </c>
      <c r="AU859" t="s">
        <v>65</v>
      </c>
      <c r="AV859">
        <v>46</v>
      </c>
      <c r="AW859">
        <v>8</v>
      </c>
      <c r="AX859" t="s">
        <v>804</v>
      </c>
      <c r="AY859" t="s">
        <v>805</v>
      </c>
      <c r="AZ859" t="s">
        <v>806</v>
      </c>
      <c r="BA859">
        <v>4.3389999999999998E-2</v>
      </c>
      <c r="BB859">
        <v>1</v>
      </c>
      <c r="BC859" t="s">
        <v>69</v>
      </c>
      <c r="BD859">
        <v>0.13300000000000001</v>
      </c>
      <c r="BE859">
        <v>1.2E-2</v>
      </c>
    </row>
    <row r="860" spans="1:57">
      <c r="A860">
        <v>0</v>
      </c>
      <c r="B860">
        <v>2</v>
      </c>
      <c r="C860">
        <v>0</v>
      </c>
      <c r="D860">
        <v>363</v>
      </c>
      <c r="E860" t="s">
        <v>807</v>
      </c>
      <c r="F860" t="s">
        <v>5761</v>
      </c>
      <c r="G860" t="s">
        <v>62</v>
      </c>
      <c r="H860">
        <v>409968</v>
      </c>
      <c r="I860">
        <v>410669</v>
      </c>
      <c r="J860" t="s">
        <v>808</v>
      </c>
      <c r="K860">
        <v>234</v>
      </c>
      <c r="L860" t="s">
        <v>59</v>
      </c>
      <c r="M860">
        <v>5</v>
      </c>
      <c r="N860" t="str">
        <f>HYPERLINK("Gene363-zp_tree_all.dnd", "Gene363-tree")</f>
        <v>Gene363-tree</v>
      </c>
      <c r="O860">
        <v>3</v>
      </c>
      <c r="P860">
        <v>2</v>
      </c>
      <c r="Q860">
        <v>3</v>
      </c>
      <c r="R860">
        <v>2</v>
      </c>
      <c r="S860">
        <v>0.4</v>
      </c>
      <c r="T860" t="s">
        <v>84</v>
      </c>
      <c r="U860" t="s">
        <v>135</v>
      </c>
      <c r="V860" t="s">
        <v>62</v>
      </c>
      <c r="W860" t="s">
        <v>62</v>
      </c>
      <c r="X860">
        <v>1</v>
      </c>
      <c r="Y860">
        <v>2</v>
      </c>
      <c r="Z860">
        <v>3</v>
      </c>
      <c r="AA860">
        <v>0.4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3</v>
      </c>
      <c r="AK860">
        <v>0</v>
      </c>
      <c r="AL860">
        <v>4</v>
      </c>
      <c r="AM860">
        <v>2</v>
      </c>
      <c r="AN860">
        <v>9</v>
      </c>
      <c r="AO860">
        <v>3</v>
      </c>
      <c r="AP860">
        <v>10</v>
      </c>
      <c r="AQ860">
        <v>2</v>
      </c>
      <c r="AR860" t="s">
        <v>809</v>
      </c>
      <c r="AS860" t="s">
        <v>810</v>
      </c>
      <c r="AT860">
        <v>0.56499999999999995</v>
      </c>
      <c r="AU860" t="s">
        <v>65</v>
      </c>
      <c r="AV860">
        <v>19</v>
      </c>
      <c r="AW860">
        <v>5</v>
      </c>
      <c r="AX860" t="s">
        <v>811</v>
      </c>
      <c r="AY860" t="s">
        <v>812</v>
      </c>
      <c r="AZ860" t="s">
        <v>813</v>
      </c>
      <c r="BA860">
        <v>6.9269999999999998E-2</v>
      </c>
      <c r="BB860">
        <v>1</v>
      </c>
      <c r="BC860" t="s">
        <v>69</v>
      </c>
      <c r="BD860">
        <v>0.52</v>
      </c>
      <c r="BE860">
        <v>0.16900000000000001</v>
      </c>
    </row>
    <row r="861" spans="1:57">
      <c r="A861">
        <v>0</v>
      </c>
      <c r="B861">
        <v>4</v>
      </c>
      <c r="C861">
        <v>2</v>
      </c>
      <c r="D861">
        <v>391</v>
      </c>
      <c r="E861" t="s">
        <v>849</v>
      </c>
      <c r="F861" t="s">
        <v>5761</v>
      </c>
      <c r="G861" t="s">
        <v>62</v>
      </c>
      <c r="H861">
        <v>437477</v>
      </c>
      <c r="I861">
        <v>438352</v>
      </c>
      <c r="J861" t="s">
        <v>850</v>
      </c>
      <c r="K861">
        <v>292</v>
      </c>
      <c r="L861" t="s">
        <v>59</v>
      </c>
      <c r="M861">
        <v>5</v>
      </c>
      <c r="N861" t="str">
        <f>HYPERLINK("Gene391-zp_tree_all.dnd", "Gene391-tree")</f>
        <v>Gene391-tree</v>
      </c>
      <c r="O861">
        <v>0</v>
      </c>
      <c r="P861">
        <v>5</v>
      </c>
      <c r="Q861">
        <v>0</v>
      </c>
      <c r="R861">
        <v>5</v>
      </c>
      <c r="S861">
        <v>1</v>
      </c>
      <c r="T861" t="s">
        <v>62</v>
      </c>
      <c r="U861" t="s">
        <v>98</v>
      </c>
      <c r="V861" t="s">
        <v>62</v>
      </c>
      <c r="W861" t="s">
        <v>62</v>
      </c>
      <c r="X861">
        <v>3</v>
      </c>
      <c r="Y861">
        <v>6</v>
      </c>
      <c r="Z861">
        <v>10</v>
      </c>
      <c r="AA861">
        <v>0.375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2</v>
      </c>
      <c r="AH861">
        <v>0</v>
      </c>
      <c r="AI861">
        <v>2</v>
      </c>
      <c r="AJ861">
        <v>10</v>
      </c>
      <c r="AK861">
        <v>0.16667000000000001</v>
      </c>
      <c r="AL861">
        <v>5</v>
      </c>
      <c r="AM861">
        <v>2</v>
      </c>
      <c r="AN861">
        <v>30</v>
      </c>
      <c r="AO861">
        <v>12</v>
      </c>
      <c r="AP861">
        <v>22</v>
      </c>
      <c r="AQ861">
        <v>4</v>
      </c>
      <c r="AR861" t="s">
        <v>851</v>
      </c>
      <c r="AS861" t="s">
        <v>852</v>
      </c>
      <c r="AT861">
        <v>1.339</v>
      </c>
      <c r="AU861" t="s">
        <v>65</v>
      </c>
      <c r="AV861">
        <v>52</v>
      </c>
      <c r="AW861">
        <v>16</v>
      </c>
      <c r="AX861" t="s">
        <v>853</v>
      </c>
      <c r="AY861" t="s">
        <v>854</v>
      </c>
      <c r="AZ861" t="s">
        <v>855</v>
      </c>
      <c r="BA861">
        <v>7.0449999999999999E-2</v>
      </c>
      <c r="BB861">
        <v>1</v>
      </c>
      <c r="BC861" t="s">
        <v>69</v>
      </c>
      <c r="BD861">
        <v>0.315</v>
      </c>
      <c r="BE861">
        <v>-0.315</v>
      </c>
    </row>
    <row r="862" spans="1:57">
      <c r="A862">
        <v>0</v>
      </c>
      <c r="B862">
        <v>0</v>
      </c>
      <c r="C862">
        <v>0</v>
      </c>
      <c r="D862">
        <v>393</v>
      </c>
      <c r="E862" t="s">
        <v>856</v>
      </c>
      <c r="F862" t="s">
        <v>5761</v>
      </c>
      <c r="G862" t="s">
        <v>62</v>
      </c>
      <c r="H862">
        <v>439285</v>
      </c>
      <c r="I862">
        <v>439569</v>
      </c>
      <c r="J862" t="s">
        <v>857</v>
      </c>
      <c r="K862">
        <v>95</v>
      </c>
      <c r="L862" t="s">
        <v>59</v>
      </c>
      <c r="M862">
        <v>5</v>
      </c>
      <c r="N862" t="str">
        <f>HYPERLINK("Gene393-zp_tree_all.dnd", "Gene393-tree")</f>
        <v>Gene393-tree</v>
      </c>
      <c r="O862">
        <v>4</v>
      </c>
      <c r="P862">
        <v>1</v>
      </c>
      <c r="Q862">
        <v>3</v>
      </c>
      <c r="R862">
        <v>1</v>
      </c>
      <c r="S862">
        <v>0.25</v>
      </c>
      <c r="T862" t="s">
        <v>119</v>
      </c>
      <c r="U862" t="s">
        <v>61</v>
      </c>
      <c r="V862" t="s">
        <v>62</v>
      </c>
      <c r="W862" t="s">
        <v>62</v>
      </c>
      <c r="X862">
        <v>0</v>
      </c>
      <c r="Y862">
        <v>0</v>
      </c>
      <c r="Z862">
        <v>2</v>
      </c>
      <c r="AA862">
        <v>0</v>
      </c>
      <c r="AB862">
        <v>0</v>
      </c>
      <c r="AC862">
        <v>0</v>
      </c>
      <c r="AD862">
        <v>0</v>
      </c>
      <c r="AE862">
        <v>1</v>
      </c>
      <c r="AF862">
        <v>0</v>
      </c>
      <c r="AG862">
        <v>0</v>
      </c>
      <c r="AH862">
        <v>0</v>
      </c>
      <c r="AI862">
        <v>0</v>
      </c>
      <c r="AJ862">
        <v>1</v>
      </c>
      <c r="AK862">
        <v>0</v>
      </c>
      <c r="AL862">
        <v>3</v>
      </c>
      <c r="AM862">
        <v>1</v>
      </c>
      <c r="AN862">
        <v>5</v>
      </c>
      <c r="AO862">
        <v>1</v>
      </c>
      <c r="AP862">
        <v>8</v>
      </c>
      <c r="AQ862">
        <v>1</v>
      </c>
      <c r="AR862" t="s">
        <v>858</v>
      </c>
      <c r="AS862" t="s">
        <v>859</v>
      </c>
      <c r="AT862">
        <v>0.311</v>
      </c>
      <c r="AU862" t="s">
        <v>65</v>
      </c>
      <c r="AV862">
        <v>13</v>
      </c>
      <c r="AW862">
        <v>2</v>
      </c>
      <c r="AX862" t="s">
        <v>860</v>
      </c>
      <c r="AY862" t="s">
        <v>861</v>
      </c>
      <c r="AZ862" t="s">
        <v>862</v>
      </c>
      <c r="BA862">
        <v>3.4810000000000001E-2</v>
      </c>
      <c r="BB862">
        <v>1</v>
      </c>
      <c r="BC862" t="s">
        <v>69</v>
      </c>
      <c r="BD862">
        <v>0.81200000000000006</v>
      </c>
      <c r="BE862">
        <v>0.81200000000000006</v>
      </c>
    </row>
    <row r="863" spans="1:57">
      <c r="A863">
        <v>0</v>
      </c>
      <c r="B863">
        <v>0</v>
      </c>
      <c r="C863">
        <v>0</v>
      </c>
      <c r="D863">
        <v>421</v>
      </c>
      <c r="E863" t="s">
        <v>870</v>
      </c>
      <c r="F863" t="s">
        <v>5761</v>
      </c>
      <c r="G863" t="s">
        <v>62</v>
      </c>
      <c r="H863">
        <v>463499</v>
      </c>
      <c r="I863">
        <v>463783</v>
      </c>
      <c r="J863" t="s">
        <v>118</v>
      </c>
      <c r="K863">
        <v>95</v>
      </c>
      <c r="L863" t="s">
        <v>59</v>
      </c>
      <c r="M863">
        <v>5</v>
      </c>
      <c r="N863" t="str">
        <f>HYPERLINK("Gene421-zp_tree_all.dnd", "Gene421-tree")</f>
        <v>Gene421-tree</v>
      </c>
      <c r="O863">
        <v>4</v>
      </c>
      <c r="P863">
        <v>1</v>
      </c>
      <c r="Q863">
        <v>4</v>
      </c>
      <c r="R863">
        <v>1</v>
      </c>
      <c r="S863">
        <v>0.2</v>
      </c>
      <c r="T863" t="s">
        <v>60</v>
      </c>
      <c r="U863" t="s">
        <v>61</v>
      </c>
      <c r="V863" t="s">
        <v>62</v>
      </c>
      <c r="W863" t="s">
        <v>62</v>
      </c>
      <c r="X863">
        <v>0</v>
      </c>
      <c r="Y863">
        <v>0</v>
      </c>
      <c r="Z863">
        <v>2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1</v>
      </c>
      <c r="AK863">
        <v>0</v>
      </c>
      <c r="AL863">
        <v>4</v>
      </c>
      <c r="AM863">
        <v>2</v>
      </c>
      <c r="AN863">
        <v>8</v>
      </c>
      <c r="AO863">
        <v>1</v>
      </c>
      <c r="AP863">
        <v>5</v>
      </c>
      <c r="AQ863">
        <v>1</v>
      </c>
      <c r="AR863" t="s">
        <v>871</v>
      </c>
      <c r="AS863" t="s">
        <v>872</v>
      </c>
      <c r="AT863">
        <v>0.246</v>
      </c>
      <c r="AU863" t="s">
        <v>65</v>
      </c>
      <c r="AV863">
        <v>13</v>
      </c>
      <c r="AW863">
        <v>2</v>
      </c>
      <c r="AX863" t="s">
        <v>873</v>
      </c>
      <c r="AY863" t="s">
        <v>874</v>
      </c>
      <c r="AZ863" t="s">
        <v>875</v>
      </c>
      <c r="BA863">
        <v>3.9910000000000001E-2</v>
      </c>
      <c r="BB863">
        <v>1</v>
      </c>
      <c r="BC863" t="s">
        <v>69</v>
      </c>
      <c r="BD863">
        <v>0</v>
      </c>
      <c r="BE863">
        <v>0</v>
      </c>
    </row>
    <row r="864" spans="1:57">
      <c r="A864">
        <v>0</v>
      </c>
      <c r="B864">
        <v>0</v>
      </c>
      <c r="C864">
        <v>0</v>
      </c>
      <c r="D864">
        <v>432</v>
      </c>
      <c r="E864" t="s">
        <v>882</v>
      </c>
      <c r="F864" t="s">
        <v>5761</v>
      </c>
      <c r="G864" t="s">
        <v>62</v>
      </c>
      <c r="H864">
        <v>475587</v>
      </c>
      <c r="I864">
        <v>475874</v>
      </c>
      <c r="J864" t="s">
        <v>118</v>
      </c>
      <c r="K864">
        <v>96</v>
      </c>
      <c r="L864" t="s">
        <v>83</v>
      </c>
      <c r="M864">
        <v>4</v>
      </c>
      <c r="N864" t="str">
        <f>HYPERLINK("Gene432-zp_tree_all.dnd", "Gene432-tree")</f>
        <v>Gene432-tree</v>
      </c>
      <c r="O864">
        <v>1</v>
      </c>
      <c r="P864">
        <v>3</v>
      </c>
      <c r="Q864">
        <v>1</v>
      </c>
      <c r="R864">
        <v>3</v>
      </c>
      <c r="S864">
        <v>0.75</v>
      </c>
      <c r="T864" t="s">
        <v>61</v>
      </c>
      <c r="U864" t="s">
        <v>84</v>
      </c>
      <c r="V864" t="s">
        <v>62</v>
      </c>
      <c r="W864" t="s">
        <v>62</v>
      </c>
      <c r="X864">
        <v>0</v>
      </c>
      <c r="Y864">
        <v>0</v>
      </c>
      <c r="Z864">
        <v>4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4</v>
      </c>
      <c r="AK864">
        <v>0</v>
      </c>
      <c r="AL864">
        <v>4</v>
      </c>
      <c r="AM864">
        <v>1</v>
      </c>
      <c r="AN864">
        <v>7</v>
      </c>
      <c r="AO864">
        <v>4</v>
      </c>
      <c r="AP864">
        <v>4</v>
      </c>
      <c r="AQ864">
        <v>0</v>
      </c>
      <c r="AR864" t="s">
        <v>883</v>
      </c>
      <c r="AS864" t="s">
        <v>64</v>
      </c>
      <c r="AT864">
        <v>1.6240000000000001</v>
      </c>
      <c r="AU864" t="s">
        <v>65</v>
      </c>
      <c r="AV864">
        <v>11</v>
      </c>
      <c r="AW864">
        <v>4</v>
      </c>
      <c r="AX864" t="s">
        <v>884</v>
      </c>
      <c r="AY864" t="s">
        <v>885</v>
      </c>
      <c r="AZ864" t="s">
        <v>886</v>
      </c>
      <c r="BA864">
        <v>0.10324</v>
      </c>
      <c r="BB864">
        <v>1</v>
      </c>
      <c r="BC864" t="s">
        <v>69</v>
      </c>
      <c r="BD864">
        <v>-1.9E-2</v>
      </c>
      <c r="BE864">
        <v>-1.9E-2</v>
      </c>
    </row>
    <row r="865" spans="1:57">
      <c r="A865">
        <v>0</v>
      </c>
      <c r="B865">
        <v>0</v>
      </c>
      <c r="C865">
        <v>2</v>
      </c>
      <c r="D865">
        <v>461</v>
      </c>
      <c r="E865" t="s">
        <v>916</v>
      </c>
      <c r="F865" t="s">
        <v>5761</v>
      </c>
      <c r="G865" t="s">
        <v>62</v>
      </c>
      <c r="H865">
        <v>506325</v>
      </c>
      <c r="I865">
        <v>506501</v>
      </c>
      <c r="J865" t="s">
        <v>917</v>
      </c>
      <c r="K865">
        <v>59</v>
      </c>
      <c r="L865" t="s">
        <v>59</v>
      </c>
      <c r="M865">
        <v>5</v>
      </c>
      <c r="N865" t="str">
        <f>HYPERLINK("Gene461-zp_tree_all.dnd", "Gene461-tree")</f>
        <v>Gene461-tree</v>
      </c>
      <c r="O865">
        <v>1</v>
      </c>
      <c r="P865">
        <v>4</v>
      </c>
      <c r="Q865">
        <v>1</v>
      </c>
      <c r="R865">
        <v>4</v>
      </c>
      <c r="S865">
        <v>0.8</v>
      </c>
      <c r="T865" t="s">
        <v>61</v>
      </c>
      <c r="U865" t="s">
        <v>60</v>
      </c>
      <c r="V865" t="s">
        <v>62</v>
      </c>
      <c r="W865" t="s">
        <v>62</v>
      </c>
      <c r="X865">
        <v>1</v>
      </c>
      <c r="Y865">
        <v>2</v>
      </c>
      <c r="Z865">
        <v>5</v>
      </c>
      <c r="AA865">
        <v>0.28571000000000002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2</v>
      </c>
      <c r="AI865">
        <v>2</v>
      </c>
      <c r="AJ865">
        <v>5</v>
      </c>
      <c r="AK865">
        <v>0.28571000000000002</v>
      </c>
      <c r="AL865">
        <v>4</v>
      </c>
      <c r="AM865">
        <v>2</v>
      </c>
      <c r="AN865">
        <v>3</v>
      </c>
      <c r="AO865">
        <v>7</v>
      </c>
      <c r="AP865">
        <v>3</v>
      </c>
      <c r="AQ865">
        <v>0</v>
      </c>
      <c r="AR865" t="s">
        <v>918</v>
      </c>
      <c r="AS865" t="s">
        <v>64</v>
      </c>
      <c r="AT865">
        <v>2.2309999999999999</v>
      </c>
      <c r="AU865" t="s">
        <v>286</v>
      </c>
      <c r="AV865">
        <v>6</v>
      </c>
      <c r="AW865">
        <v>7</v>
      </c>
      <c r="AX865" t="s">
        <v>919</v>
      </c>
      <c r="AY865" t="s">
        <v>920</v>
      </c>
      <c r="AZ865" t="s">
        <v>921</v>
      </c>
      <c r="BA865">
        <v>0.26107999999999998</v>
      </c>
      <c r="BB865">
        <v>0.95699999999999996</v>
      </c>
      <c r="BC865" t="s">
        <v>69</v>
      </c>
      <c r="BD865">
        <v>-0.45200000000000001</v>
      </c>
      <c r="BE865">
        <v>-0.45200000000000001</v>
      </c>
    </row>
    <row r="866" spans="1:57">
      <c r="A866">
        <v>0</v>
      </c>
      <c r="B866">
        <v>0</v>
      </c>
      <c r="C866">
        <v>0</v>
      </c>
      <c r="D866">
        <v>462</v>
      </c>
      <c r="E866" t="s">
        <v>922</v>
      </c>
      <c r="F866" t="s">
        <v>5761</v>
      </c>
      <c r="G866" t="s">
        <v>62</v>
      </c>
      <c r="H866">
        <v>506458</v>
      </c>
      <c r="I866">
        <v>506619</v>
      </c>
      <c r="J866" t="s">
        <v>917</v>
      </c>
      <c r="K866">
        <v>54</v>
      </c>
      <c r="L866" t="s">
        <v>59</v>
      </c>
      <c r="M866">
        <v>5</v>
      </c>
      <c r="N866" t="str">
        <f>HYPERLINK("Gene462-zp_tree_all.dnd", "Gene462-tree")</f>
        <v>Gene462-tree</v>
      </c>
      <c r="O866">
        <v>3</v>
      </c>
      <c r="P866">
        <v>2</v>
      </c>
      <c r="Q866">
        <v>3</v>
      </c>
      <c r="R866">
        <v>2</v>
      </c>
      <c r="S866">
        <v>0.4</v>
      </c>
      <c r="T866" t="s">
        <v>84</v>
      </c>
      <c r="U866" t="s">
        <v>135</v>
      </c>
      <c r="V866" t="s">
        <v>62</v>
      </c>
      <c r="W866" t="s">
        <v>62</v>
      </c>
      <c r="X866">
        <v>0</v>
      </c>
      <c r="Y866">
        <v>0</v>
      </c>
      <c r="Z866">
        <v>3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3</v>
      </c>
      <c r="AK866">
        <v>0</v>
      </c>
      <c r="AL866">
        <v>4</v>
      </c>
      <c r="AM866">
        <v>1</v>
      </c>
      <c r="AN866">
        <v>2</v>
      </c>
      <c r="AO866">
        <v>3</v>
      </c>
      <c r="AP866">
        <v>2</v>
      </c>
      <c r="AQ866">
        <v>0</v>
      </c>
      <c r="AR866" t="s">
        <v>923</v>
      </c>
      <c r="AS866" t="s">
        <v>64</v>
      </c>
      <c r="AT866">
        <v>0.89900000000000002</v>
      </c>
      <c r="AU866" t="s">
        <v>65</v>
      </c>
      <c r="AV866">
        <v>4</v>
      </c>
      <c r="AW866">
        <v>3</v>
      </c>
      <c r="AX866" t="s">
        <v>924</v>
      </c>
      <c r="AY866" t="s">
        <v>925</v>
      </c>
      <c r="AZ866" t="s">
        <v>926</v>
      </c>
      <c r="BA866">
        <v>0.19172</v>
      </c>
      <c r="BB866">
        <v>0.94</v>
      </c>
      <c r="BC866" t="s">
        <v>793</v>
      </c>
      <c r="BD866">
        <v>4.8000000000000001E-2</v>
      </c>
      <c r="BE866">
        <v>-1.1459999999999999</v>
      </c>
    </row>
    <row r="867" spans="1:57">
      <c r="A867">
        <v>0</v>
      </c>
      <c r="B867">
        <v>0</v>
      </c>
      <c r="C867">
        <v>0</v>
      </c>
      <c r="D867">
        <v>464</v>
      </c>
      <c r="E867" t="s">
        <v>927</v>
      </c>
      <c r="F867" t="s">
        <v>5761</v>
      </c>
      <c r="G867" t="s">
        <v>62</v>
      </c>
      <c r="H867">
        <v>507756</v>
      </c>
      <c r="I867">
        <v>508073</v>
      </c>
      <c r="J867" t="s">
        <v>928</v>
      </c>
      <c r="K867">
        <v>106</v>
      </c>
      <c r="L867" t="s">
        <v>59</v>
      </c>
      <c r="M867">
        <v>5</v>
      </c>
      <c r="N867" t="str">
        <f>HYPERLINK("Gene464-zp_tree_all.dnd", "Gene464-tree")</f>
        <v>Gene464-tree</v>
      </c>
      <c r="O867">
        <v>5</v>
      </c>
      <c r="P867">
        <v>0</v>
      </c>
      <c r="Q867">
        <v>5</v>
      </c>
      <c r="R867">
        <v>0</v>
      </c>
      <c r="S867">
        <v>0</v>
      </c>
      <c r="T867" t="s">
        <v>98</v>
      </c>
      <c r="U867" t="s">
        <v>62</v>
      </c>
      <c r="V867" t="s">
        <v>62</v>
      </c>
      <c r="W867" t="s">
        <v>62</v>
      </c>
      <c r="X867">
        <v>0</v>
      </c>
      <c r="Y867">
        <v>0</v>
      </c>
      <c r="Z867">
        <v>1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4</v>
      </c>
      <c r="AM867">
        <v>2</v>
      </c>
      <c r="AN867">
        <v>8</v>
      </c>
      <c r="AO867">
        <v>0</v>
      </c>
      <c r="AP867">
        <v>10</v>
      </c>
      <c r="AQ867">
        <v>1</v>
      </c>
      <c r="AR867" t="s">
        <v>64</v>
      </c>
      <c r="AS867" t="s">
        <v>929</v>
      </c>
      <c r="AT867">
        <v>1.0189999999999999</v>
      </c>
      <c r="AU867" t="s">
        <v>65</v>
      </c>
      <c r="AV867">
        <v>18</v>
      </c>
      <c r="AW867">
        <v>1</v>
      </c>
      <c r="AX867" t="s">
        <v>930</v>
      </c>
      <c r="AY867" t="s">
        <v>931</v>
      </c>
      <c r="AZ867" t="s">
        <v>932</v>
      </c>
      <c r="BA867">
        <v>1.5049999999999999E-2</v>
      </c>
      <c r="BB867">
        <v>1</v>
      </c>
      <c r="BC867" t="s">
        <v>69</v>
      </c>
      <c r="BD867">
        <v>1.26</v>
      </c>
      <c r="BE867">
        <v>1.26</v>
      </c>
    </row>
    <row r="868" spans="1:57">
      <c r="A868">
        <v>0</v>
      </c>
      <c r="B868">
        <v>0</v>
      </c>
      <c r="C868">
        <v>0</v>
      </c>
      <c r="D868">
        <v>488</v>
      </c>
      <c r="E868" t="s">
        <v>977</v>
      </c>
      <c r="F868" t="s">
        <v>5761</v>
      </c>
      <c r="G868" t="s">
        <v>62</v>
      </c>
      <c r="H868">
        <v>527915</v>
      </c>
      <c r="I868">
        <v>528025</v>
      </c>
      <c r="J868" t="s">
        <v>978</v>
      </c>
      <c r="K868">
        <v>37</v>
      </c>
      <c r="L868" t="s">
        <v>59</v>
      </c>
      <c r="M868">
        <v>5</v>
      </c>
      <c r="N868" t="str">
        <f>HYPERLINK("Gene488-zp_tree_all.dnd", "Gene488-tree")</f>
        <v>Gene488-tree</v>
      </c>
    </row>
    <row r="869" spans="1:57">
      <c r="A869">
        <v>0</v>
      </c>
      <c r="B869">
        <v>0</v>
      </c>
      <c r="C869">
        <v>2</v>
      </c>
      <c r="D869">
        <v>529</v>
      </c>
      <c r="E869" t="s">
        <v>986</v>
      </c>
      <c r="F869" t="s">
        <v>5761</v>
      </c>
      <c r="G869" t="s">
        <v>62</v>
      </c>
      <c r="H869">
        <v>563617</v>
      </c>
      <c r="I869">
        <v>564486</v>
      </c>
      <c r="J869" t="s">
        <v>987</v>
      </c>
      <c r="K869">
        <v>290</v>
      </c>
      <c r="L869" t="s">
        <v>83</v>
      </c>
      <c r="M869">
        <v>4</v>
      </c>
      <c r="N869" t="str">
        <f>HYPERLINK("Gene529-zp_tree_all.dnd", "Gene529-tree")</f>
        <v>Gene529-tree</v>
      </c>
      <c r="O869">
        <v>0</v>
      </c>
      <c r="P869">
        <v>4</v>
      </c>
      <c r="Q869">
        <v>0</v>
      </c>
      <c r="R869">
        <v>4</v>
      </c>
      <c r="S869">
        <v>1</v>
      </c>
      <c r="T869" t="s">
        <v>62</v>
      </c>
      <c r="U869" t="s">
        <v>60</v>
      </c>
      <c r="V869" t="s">
        <v>62</v>
      </c>
      <c r="W869" t="s">
        <v>62</v>
      </c>
      <c r="X869">
        <v>1</v>
      </c>
      <c r="Y869">
        <v>2</v>
      </c>
      <c r="Z869">
        <v>24</v>
      </c>
      <c r="AA869">
        <v>7.6920000000000002E-2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2</v>
      </c>
      <c r="AI869">
        <v>2</v>
      </c>
      <c r="AJ869">
        <v>23</v>
      </c>
      <c r="AK869">
        <v>0.08</v>
      </c>
      <c r="AL869">
        <v>4</v>
      </c>
      <c r="AM869">
        <v>1</v>
      </c>
      <c r="AN869">
        <v>36</v>
      </c>
      <c r="AO869">
        <v>25</v>
      </c>
      <c r="AP869">
        <v>2</v>
      </c>
      <c r="AQ869">
        <v>1</v>
      </c>
      <c r="AR869" t="s">
        <v>988</v>
      </c>
      <c r="AS869" t="s">
        <v>989</v>
      </c>
      <c r="AT869">
        <v>0.48899999999999999</v>
      </c>
      <c r="AU869" t="s">
        <v>65</v>
      </c>
      <c r="AV869">
        <v>38</v>
      </c>
      <c r="AW869">
        <v>26</v>
      </c>
      <c r="AX869" t="s">
        <v>990</v>
      </c>
      <c r="AY869" t="s">
        <v>991</v>
      </c>
      <c r="AZ869" t="s">
        <v>992</v>
      </c>
      <c r="BA869">
        <v>0.18897</v>
      </c>
      <c r="BB869">
        <v>1</v>
      </c>
      <c r="BC869" t="s">
        <v>69</v>
      </c>
      <c r="BD869">
        <v>-0.503</v>
      </c>
      <c r="BE869">
        <v>-0.66</v>
      </c>
    </row>
    <row r="870" spans="1:57">
      <c r="A870">
        <v>0</v>
      </c>
      <c r="B870">
        <v>0</v>
      </c>
      <c r="C870">
        <v>2</v>
      </c>
      <c r="D870">
        <v>538</v>
      </c>
      <c r="E870" t="s">
        <v>993</v>
      </c>
      <c r="F870" t="s">
        <v>5761</v>
      </c>
      <c r="G870" t="s">
        <v>62</v>
      </c>
      <c r="H870">
        <v>573455</v>
      </c>
      <c r="I870">
        <v>574024</v>
      </c>
      <c r="J870" t="s">
        <v>994</v>
      </c>
      <c r="K870">
        <v>190</v>
      </c>
      <c r="L870" t="s">
        <v>83</v>
      </c>
      <c r="M870">
        <v>4</v>
      </c>
      <c r="N870" t="str">
        <f>HYPERLINK("Gene538-zp_tree_all.dnd", "Gene538-tree")</f>
        <v>Gene538-tree</v>
      </c>
      <c r="O870">
        <v>0</v>
      </c>
      <c r="P870">
        <v>4</v>
      </c>
      <c r="Q870">
        <v>0</v>
      </c>
      <c r="R870">
        <v>4</v>
      </c>
      <c r="S870">
        <v>1</v>
      </c>
      <c r="T870" t="s">
        <v>62</v>
      </c>
      <c r="U870" t="s">
        <v>60</v>
      </c>
      <c r="V870" t="s">
        <v>62</v>
      </c>
      <c r="W870" t="s">
        <v>62</v>
      </c>
      <c r="X870">
        <v>1</v>
      </c>
      <c r="Y870">
        <v>2</v>
      </c>
      <c r="Z870">
        <v>14</v>
      </c>
      <c r="AA870">
        <v>0.125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14</v>
      </c>
      <c r="AK870">
        <v>0</v>
      </c>
      <c r="AL870">
        <v>4</v>
      </c>
      <c r="AM870">
        <v>1</v>
      </c>
      <c r="AN870">
        <v>16</v>
      </c>
      <c r="AO870">
        <v>14</v>
      </c>
      <c r="AP870">
        <v>4</v>
      </c>
      <c r="AQ870">
        <v>3</v>
      </c>
      <c r="AR870" t="s">
        <v>995</v>
      </c>
      <c r="AS870" t="s">
        <v>996</v>
      </c>
      <c r="AT870">
        <v>0.34100000000000003</v>
      </c>
      <c r="AU870" t="s">
        <v>65</v>
      </c>
      <c r="AV870">
        <v>20</v>
      </c>
      <c r="AW870">
        <v>17</v>
      </c>
      <c r="AX870" t="s">
        <v>997</v>
      </c>
      <c r="AY870" t="s">
        <v>998</v>
      </c>
      <c r="AZ870" t="s">
        <v>999</v>
      </c>
      <c r="BA870">
        <v>0.24989</v>
      </c>
      <c r="BB870">
        <v>1</v>
      </c>
      <c r="BC870" t="s">
        <v>69</v>
      </c>
      <c r="BD870">
        <v>-4.9000000000000002E-2</v>
      </c>
      <c r="BE870">
        <v>-4.9000000000000002E-2</v>
      </c>
    </row>
    <row r="871" spans="1:57">
      <c r="A871">
        <v>0</v>
      </c>
      <c r="B871">
        <v>4</v>
      </c>
      <c r="C871">
        <v>2</v>
      </c>
      <c r="D871">
        <v>539</v>
      </c>
      <c r="E871" t="s">
        <v>1000</v>
      </c>
      <c r="F871" t="s">
        <v>5761</v>
      </c>
      <c r="G871" t="s">
        <v>62</v>
      </c>
      <c r="H871">
        <v>574109</v>
      </c>
      <c r="I871">
        <v>574435</v>
      </c>
      <c r="J871" t="s">
        <v>291</v>
      </c>
      <c r="K871">
        <v>109</v>
      </c>
      <c r="L871" t="s">
        <v>83</v>
      </c>
      <c r="M871">
        <v>4</v>
      </c>
      <c r="N871" t="str">
        <f>HYPERLINK("Gene539-zp_tree_all.dnd", "Gene539-tree")</f>
        <v>Gene539-tree</v>
      </c>
      <c r="O871">
        <v>0</v>
      </c>
      <c r="P871">
        <v>4</v>
      </c>
      <c r="Q871">
        <v>0</v>
      </c>
      <c r="R871">
        <v>4</v>
      </c>
      <c r="S871">
        <v>1</v>
      </c>
      <c r="T871" t="s">
        <v>62</v>
      </c>
      <c r="U871" t="s">
        <v>60</v>
      </c>
      <c r="V871" t="s">
        <v>62</v>
      </c>
      <c r="W871" t="s">
        <v>62</v>
      </c>
      <c r="X871">
        <v>3</v>
      </c>
      <c r="Y871">
        <v>6</v>
      </c>
      <c r="Z871">
        <v>5</v>
      </c>
      <c r="AA871">
        <v>0.54544999999999999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4</v>
      </c>
      <c r="AH871">
        <v>0</v>
      </c>
      <c r="AI871">
        <v>4</v>
      </c>
      <c r="AJ871">
        <v>6</v>
      </c>
      <c r="AK871">
        <v>0.4</v>
      </c>
      <c r="AL871">
        <v>4</v>
      </c>
      <c r="AM871">
        <v>1</v>
      </c>
      <c r="AN871">
        <v>4</v>
      </c>
      <c r="AO871">
        <v>10</v>
      </c>
      <c r="AP871">
        <v>1</v>
      </c>
      <c r="AQ871">
        <v>1</v>
      </c>
      <c r="AR871" t="s">
        <v>1001</v>
      </c>
      <c r="AS871" t="s">
        <v>1002</v>
      </c>
      <c r="AT871">
        <v>0.36799999999999999</v>
      </c>
      <c r="AU871" t="s">
        <v>65</v>
      </c>
      <c r="AV871">
        <v>5</v>
      </c>
      <c r="AW871">
        <v>11</v>
      </c>
      <c r="AX871" t="s">
        <v>1003</v>
      </c>
      <c r="AY871" t="s">
        <v>1004</v>
      </c>
      <c r="AZ871" t="s">
        <v>1005</v>
      </c>
      <c r="BA871">
        <v>0.49206</v>
      </c>
      <c r="BB871">
        <v>0.82299999999999995</v>
      </c>
      <c r="BC871" t="s">
        <v>793</v>
      </c>
      <c r="BD871">
        <v>0.04</v>
      </c>
      <c r="BE871">
        <v>0.04</v>
      </c>
    </row>
    <row r="872" spans="1:57">
      <c r="A872">
        <v>0</v>
      </c>
      <c r="B872">
        <v>0</v>
      </c>
      <c r="C872">
        <v>0</v>
      </c>
      <c r="D872">
        <v>584</v>
      </c>
      <c r="E872" t="s">
        <v>1006</v>
      </c>
      <c r="F872" t="s">
        <v>5761</v>
      </c>
      <c r="G872" t="s">
        <v>62</v>
      </c>
      <c r="H872">
        <v>612194</v>
      </c>
      <c r="I872">
        <v>612820</v>
      </c>
      <c r="J872" t="s">
        <v>1007</v>
      </c>
      <c r="K872">
        <v>209</v>
      </c>
      <c r="L872" t="s">
        <v>83</v>
      </c>
      <c r="M872">
        <v>4</v>
      </c>
      <c r="N872" t="str">
        <f>HYPERLINK("Gene584-zp_tree_all.dnd", "Gene584-tree")</f>
        <v>Gene584-tree</v>
      </c>
      <c r="O872">
        <v>3</v>
      </c>
      <c r="P872">
        <v>1</v>
      </c>
      <c r="Q872">
        <v>3</v>
      </c>
      <c r="R872">
        <v>1</v>
      </c>
      <c r="S872">
        <v>0.25</v>
      </c>
      <c r="T872" t="s">
        <v>84</v>
      </c>
      <c r="U872" t="s">
        <v>61</v>
      </c>
      <c r="V872" t="s">
        <v>62</v>
      </c>
      <c r="W872" t="s">
        <v>62</v>
      </c>
      <c r="X872">
        <v>0</v>
      </c>
      <c r="Y872">
        <v>0</v>
      </c>
      <c r="Z872">
        <v>2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1</v>
      </c>
      <c r="AK872">
        <v>0</v>
      </c>
      <c r="AL872">
        <v>4</v>
      </c>
      <c r="AM872">
        <v>1</v>
      </c>
      <c r="AN872">
        <v>29</v>
      </c>
      <c r="AO872">
        <v>1</v>
      </c>
      <c r="AP872">
        <v>1</v>
      </c>
      <c r="AQ872">
        <v>1</v>
      </c>
      <c r="AR872" t="s">
        <v>1008</v>
      </c>
      <c r="AS872" t="s">
        <v>1009</v>
      </c>
      <c r="AT872">
        <v>14.411</v>
      </c>
      <c r="AU872" t="s">
        <v>65</v>
      </c>
      <c r="AV872">
        <v>30</v>
      </c>
      <c r="AW872">
        <v>2</v>
      </c>
      <c r="AX872" t="s">
        <v>1010</v>
      </c>
      <c r="AY872" t="s">
        <v>1011</v>
      </c>
      <c r="AZ872" t="s">
        <v>1012</v>
      </c>
      <c r="BA872">
        <v>2.2450000000000001E-2</v>
      </c>
      <c r="BB872">
        <v>1</v>
      </c>
      <c r="BC872" t="s">
        <v>69</v>
      </c>
      <c r="BD872">
        <v>-0.20799999999999999</v>
      </c>
      <c r="BE872">
        <v>-0.53400000000000003</v>
      </c>
    </row>
    <row r="873" spans="1:57">
      <c r="A873">
        <v>0</v>
      </c>
      <c r="B873">
        <v>2</v>
      </c>
      <c r="C873">
        <v>0</v>
      </c>
      <c r="D873">
        <v>585</v>
      </c>
      <c r="E873" t="s">
        <v>1013</v>
      </c>
      <c r="F873" t="s">
        <v>5761</v>
      </c>
      <c r="G873" t="s">
        <v>62</v>
      </c>
      <c r="H873">
        <v>612839</v>
      </c>
      <c r="I873">
        <v>613330</v>
      </c>
      <c r="J873" t="s">
        <v>1014</v>
      </c>
      <c r="K873">
        <v>164</v>
      </c>
      <c r="L873" t="s">
        <v>59</v>
      </c>
      <c r="M873">
        <v>5</v>
      </c>
      <c r="N873" t="str">
        <f>HYPERLINK("Gene585-zp_tree_all.dnd", "Gene585-tree")</f>
        <v>Gene585-tree</v>
      </c>
      <c r="O873">
        <v>0</v>
      </c>
      <c r="P873">
        <v>5</v>
      </c>
      <c r="Q873">
        <v>0</v>
      </c>
      <c r="R873">
        <v>5</v>
      </c>
      <c r="S873">
        <v>1</v>
      </c>
      <c r="T873" t="s">
        <v>62</v>
      </c>
      <c r="U873" t="s">
        <v>98</v>
      </c>
      <c r="V873" t="s">
        <v>62</v>
      </c>
      <c r="W873" t="s">
        <v>62</v>
      </c>
      <c r="X873">
        <v>1</v>
      </c>
      <c r="Y873">
        <v>2</v>
      </c>
      <c r="Z873">
        <v>11</v>
      </c>
      <c r="AA873">
        <v>0.15384999999999999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10</v>
      </c>
      <c r="AK873">
        <v>0</v>
      </c>
      <c r="AL873">
        <v>5</v>
      </c>
      <c r="AM873">
        <v>2</v>
      </c>
      <c r="AN873">
        <v>11</v>
      </c>
      <c r="AO873">
        <v>10</v>
      </c>
      <c r="AP873">
        <v>11</v>
      </c>
      <c r="AQ873">
        <v>3</v>
      </c>
      <c r="AR873" t="s">
        <v>1015</v>
      </c>
      <c r="AS873" t="s">
        <v>1016</v>
      </c>
      <c r="AT873">
        <v>1.0329999999999999</v>
      </c>
      <c r="AU873" t="s">
        <v>65</v>
      </c>
      <c r="AV873">
        <v>22</v>
      </c>
      <c r="AW873">
        <v>13</v>
      </c>
      <c r="AX873" t="s">
        <v>1017</v>
      </c>
      <c r="AY873" t="s">
        <v>1018</v>
      </c>
      <c r="AZ873" t="s">
        <v>1019</v>
      </c>
      <c r="BA873">
        <v>0.13281999999999999</v>
      </c>
      <c r="BB873">
        <v>1</v>
      </c>
      <c r="BC873" t="s">
        <v>69</v>
      </c>
      <c r="BD873">
        <v>0.123</v>
      </c>
      <c r="BE873">
        <v>-0.114</v>
      </c>
    </row>
    <row r="874" spans="1:57">
      <c r="A874">
        <v>0</v>
      </c>
      <c r="B874">
        <v>0</v>
      </c>
      <c r="C874">
        <v>0</v>
      </c>
      <c r="D874">
        <v>598</v>
      </c>
      <c r="E874" t="s">
        <v>1020</v>
      </c>
      <c r="F874" t="s">
        <v>5761</v>
      </c>
      <c r="G874" t="s">
        <v>62</v>
      </c>
      <c r="H874">
        <v>625128</v>
      </c>
      <c r="I874">
        <v>626291</v>
      </c>
      <c r="J874" t="s">
        <v>1021</v>
      </c>
      <c r="K874">
        <v>388</v>
      </c>
      <c r="L874" t="s">
        <v>59</v>
      </c>
      <c r="M874">
        <v>5</v>
      </c>
      <c r="N874" t="str">
        <f>HYPERLINK("Gene598-zp_tree_all.dnd", "Gene598-tree")</f>
        <v>Gene598-tree</v>
      </c>
      <c r="O874">
        <v>2</v>
      </c>
      <c r="P874">
        <v>3</v>
      </c>
      <c r="Q874">
        <v>2</v>
      </c>
      <c r="R874">
        <v>3</v>
      </c>
      <c r="S874">
        <v>0.6</v>
      </c>
      <c r="T874" t="s">
        <v>135</v>
      </c>
      <c r="U874" t="s">
        <v>84</v>
      </c>
      <c r="V874" t="s">
        <v>62</v>
      </c>
      <c r="W874" t="s">
        <v>62</v>
      </c>
      <c r="X874">
        <v>0</v>
      </c>
      <c r="Y874">
        <v>0</v>
      </c>
      <c r="Z874">
        <v>7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5</v>
      </c>
      <c r="AK874">
        <v>0</v>
      </c>
      <c r="AL874">
        <v>3</v>
      </c>
      <c r="AM874">
        <v>2</v>
      </c>
      <c r="AN874">
        <v>37</v>
      </c>
      <c r="AO874">
        <v>5</v>
      </c>
      <c r="AP874">
        <v>28</v>
      </c>
      <c r="AQ874">
        <v>2</v>
      </c>
      <c r="AR874" t="s">
        <v>1022</v>
      </c>
      <c r="AS874" t="s">
        <v>1023</v>
      </c>
      <c r="AT874">
        <v>0.66400000000000003</v>
      </c>
      <c r="AU874" t="s">
        <v>65</v>
      </c>
      <c r="AV874">
        <v>65</v>
      </c>
      <c r="AW874">
        <v>7</v>
      </c>
      <c r="AX874" t="s">
        <v>1024</v>
      </c>
      <c r="AY874" t="s">
        <v>1025</v>
      </c>
      <c r="AZ874" t="s">
        <v>1026</v>
      </c>
      <c r="BA874">
        <v>3.1789999999999999E-2</v>
      </c>
      <c r="BB874">
        <v>1</v>
      </c>
      <c r="BC874" t="s">
        <v>69</v>
      </c>
      <c r="BD874">
        <v>0.224</v>
      </c>
      <c r="BE874">
        <v>0.11</v>
      </c>
    </row>
    <row r="875" spans="1:57">
      <c r="A875">
        <v>0</v>
      </c>
      <c r="B875">
        <v>0</v>
      </c>
      <c r="C875">
        <v>0</v>
      </c>
      <c r="D875">
        <v>619</v>
      </c>
      <c r="E875" t="s">
        <v>1058</v>
      </c>
      <c r="F875" t="s">
        <v>5761</v>
      </c>
      <c r="G875" t="s">
        <v>62</v>
      </c>
      <c r="H875">
        <v>648745</v>
      </c>
      <c r="I875">
        <v>648933</v>
      </c>
      <c r="J875" t="s">
        <v>170</v>
      </c>
      <c r="K875">
        <v>63</v>
      </c>
      <c r="L875" t="s">
        <v>59</v>
      </c>
      <c r="M875">
        <v>5</v>
      </c>
      <c r="N875" t="str">
        <f>HYPERLINK("Gene619-zp_tree_all.dnd", "Gene619-tree")</f>
        <v>Gene619-tree</v>
      </c>
    </row>
    <row r="876" spans="1:57">
      <c r="A876">
        <v>0</v>
      </c>
      <c r="B876">
        <v>2</v>
      </c>
      <c r="C876">
        <v>0</v>
      </c>
      <c r="D876">
        <v>788</v>
      </c>
      <c r="E876" t="s">
        <v>1241</v>
      </c>
      <c r="F876" t="s">
        <v>5761</v>
      </c>
      <c r="G876" t="s">
        <v>62</v>
      </c>
      <c r="H876">
        <v>825790</v>
      </c>
      <c r="I876">
        <v>826734</v>
      </c>
      <c r="J876" t="s">
        <v>1242</v>
      </c>
      <c r="K876">
        <v>315</v>
      </c>
      <c r="L876" t="s">
        <v>83</v>
      </c>
      <c r="M876">
        <v>4</v>
      </c>
      <c r="N876" t="str">
        <f>HYPERLINK("Gene788-zp_tree_all.dnd", "Gene788-tree")</f>
        <v>Gene788-tree</v>
      </c>
      <c r="O876">
        <v>0</v>
      </c>
      <c r="P876">
        <v>4</v>
      </c>
      <c r="Q876">
        <v>0</v>
      </c>
      <c r="R876">
        <v>4</v>
      </c>
      <c r="S876">
        <v>1</v>
      </c>
      <c r="T876" t="s">
        <v>62</v>
      </c>
      <c r="U876" t="s">
        <v>60</v>
      </c>
      <c r="V876" t="s">
        <v>62</v>
      </c>
      <c r="W876" t="s">
        <v>62</v>
      </c>
      <c r="X876">
        <v>1</v>
      </c>
      <c r="Y876">
        <v>2</v>
      </c>
      <c r="Z876">
        <v>11</v>
      </c>
      <c r="AA876">
        <v>0.15384999999999999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2</v>
      </c>
      <c r="AH876">
        <v>0</v>
      </c>
      <c r="AI876">
        <v>2</v>
      </c>
      <c r="AJ876">
        <v>9</v>
      </c>
      <c r="AK876">
        <v>0.18182000000000001</v>
      </c>
      <c r="AL876">
        <v>4</v>
      </c>
      <c r="AM876">
        <v>1</v>
      </c>
      <c r="AN876">
        <v>35</v>
      </c>
      <c r="AO876">
        <v>11</v>
      </c>
      <c r="AP876">
        <v>2</v>
      </c>
      <c r="AQ876">
        <v>2</v>
      </c>
      <c r="AR876" t="s">
        <v>1243</v>
      </c>
      <c r="AS876" t="s">
        <v>1244</v>
      </c>
      <c r="AT876">
        <v>2.1629999999999998</v>
      </c>
      <c r="AU876" t="s">
        <v>65</v>
      </c>
      <c r="AV876">
        <v>37</v>
      </c>
      <c r="AW876">
        <v>13</v>
      </c>
      <c r="AX876" t="s">
        <v>1245</v>
      </c>
      <c r="AY876" t="s">
        <v>1246</v>
      </c>
      <c r="AZ876" t="s">
        <v>1247</v>
      </c>
      <c r="BA876">
        <v>9.0929999999999997E-2</v>
      </c>
      <c r="BB876">
        <v>1</v>
      </c>
      <c r="BC876" t="s">
        <v>69</v>
      </c>
      <c r="BD876">
        <v>-0.32600000000000001</v>
      </c>
      <c r="BE876">
        <v>-0.52900000000000003</v>
      </c>
    </row>
    <row r="877" spans="1:57">
      <c r="A877">
        <v>0</v>
      </c>
      <c r="B877">
        <v>0</v>
      </c>
      <c r="C877">
        <v>0</v>
      </c>
      <c r="D877">
        <v>801</v>
      </c>
      <c r="E877" t="s">
        <v>1261</v>
      </c>
      <c r="F877" t="s">
        <v>5761</v>
      </c>
      <c r="G877" t="s">
        <v>62</v>
      </c>
      <c r="H877">
        <v>838786</v>
      </c>
      <c r="I877">
        <v>838920</v>
      </c>
      <c r="J877" t="s">
        <v>170</v>
      </c>
      <c r="K877">
        <v>45</v>
      </c>
      <c r="L877" t="s">
        <v>59</v>
      </c>
      <c r="M877">
        <v>5</v>
      </c>
      <c r="N877" t="str">
        <f>HYPERLINK("Gene801-zp_tree_all.dnd", "Gene801-tree")</f>
        <v>Gene801-tree</v>
      </c>
    </row>
    <row r="878" spans="1:57">
      <c r="A878">
        <v>0</v>
      </c>
      <c r="B878">
        <v>0</v>
      </c>
      <c r="C878">
        <v>0</v>
      </c>
      <c r="D878">
        <v>802</v>
      </c>
      <c r="E878" t="s">
        <v>1262</v>
      </c>
      <c r="F878" t="s">
        <v>5761</v>
      </c>
      <c r="G878" t="s">
        <v>62</v>
      </c>
      <c r="H878">
        <v>839080</v>
      </c>
      <c r="I878">
        <v>839232</v>
      </c>
      <c r="J878" t="s">
        <v>1263</v>
      </c>
      <c r="K878">
        <v>51</v>
      </c>
      <c r="L878" t="s">
        <v>59</v>
      </c>
      <c r="M878">
        <v>5</v>
      </c>
      <c r="N878" t="str">
        <f>HYPERLINK("Gene802-zp_tree_all.dnd", "Gene802-tree")</f>
        <v>Gene802-tree</v>
      </c>
    </row>
    <row r="879" spans="1:57">
      <c r="A879">
        <v>0</v>
      </c>
      <c r="B879">
        <v>0</v>
      </c>
      <c r="C879">
        <v>0</v>
      </c>
      <c r="D879">
        <v>804</v>
      </c>
      <c r="E879" t="s">
        <v>1264</v>
      </c>
      <c r="F879" t="s">
        <v>5761</v>
      </c>
      <c r="G879" t="s">
        <v>62</v>
      </c>
      <c r="H879">
        <v>839738</v>
      </c>
      <c r="I879">
        <v>840484</v>
      </c>
      <c r="J879" t="s">
        <v>1265</v>
      </c>
      <c r="K879">
        <v>249</v>
      </c>
      <c r="L879" t="s">
        <v>59</v>
      </c>
      <c r="M879">
        <v>5</v>
      </c>
      <c r="N879" t="str">
        <f>HYPERLINK("Gene804-zp_tree_all.dnd", "Gene804-tree")</f>
        <v>Gene804-tree</v>
      </c>
      <c r="O879">
        <v>5</v>
      </c>
      <c r="P879">
        <v>0</v>
      </c>
      <c r="Q879">
        <v>5</v>
      </c>
      <c r="R879">
        <v>0</v>
      </c>
      <c r="S879">
        <v>0</v>
      </c>
      <c r="T879" t="s">
        <v>98</v>
      </c>
      <c r="U879" t="s">
        <v>62</v>
      </c>
      <c r="V879" t="s">
        <v>62</v>
      </c>
      <c r="W879" t="s">
        <v>62</v>
      </c>
      <c r="X879">
        <v>0</v>
      </c>
      <c r="Y879">
        <v>0</v>
      </c>
      <c r="Z879">
        <v>1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5</v>
      </c>
      <c r="AM879">
        <v>2</v>
      </c>
      <c r="AN879">
        <v>30</v>
      </c>
      <c r="AO879">
        <v>0</v>
      </c>
      <c r="AP879">
        <v>24</v>
      </c>
      <c r="AQ879">
        <v>1</v>
      </c>
      <c r="AR879" t="s">
        <v>64</v>
      </c>
      <c r="AS879" t="s">
        <v>1266</v>
      </c>
      <c r="AT879">
        <v>0.76300000000000001</v>
      </c>
      <c r="AU879" t="s">
        <v>65</v>
      </c>
      <c r="AV879">
        <v>54</v>
      </c>
      <c r="AW879">
        <v>1</v>
      </c>
      <c r="AX879" t="s">
        <v>1267</v>
      </c>
      <c r="AY879" t="s">
        <v>1268</v>
      </c>
      <c r="AZ879" t="s">
        <v>1269</v>
      </c>
      <c r="BA879">
        <v>6.1000000000000004E-3</v>
      </c>
      <c r="BB879">
        <v>1</v>
      </c>
      <c r="BC879" t="s">
        <v>69</v>
      </c>
      <c r="BD879">
        <v>0.438</v>
      </c>
      <c r="BE879">
        <v>0.28399999999999997</v>
      </c>
    </row>
    <row r="880" spans="1:57">
      <c r="A880">
        <v>0</v>
      </c>
      <c r="B880">
        <v>0</v>
      </c>
      <c r="C880">
        <v>0</v>
      </c>
      <c r="D880">
        <v>806</v>
      </c>
      <c r="E880" t="s">
        <v>1270</v>
      </c>
      <c r="F880" t="s">
        <v>5761</v>
      </c>
      <c r="G880" t="s">
        <v>62</v>
      </c>
      <c r="H880">
        <v>842050</v>
      </c>
      <c r="I880">
        <v>843996</v>
      </c>
      <c r="J880" t="s">
        <v>1271</v>
      </c>
      <c r="K880">
        <v>649</v>
      </c>
      <c r="L880" t="s">
        <v>59</v>
      </c>
      <c r="M880">
        <v>5</v>
      </c>
      <c r="N880" t="str">
        <f>HYPERLINK("Gene806-zp_tree_all.dnd", "Gene806-tree")</f>
        <v>Gene806-tree</v>
      </c>
      <c r="O880">
        <v>2</v>
      </c>
      <c r="P880">
        <v>3</v>
      </c>
      <c r="Q880">
        <v>2</v>
      </c>
      <c r="R880">
        <v>3</v>
      </c>
      <c r="S880">
        <v>0.6</v>
      </c>
      <c r="T880" t="s">
        <v>135</v>
      </c>
      <c r="U880" t="s">
        <v>84</v>
      </c>
      <c r="V880" t="s">
        <v>62</v>
      </c>
      <c r="W880" t="s">
        <v>62</v>
      </c>
      <c r="X880">
        <v>0</v>
      </c>
      <c r="Y880">
        <v>0</v>
      </c>
      <c r="Z880">
        <v>18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7</v>
      </c>
      <c r="AK880">
        <v>0</v>
      </c>
      <c r="AL880">
        <v>5</v>
      </c>
      <c r="AM880">
        <v>2</v>
      </c>
      <c r="AN880">
        <v>54</v>
      </c>
      <c r="AO880">
        <v>8</v>
      </c>
      <c r="AP880">
        <v>48</v>
      </c>
      <c r="AQ880">
        <v>12</v>
      </c>
      <c r="AR880" t="s">
        <v>1272</v>
      </c>
      <c r="AS880" t="s">
        <v>1273</v>
      </c>
      <c r="AT880">
        <v>0.31900000000000001</v>
      </c>
      <c r="AU880" t="s">
        <v>65</v>
      </c>
      <c r="AV880">
        <v>102</v>
      </c>
      <c r="AW880">
        <v>20</v>
      </c>
      <c r="AX880" t="s">
        <v>1274</v>
      </c>
      <c r="AY880" t="s">
        <v>1275</v>
      </c>
      <c r="AZ880" t="s">
        <v>1276</v>
      </c>
      <c r="BA880">
        <v>5.8840000000000003E-2</v>
      </c>
      <c r="BB880">
        <v>1</v>
      </c>
      <c r="BC880" t="s">
        <v>69</v>
      </c>
      <c r="BD880">
        <v>0.52500000000000002</v>
      </c>
      <c r="BE880">
        <v>0.4</v>
      </c>
    </row>
    <row r="881" spans="1:57">
      <c r="A881">
        <v>0</v>
      </c>
      <c r="B881">
        <v>0</v>
      </c>
      <c r="C881">
        <v>0</v>
      </c>
      <c r="D881">
        <v>851</v>
      </c>
      <c r="E881" t="s">
        <v>1285</v>
      </c>
      <c r="F881" t="s">
        <v>5761</v>
      </c>
      <c r="G881" t="s">
        <v>62</v>
      </c>
      <c r="H881">
        <v>889375</v>
      </c>
      <c r="I881">
        <v>889686</v>
      </c>
      <c r="J881" t="s">
        <v>170</v>
      </c>
      <c r="K881">
        <v>104</v>
      </c>
      <c r="L881" t="s">
        <v>112</v>
      </c>
      <c r="M881">
        <v>4</v>
      </c>
      <c r="N881" t="str">
        <f>HYPERLINK("Gene851-zp_tree_all.dnd", "Gene851-tree")</f>
        <v>Gene851-tree</v>
      </c>
      <c r="O881">
        <v>1</v>
      </c>
      <c r="P881">
        <v>3</v>
      </c>
      <c r="Q881">
        <v>1</v>
      </c>
      <c r="R881">
        <v>3</v>
      </c>
      <c r="S881">
        <v>0.75</v>
      </c>
      <c r="T881" t="s">
        <v>61</v>
      </c>
      <c r="U881" t="s">
        <v>84</v>
      </c>
      <c r="V881" t="s">
        <v>62</v>
      </c>
      <c r="W881" t="s">
        <v>62</v>
      </c>
      <c r="X881">
        <v>0</v>
      </c>
      <c r="Y881">
        <v>0</v>
      </c>
      <c r="Z881">
        <v>5</v>
      </c>
      <c r="AA881">
        <v>0</v>
      </c>
      <c r="AB881">
        <v>0</v>
      </c>
      <c r="AC881">
        <v>0</v>
      </c>
      <c r="AD881">
        <v>0</v>
      </c>
      <c r="AE881">
        <v>1</v>
      </c>
      <c r="AF881">
        <v>0</v>
      </c>
      <c r="AG881">
        <v>0</v>
      </c>
      <c r="AH881">
        <v>0</v>
      </c>
      <c r="AI881">
        <v>0</v>
      </c>
      <c r="AJ881">
        <v>4</v>
      </c>
      <c r="AK881">
        <v>0</v>
      </c>
      <c r="AL881">
        <v>3</v>
      </c>
      <c r="AM881">
        <v>1</v>
      </c>
      <c r="AN881">
        <v>10</v>
      </c>
      <c r="AO881">
        <v>4</v>
      </c>
      <c r="AP881">
        <v>0</v>
      </c>
      <c r="AQ881">
        <v>1</v>
      </c>
      <c r="AR881" t="s">
        <v>1286</v>
      </c>
      <c r="AS881" t="s">
        <v>64</v>
      </c>
      <c r="AT881">
        <v>0.72899999999999998</v>
      </c>
      <c r="AU881" t="s">
        <v>65</v>
      </c>
      <c r="AV881">
        <v>10</v>
      </c>
      <c r="AW881">
        <v>5</v>
      </c>
      <c r="AX881" t="s">
        <v>1287</v>
      </c>
      <c r="AY881" t="s">
        <v>1288</v>
      </c>
      <c r="AZ881" t="s">
        <v>1289</v>
      </c>
      <c r="BA881">
        <v>0.13506000000000001</v>
      </c>
      <c r="BB881">
        <v>1</v>
      </c>
      <c r="BC881" t="s">
        <v>69</v>
      </c>
      <c r="BD881">
        <v>-0.64</v>
      </c>
      <c r="BE881">
        <v>-0.64</v>
      </c>
    </row>
    <row r="882" spans="1:57">
      <c r="A882">
        <v>0</v>
      </c>
      <c r="B882">
        <v>0</v>
      </c>
      <c r="C882">
        <v>0</v>
      </c>
      <c r="D882">
        <v>882</v>
      </c>
      <c r="E882" t="s">
        <v>1297</v>
      </c>
      <c r="F882" t="s">
        <v>5761</v>
      </c>
      <c r="G882" t="s">
        <v>62</v>
      </c>
      <c r="H882">
        <v>924213</v>
      </c>
      <c r="I882">
        <v>924401</v>
      </c>
      <c r="J882" t="s">
        <v>170</v>
      </c>
      <c r="K882">
        <v>63</v>
      </c>
      <c r="L882" t="s">
        <v>59</v>
      </c>
      <c r="M882">
        <v>5</v>
      </c>
      <c r="N882" t="str">
        <f>HYPERLINK("Gene882-zp_tree_all.dnd", "Gene882-tree")</f>
        <v>Gene882-tree</v>
      </c>
      <c r="O882">
        <v>3</v>
      </c>
      <c r="P882">
        <v>2</v>
      </c>
      <c r="Q882">
        <v>3</v>
      </c>
      <c r="R882">
        <v>2</v>
      </c>
      <c r="S882">
        <v>0.4</v>
      </c>
      <c r="T882" t="s">
        <v>84</v>
      </c>
      <c r="U882" t="s">
        <v>135</v>
      </c>
      <c r="V882" t="s">
        <v>62</v>
      </c>
      <c r="W882" t="s">
        <v>62</v>
      </c>
      <c r="X882">
        <v>0</v>
      </c>
      <c r="Y882">
        <v>0</v>
      </c>
      <c r="Z882">
        <v>2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2</v>
      </c>
      <c r="AK882">
        <v>0</v>
      </c>
      <c r="AL882">
        <v>3</v>
      </c>
      <c r="AM882">
        <v>1</v>
      </c>
      <c r="AN882">
        <v>2</v>
      </c>
      <c r="AO882">
        <v>1</v>
      </c>
      <c r="AP882">
        <v>5</v>
      </c>
      <c r="AQ882">
        <v>1</v>
      </c>
      <c r="AR882" t="s">
        <v>1298</v>
      </c>
      <c r="AS882" t="s">
        <v>1299</v>
      </c>
      <c r="AT882">
        <v>0.437</v>
      </c>
      <c r="AU882" t="s">
        <v>65</v>
      </c>
      <c r="AV882">
        <v>7</v>
      </c>
      <c r="AW882">
        <v>2</v>
      </c>
      <c r="AX882" t="s">
        <v>1300</v>
      </c>
      <c r="AY882" t="s">
        <v>1301</v>
      </c>
      <c r="AZ882" t="s">
        <v>1302</v>
      </c>
      <c r="BA882">
        <v>6.1420000000000002E-2</v>
      </c>
      <c r="BB882">
        <v>1</v>
      </c>
      <c r="BC882" t="s">
        <v>69</v>
      </c>
      <c r="BD882">
        <v>0.79</v>
      </c>
      <c r="BE882">
        <v>0.79</v>
      </c>
    </row>
    <row r="883" spans="1:57">
      <c r="A883">
        <v>0</v>
      </c>
      <c r="B883">
        <v>0</v>
      </c>
      <c r="C883">
        <v>0</v>
      </c>
      <c r="D883">
        <v>883</v>
      </c>
      <c r="E883" t="s">
        <v>1303</v>
      </c>
      <c r="F883" t="s">
        <v>5761</v>
      </c>
      <c r="G883" t="s">
        <v>62</v>
      </c>
      <c r="H883">
        <v>924471</v>
      </c>
      <c r="I883">
        <v>924578</v>
      </c>
      <c r="J883" t="s">
        <v>1082</v>
      </c>
      <c r="K883">
        <v>36</v>
      </c>
      <c r="L883" t="s">
        <v>59</v>
      </c>
      <c r="M883">
        <v>5</v>
      </c>
      <c r="N883" t="str">
        <f>HYPERLINK("Gene883-zp_tree_all.dnd", "Gene883-tree")</f>
        <v>Gene883-tree</v>
      </c>
      <c r="O883">
        <v>5</v>
      </c>
      <c r="P883">
        <v>0</v>
      </c>
      <c r="Q883">
        <v>5</v>
      </c>
      <c r="R883">
        <v>0</v>
      </c>
      <c r="S883">
        <v>0</v>
      </c>
      <c r="T883" t="s">
        <v>98</v>
      </c>
      <c r="U883" t="s">
        <v>62</v>
      </c>
      <c r="V883" t="s">
        <v>62</v>
      </c>
      <c r="W883" t="s">
        <v>62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4</v>
      </c>
      <c r="AM883">
        <v>2</v>
      </c>
      <c r="AN883">
        <v>4</v>
      </c>
      <c r="AO883">
        <v>0</v>
      </c>
      <c r="AP883">
        <v>3</v>
      </c>
      <c r="AQ883">
        <v>0</v>
      </c>
      <c r="AR883" t="s">
        <v>64</v>
      </c>
      <c r="AS883" t="s">
        <v>64</v>
      </c>
      <c r="AT883">
        <v>0</v>
      </c>
      <c r="AU883" t="s">
        <v>65</v>
      </c>
      <c r="AV883">
        <v>7</v>
      </c>
      <c r="AW883">
        <v>0</v>
      </c>
      <c r="AX883" t="s">
        <v>1304</v>
      </c>
      <c r="AY883" t="s">
        <v>1305</v>
      </c>
      <c r="AZ883" t="s">
        <v>64</v>
      </c>
      <c r="BA883">
        <v>0</v>
      </c>
      <c r="BB883">
        <v>1</v>
      </c>
      <c r="BC883" t="s">
        <v>69</v>
      </c>
      <c r="BD883">
        <v>0.76400000000000001</v>
      </c>
      <c r="BE883">
        <v>0.76400000000000001</v>
      </c>
    </row>
    <row r="884" spans="1:57">
      <c r="A884">
        <v>0</v>
      </c>
      <c r="B884">
        <v>0</v>
      </c>
      <c r="C884">
        <v>0</v>
      </c>
      <c r="D884">
        <v>888</v>
      </c>
      <c r="E884" t="s">
        <v>1306</v>
      </c>
      <c r="F884" t="s">
        <v>5761</v>
      </c>
      <c r="G884" t="s">
        <v>62</v>
      </c>
      <c r="H884">
        <v>928115</v>
      </c>
      <c r="I884">
        <v>928264</v>
      </c>
      <c r="J884" t="s">
        <v>172</v>
      </c>
      <c r="K884">
        <v>50</v>
      </c>
      <c r="L884" t="s">
        <v>59</v>
      </c>
      <c r="M884">
        <v>5</v>
      </c>
      <c r="N884" t="str">
        <f>HYPERLINK("Gene888-zp_tree_all.dnd", "Gene888-tree")</f>
        <v>Gene888-tree</v>
      </c>
      <c r="O884">
        <v>3</v>
      </c>
      <c r="P884">
        <v>1</v>
      </c>
      <c r="Q884">
        <v>3</v>
      </c>
      <c r="R884">
        <v>1</v>
      </c>
      <c r="S884">
        <v>0.25</v>
      </c>
      <c r="T884" t="s">
        <v>84</v>
      </c>
      <c r="U884" t="s">
        <v>61</v>
      </c>
      <c r="V884" t="s">
        <v>62</v>
      </c>
      <c r="W884" t="s">
        <v>62</v>
      </c>
      <c r="X884">
        <v>0</v>
      </c>
      <c r="Y884">
        <v>0</v>
      </c>
      <c r="Z884">
        <v>1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1</v>
      </c>
      <c r="AK884">
        <v>0</v>
      </c>
      <c r="AL884">
        <v>3</v>
      </c>
      <c r="AM884">
        <v>1</v>
      </c>
      <c r="AN884">
        <v>4</v>
      </c>
      <c r="AO884">
        <v>1</v>
      </c>
      <c r="AP884">
        <v>3</v>
      </c>
      <c r="AQ884">
        <v>0</v>
      </c>
      <c r="AR884" t="s">
        <v>1307</v>
      </c>
      <c r="AS884" t="s">
        <v>64</v>
      </c>
      <c r="AT884">
        <v>0.81200000000000006</v>
      </c>
      <c r="AU884" t="s">
        <v>65</v>
      </c>
      <c r="AV884">
        <v>7</v>
      </c>
      <c r="AW884">
        <v>1</v>
      </c>
      <c r="AX884" t="s">
        <v>1308</v>
      </c>
      <c r="AY884" t="s">
        <v>1309</v>
      </c>
      <c r="AZ884" t="s">
        <v>1310</v>
      </c>
      <c r="BA884">
        <v>3.1099999999999999E-2</v>
      </c>
      <c r="BB884">
        <v>1</v>
      </c>
      <c r="BC884" t="s">
        <v>69</v>
      </c>
      <c r="BD884">
        <v>0.28999999999999998</v>
      </c>
      <c r="BE884">
        <v>-0.747</v>
      </c>
    </row>
    <row r="885" spans="1:57">
      <c r="A885">
        <v>0</v>
      </c>
      <c r="B885">
        <v>0</v>
      </c>
      <c r="C885">
        <v>0</v>
      </c>
      <c r="D885">
        <v>895</v>
      </c>
      <c r="E885" t="s">
        <v>1311</v>
      </c>
      <c r="F885" t="s">
        <v>5761</v>
      </c>
      <c r="G885" t="s">
        <v>62</v>
      </c>
      <c r="H885">
        <v>934460</v>
      </c>
      <c r="I885">
        <v>935440</v>
      </c>
      <c r="J885" t="s">
        <v>1312</v>
      </c>
      <c r="K885">
        <v>327</v>
      </c>
      <c r="L885" t="s">
        <v>59</v>
      </c>
      <c r="M885">
        <v>5</v>
      </c>
      <c r="N885" t="str">
        <f>HYPERLINK("Gene895-zp_tree_all.dnd", "Gene895-tree")</f>
        <v>Gene895-tree</v>
      </c>
      <c r="O885">
        <v>5</v>
      </c>
      <c r="P885">
        <v>0</v>
      </c>
      <c r="Q885">
        <v>5</v>
      </c>
      <c r="R885">
        <v>0</v>
      </c>
      <c r="S885">
        <v>0</v>
      </c>
      <c r="T885" t="s">
        <v>98</v>
      </c>
      <c r="U885" t="s">
        <v>62</v>
      </c>
      <c r="V885" t="s">
        <v>62</v>
      </c>
      <c r="W885" t="s">
        <v>62</v>
      </c>
      <c r="X885">
        <v>0</v>
      </c>
      <c r="Y885">
        <v>0</v>
      </c>
      <c r="Z885">
        <v>3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5</v>
      </c>
      <c r="AM885">
        <v>2</v>
      </c>
      <c r="AN885">
        <v>22</v>
      </c>
      <c r="AO885">
        <v>0</v>
      </c>
      <c r="AP885">
        <v>34</v>
      </c>
      <c r="AQ885">
        <v>3</v>
      </c>
      <c r="AR885" t="s">
        <v>64</v>
      </c>
      <c r="AS885" t="s">
        <v>1313</v>
      </c>
      <c r="AT885">
        <v>1.5580000000000001</v>
      </c>
      <c r="AU885" t="s">
        <v>65</v>
      </c>
      <c r="AV885">
        <v>56</v>
      </c>
      <c r="AW885">
        <v>3</v>
      </c>
      <c r="AX885" t="s">
        <v>1314</v>
      </c>
      <c r="AY885" t="s">
        <v>1315</v>
      </c>
      <c r="AZ885" t="s">
        <v>1316</v>
      </c>
      <c r="BA885">
        <v>1.8329999999999999E-2</v>
      </c>
      <c r="BB885">
        <v>1</v>
      </c>
      <c r="BC885" t="s">
        <v>69</v>
      </c>
      <c r="BD885">
        <v>0.98499999999999999</v>
      </c>
      <c r="BE885">
        <v>0.54800000000000004</v>
      </c>
    </row>
    <row r="886" spans="1:57">
      <c r="A886">
        <v>0</v>
      </c>
      <c r="B886">
        <v>0</v>
      </c>
      <c r="C886">
        <v>0</v>
      </c>
      <c r="D886">
        <v>897</v>
      </c>
      <c r="E886" t="s">
        <v>1317</v>
      </c>
      <c r="F886" t="s">
        <v>5761</v>
      </c>
      <c r="G886" t="s">
        <v>62</v>
      </c>
      <c r="H886">
        <v>936776</v>
      </c>
      <c r="I886">
        <v>936997</v>
      </c>
      <c r="J886" t="s">
        <v>1318</v>
      </c>
      <c r="K886">
        <v>74</v>
      </c>
      <c r="L886" t="s">
        <v>59</v>
      </c>
      <c r="M886">
        <v>5</v>
      </c>
      <c r="N886" t="str">
        <f>HYPERLINK("Gene897-zp_tree_all.dnd", "Gene897-tree")</f>
        <v>Gene897-tree</v>
      </c>
      <c r="O886">
        <v>2</v>
      </c>
      <c r="P886">
        <v>2</v>
      </c>
      <c r="Q886">
        <v>2</v>
      </c>
      <c r="R886">
        <v>2</v>
      </c>
      <c r="S886">
        <v>0.5</v>
      </c>
      <c r="T886" t="s">
        <v>135</v>
      </c>
      <c r="U886" t="s">
        <v>135</v>
      </c>
      <c r="V886" t="s">
        <v>62</v>
      </c>
      <c r="W886" t="s">
        <v>62</v>
      </c>
      <c r="X886">
        <v>0</v>
      </c>
      <c r="Y886">
        <v>0</v>
      </c>
      <c r="Z886">
        <v>2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2</v>
      </c>
      <c r="AK886">
        <v>0</v>
      </c>
      <c r="AL886">
        <v>3</v>
      </c>
      <c r="AM886">
        <v>1</v>
      </c>
      <c r="AN886">
        <v>3</v>
      </c>
      <c r="AO886">
        <v>1</v>
      </c>
      <c r="AP886">
        <v>4</v>
      </c>
      <c r="AQ886">
        <v>1</v>
      </c>
      <c r="AR886" t="s">
        <v>1319</v>
      </c>
      <c r="AS886" t="s">
        <v>1320</v>
      </c>
      <c r="AT886">
        <v>0.18</v>
      </c>
      <c r="AU886" t="s">
        <v>65</v>
      </c>
      <c r="AV886">
        <v>7</v>
      </c>
      <c r="AW886">
        <v>2</v>
      </c>
      <c r="AX886" t="s">
        <v>1321</v>
      </c>
      <c r="AY886" t="s">
        <v>1322</v>
      </c>
      <c r="AZ886" t="s">
        <v>1323</v>
      </c>
      <c r="BA886">
        <v>6.4890000000000003E-2</v>
      </c>
      <c r="BB886">
        <v>1</v>
      </c>
      <c r="BC886" t="s">
        <v>69</v>
      </c>
      <c r="BD886">
        <v>0.46100000000000002</v>
      </c>
      <c r="BE886">
        <v>0.46100000000000002</v>
      </c>
    </row>
    <row r="887" spans="1:57">
      <c r="A887">
        <v>0</v>
      </c>
      <c r="B887">
        <v>0</v>
      </c>
      <c r="C887">
        <v>0</v>
      </c>
      <c r="D887">
        <v>903</v>
      </c>
      <c r="E887" t="s">
        <v>1333</v>
      </c>
      <c r="F887" t="s">
        <v>5761</v>
      </c>
      <c r="G887" t="s">
        <v>62</v>
      </c>
      <c r="H887">
        <v>941171</v>
      </c>
      <c r="I887">
        <v>942229</v>
      </c>
      <c r="J887" t="s">
        <v>1334</v>
      </c>
      <c r="K887">
        <v>353</v>
      </c>
      <c r="L887" t="s">
        <v>59</v>
      </c>
      <c r="M887">
        <v>5</v>
      </c>
      <c r="N887" t="str">
        <f>HYPERLINK("Gene903-zp_tree_all.dnd", "Gene903-tree")</f>
        <v>Gene903-tree</v>
      </c>
      <c r="O887">
        <v>4</v>
      </c>
      <c r="P887">
        <v>1</v>
      </c>
      <c r="Q887">
        <v>4</v>
      </c>
      <c r="R887">
        <v>1</v>
      </c>
      <c r="S887">
        <v>0.2</v>
      </c>
      <c r="T887" t="s">
        <v>60</v>
      </c>
      <c r="U887" t="s">
        <v>61</v>
      </c>
      <c r="V887" t="s">
        <v>62</v>
      </c>
      <c r="W887" t="s">
        <v>62</v>
      </c>
      <c r="X887">
        <v>0</v>
      </c>
      <c r="Y887">
        <v>0</v>
      </c>
      <c r="Z887">
        <v>4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1</v>
      </c>
      <c r="AK887">
        <v>0</v>
      </c>
      <c r="AL887">
        <v>4</v>
      </c>
      <c r="AM887">
        <v>2</v>
      </c>
      <c r="AN887">
        <v>14</v>
      </c>
      <c r="AO887">
        <v>1</v>
      </c>
      <c r="AP887">
        <v>15</v>
      </c>
      <c r="AQ887">
        <v>3</v>
      </c>
      <c r="AR887" t="s">
        <v>1335</v>
      </c>
      <c r="AS887" t="s">
        <v>1336</v>
      </c>
      <c r="AT887">
        <v>0.51200000000000001</v>
      </c>
      <c r="AU887" t="s">
        <v>65</v>
      </c>
      <c r="AV887">
        <v>29</v>
      </c>
      <c r="AW887">
        <v>4</v>
      </c>
      <c r="AX887" t="s">
        <v>1337</v>
      </c>
      <c r="AY887" t="s">
        <v>1338</v>
      </c>
      <c r="AZ887" t="s">
        <v>1339</v>
      </c>
      <c r="BA887">
        <v>4.3040000000000002E-2</v>
      </c>
      <c r="BB887">
        <v>1</v>
      </c>
      <c r="BC887" t="s">
        <v>69</v>
      </c>
      <c r="BD887">
        <v>0.50700000000000001</v>
      </c>
      <c r="BE887">
        <v>0.50700000000000001</v>
      </c>
    </row>
    <row r="888" spans="1:57">
      <c r="A888">
        <v>0</v>
      </c>
      <c r="B888">
        <v>0</v>
      </c>
      <c r="C888">
        <v>0</v>
      </c>
      <c r="D888">
        <v>907</v>
      </c>
      <c r="E888" t="s">
        <v>1344</v>
      </c>
      <c r="F888" t="s">
        <v>5761</v>
      </c>
      <c r="G888" t="s">
        <v>62</v>
      </c>
      <c r="H888">
        <v>944962</v>
      </c>
      <c r="I888">
        <v>945312</v>
      </c>
      <c r="J888" t="s">
        <v>1334</v>
      </c>
      <c r="K888">
        <v>117</v>
      </c>
      <c r="L888" t="s">
        <v>83</v>
      </c>
      <c r="M888">
        <v>4</v>
      </c>
      <c r="N888" t="str">
        <f>HYPERLINK("Gene907-zp_tree_all.dnd", "Gene907-tree")</f>
        <v>Gene907-tree</v>
      </c>
      <c r="O888">
        <v>3</v>
      </c>
      <c r="P888">
        <v>1</v>
      </c>
      <c r="Q888">
        <v>3</v>
      </c>
      <c r="R888">
        <v>1</v>
      </c>
      <c r="S888">
        <v>0.25</v>
      </c>
      <c r="T888" t="s">
        <v>84</v>
      </c>
      <c r="U888" t="s">
        <v>61</v>
      </c>
      <c r="V888" t="s">
        <v>62</v>
      </c>
      <c r="W888" t="s">
        <v>62</v>
      </c>
      <c r="X888">
        <v>0</v>
      </c>
      <c r="Y888">
        <v>0</v>
      </c>
      <c r="Z888">
        <v>2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2</v>
      </c>
      <c r="AK888">
        <v>0</v>
      </c>
      <c r="AL888">
        <v>4</v>
      </c>
      <c r="AM888">
        <v>1</v>
      </c>
      <c r="AN888">
        <v>21</v>
      </c>
      <c r="AO888">
        <v>3</v>
      </c>
      <c r="AP888">
        <v>3</v>
      </c>
      <c r="AQ888">
        <v>0</v>
      </c>
      <c r="AR888" t="s">
        <v>1345</v>
      </c>
      <c r="AS888" t="s">
        <v>64</v>
      </c>
      <c r="AT888">
        <v>0.56200000000000006</v>
      </c>
      <c r="AU888" t="s">
        <v>65</v>
      </c>
      <c r="AV888">
        <v>24</v>
      </c>
      <c r="AW888">
        <v>3</v>
      </c>
      <c r="AX888" t="s">
        <v>1346</v>
      </c>
      <c r="AY888" t="s">
        <v>1347</v>
      </c>
      <c r="AZ888" t="s">
        <v>1348</v>
      </c>
      <c r="BA888">
        <v>3.1449999999999999E-2</v>
      </c>
      <c r="BB888">
        <v>1</v>
      </c>
      <c r="BC888" t="s">
        <v>69</v>
      </c>
      <c r="BD888">
        <v>-7.0999999999999994E-2</v>
      </c>
      <c r="BE888">
        <v>-7.0999999999999994E-2</v>
      </c>
    </row>
    <row r="889" spans="1:57">
      <c r="A889">
        <v>0</v>
      </c>
      <c r="B889">
        <v>0</v>
      </c>
      <c r="C889">
        <v>0</v>
      </c>
      <c r="D889">
        <v>916</v>
      </c>
      <c r="E889" t="s">
        <v>1350</v>
      </c>
      <c r="F889" t="s">
        <v>5761</v>
      </c>
      <c r="G889" t="s">
        <v>62</v>
      </c>
      <c r="H889">
        <v>959538</v>
      </c>
      <c r="I889">
        <v>960986</v>
      </c>
      <c r="J889" t="s">
        <v>1351</v>
      </c>
      <c r="K889">
        <v>483</v>
      </c>
      <c r="L889" t="s">
        <v>59</v>
      </c>
      <c r="M889">
        <v>5</v>
      </c>
      <c r="N889" t="str">
        <f>HYPERLINK("Gene916-zp_tree_all.dnd", "Gene916-tree")</f>
        <v>Gene916-tree</v>
      </c>
      <c r="O889">
        <v>3</v>
      </c>
      <c r="P889">
        <v>2</v>
      </c>
      <c r="Q889">
        <v>3</v>
      </c>
      <c r="R889">
        <v>2</v>
      </c>
      <c r="S889">
        <v>0.4</v>
      </c>
      <c r="T889" t="s">
        <v>84</v>
      </c>
      <c r="U889" t="s">
        <v>135</v>
      </c>
      <c r="V889" t="s">
        <v>62</v>
      </c>
      <c r="W889" t="s">
        <v>62</v>
      </c>
      <c r="X889">
        <v>0</v>
      </c>
      <c r="Y889">
        <v>0</v>
      </c>
      <c r="Z889">
        <v>6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2</v>
      </c>
      <c r="AK889">
        <v>0</v>
      </c>
      <c r="AL889">
        <v>5</v>
      </c>
      <c r="AM889">
        <v>2</v>
      </c>
      <c r="AN889">
        <v>47</v>
      </c>
      <c r="AO889">
        <v>2</v>
      </c>
      <c r="AP889">
        <v>46</v>
      </c>
      <c r="AQ889">
        <v>4</v>
      </c>
      <c r="AR889" t="s">
        <v>1352</v>
      </c>
      <c r="AS889" t="s">
        <v>1353</v>
      </c>
      <c r="AT889">
        <v>0.36599999999999999</v>
      </c>
      <c r="AU889" t="s">
        <v>65</v>
      </c>
      <c r="AV889">
        <v>93</v>
      </c>
      <c r="AW889">
        <v>6</v>
      </c>
      <c r="AX889" t="s">
        <v>1354</v>
      </c>
      <c r="AY889" t="s">
        <v>1355</v>
      </c>
      <c r="AZ889" t="s">
        <v>1356</v>
      </c>
      <c r="BA889">
        <v>1.8589999999999999E-2</v>
      </c>
      <c r="BB889">
        <v>1</v>
      </c>
      <c r="BC889" t="s">
        <v>69</v>
      </c>
      <c r="BD889">
        <v>0.64</v>
      </c>
      <c r="BE889">
        <v>0.57199999999999995</v>
      </c>
    </row>
    <row r="890" spans="1:57">
      <c r="A890">
        <v>0</v>
      </c>
      <c r="B890">
        <v>0</v>
      </c>
      <c r="C890">
        <v>0</v>
      </c>
      <c r="D890">
        <v>924</v>
      </c>
      <c r="E890" t="s">
        <v>1364</v>
      </c>
      <c r="F890" t="s">
        <v>5761</v>
      </c>
      <c r="G890" t="s">
        <v>62</v>
      </c>
      <c r="H890">
        <v>966674</v>
      </c>
      <c r="I890">
        <v>966871</v>
      </c>
      <c r="J890" t="s">
        <v>1365</v>
      </c>
      <c r="K890">
        <v>66</v>
      </c>
      <c r="L890" t="s">
        <v>59</v>
      </c>
      <c r="M890">
        <v>5</v>
      </c>
      <c r="N890" t="str">
        <f>HYPERLINK("Gene924-zp_tree_all.dnd", "Gene924-tree")</f>
        <v>Gene924-tree</v>
      </c>
      <c r="O890">
        <v>3</v>
      </c>
      <c r="P890">
        <v>2</v>
      </c>
      <c r="Q890">
        <v>2</v>
      </c>
      <c r="R890">
        <v>2</v>
      </c>
      <c r="S890">
        <v>0.5</v>
      </c>
      <c r="T890" t="s">
        <v>217</v>
      </c>
      <c r="U890" t="s">
        <v>135</v>
      </c>
      <c r="V890" t="s">
        <v>62</v>
      </c>
      <c r="W890" t="s">
        <v>62</v>
      </c>
      <c r="X890">
        <v>0</v>
      </c>
      <c r="Y890">
        <v>0</v>
      </c>
      <c r="Z890">
        <v>2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2</v>
      </c>
      <c r="AK890">
        <v>0</v>
      </c>
      <c r="AL890">
        <v>4</v>
      </c>
      <c r="AM890">
        <v>1</v>
      </c>
      <c r="AN890">
        <v>5</v>
      </c>
      <c r="AO890">
        <v>2</v>
      </c>
      <c r="AP890">
        <v>3</v>
      </c>
      <c r="AQ890">
        <v>0</v>
      </c>
      <c r="AR890" t="s">
        <v>1366</v>
      </c>
      <c r="AS890" t="s">
        <v>64</v>
      </c>
      <c r="AT890">
        <v>1.776</v>
      </c>
      <c r="AU890" t="s">
        <v>65</v>
      </c>
      <c r="AV890">
        <v>8</v>
      </c>
      <c r="AW890">
        <v>2</v>
      </c>
      <c r="AX890" t="s">
        <v>1367</v>
      </c>
      <c r="AY890" t="s">
        <v>1368</v>
      </c>
      <c r="AZ890" t="s">
        <v>1369</v>
      </c>
      <c r="BA890">
        <v>5.8400000000000001E-2</v>
      </c>
      <c r="BB890">
        <v>1</v>
      </c>
      <c r="BC890" t="s">
        <v>69</v>
      </c>
      <c r="BD890">
        <v>0</v>
      </c>
      <c r="BE890">
        <v>0</v>
      </c>
    </row>
    <row r="891" spans="1:57">
      <c r="A891">
        <v>0</v>
      </c>
      <c r="B891">
        <v>0</v>
      </c>
      <c r="C891">
        <v>0</v>
      </c>
      <c r="D891">
        <v>945</v>
      </c>
      <c r="E891" t="s">
        <v>1398</v>
      </c>
      <c r="F891" t="s">
        <v>5761</v>
      </c>
      <c r="G891" t="s">
        <v>62</v>
      </c>
      <c r="H891">
        <v>984265</v>
      </c>
      <c r="I891">
        <v>984465</v>
      </c>
      <c r="J891" t="s">
        <v>1399</v>
      </c>
      <c r="K891">
        <v>67</v>
      </c>
      <c r="L891" t="s">
        <v>59</v>
      </c>
      <c r="M891">
        <v>5</v>
      </c>
      <c r="N891" t="str">
        <f>HYPERLINK("Gene945-zp_tree_all.dnd", "Gene945-tree")</f>
        <v>Gene945-tree</v>
      </c>
    </row>
    <row r="892" spans="1:57">
      <c r="A892">
        <v>0</v>
      </c>
      <c r="B892">
        <v>0</v>
      </c>
      <c r="C892">
        <v>0</v>
      </c>
      <c r="D892">
        <v>970</v>
      </c>
      <c r="E892" t="s">
        <v>1420</v>
      </c>
      <c r="F892" t="s">
        <v>5761</v>
      </c>
      <c r="G892" t="s">
        <v>62</v>
      </c>
      <c r="H892">
        <v>1010987</v>
      </c>
      <c r="I892">
        <v>1011226</v>
      </c>
      <c r="J892" t="s">
        <v>170</v>
      </c>
      <c r="K892">
        <v>80</v>
      </c>
      <c r="L892" t="s">
        <v>83</v>
      </c>
      <c r="M892">
        <v>4</v>
      </c>
      <c r="N892" t="str">
        <f>HYPERLINK("Gene970-zp_tree_all.dnd", "Gene970-tree")</f>
        <v>Gene970-tree</v>
      </c>
    </row>
    <row r="893" spans="1:57">
      <c r="A893">
        <v>0</v>
      </c>
      <c r="B893">
        <v>0</v>
      </c>
      <c r="C893">
        <v>0</v>
      </c>
      <c r="D893">
        <v>985</v>
      </c>
      <c r="E893" t="s">
        <v>1421</v>
      </c>
      <c r="F893" t="s">
        <v>5761</v>
      </c>
      <c r="G893" t="s">
        <v>62</v>
      </c>
      <c r="H893">
        <v>1028236</v>
      </c>
      <c r="I893">
        <v>1028523</v>
      </c>
      <c r="J893" t="s">
        <v>1422</v>
      </c>
      <c r="K893">
        <v>96</v>
      </c>
      <c r="L893" t="s">
        <v>59</v>
      </c>
      <c r="M893">
        <v>5</v>
      </c>
      <c r="N893" t="str">
        <f>HYPERLINK("Gene985-zp_tree_all.dnd", "Gene985-tree")</f>
        <v>Gene985-tree</v>
      </c>
      <c r="O893">
        <v>5</v>
      </c>
      <c r="P893">
        <v>0</v>
      </c>
      <c r="Q893">
        <v>4</v>
      </c>
      <c r="R893">
        <v>0</v>
      </c>
      <c r="S893">
        <v>0</v>
      </c>
      <c r="T893" t="s">
        <v>150</v>
      </c>
      <c r="U893" t="s">
        <v>62</v>
      </c>
      <c r="V893" t="s">
        <v>62</v>
      </c>
      <c r="W893" t="s">
        <v>62</v>
      </c>
      <c r="X893">
        <v>0</v>
      </c>
      <c r="Y893">
        <v>0</v>
      </c>
      <c r="Z893">
        <v>1</v>
      </c>
      <c r="AA893">
        <v>0</v>
      </c>
      <c r="AB893">
        <v>0</v>
      </c>
      <c r="AC893">
        <v>0</v>
      </c>
      <c r="AD893">
        <v>0</v>
      </c>
      <c r="AE893">
        <v>1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4</v>
      </c>
      <c r="AM893">
        <v>1</v>
      </c>
      <c r="AN893">
        <v>11</v>
      </c>
      <c r="AO893">
        <v>0</v>
      </c>
      <c r="AP893">
        <v>8</v>
      </c>
      <c r="AQ893">
        <v>1</v>
      </c>
      <c r="AR893" t="s">
        <v>64</v>
      </c>
      <c r="AS893" t="s">
        <v>1423</v>
      </c>
      <c r="AT893">
        <v>0</v>
      </c>
      <c r="AU893" t="s">
        <v>65</v>
      </c>
      <c r="AV893">
        <v>19</v>
      </c>
      <c r="AW893">
        <v>1</v>
      </c>
      <c r="AX893" t="s">
        <v>1424</v>
      </c>
      <c r="AY893" t="s">
        <v>1425</v>
      </c>
      <c r="AZ893" t="s">
        <v>1426</v>
      </c>
      <c r="BA893">
        <v>2.962E-2</v>
      </c>
      <c r="BB893">
        <v>1</v>
      </c>
      <c r="BC893" t="s">
        <v>69</v>
      </c>
      <c r="BD893">
        <v>0.63100000000000001</v>
      </c>
      <c r="BE893">
        <v>0.22700000000000001</v>
      </c>
    </row>
    <row r="894" spans="1:57">
      <c r="A894">
        <v>0</v>
      </c>
      <c r="B894">
        <v>0</v>
      </c>
      <c r="C894">
        <v>0</v>
      </c>
      <c r="D894">
        <v>987</v>
      </c>
      <c r="E894" t="s">
        <v>1427</v>
      </c>
      <c r="F894" t="s">
        <v>5761</v>
      </c>
      <c r="G894" t="s">
        <v>62</v>
      </c>
      <c r="H894">
        <v>1029580</v>
      </c>
      <c r="I894">
        <v>1030068</v>
      </c>
      <c r="J894" t="s">
        <v>1428</v>
      </c>
      <c r="K894">
        <v>163</v>
      </c>
      <c r="L894" t="s">
        <v>59</v>
      </c>
      <c r="M894">
        <v>5</v>
      </c>
      <c r="N894" t="str">
        <f>HYPERLINK("Gene987-zp_tree_all.dnd", "Gene987-tree")</f>
        <v>Gene987-tree</v>
      </c>
      <c r="O894">
        <v>5</v>
      </c>
      <c r="P894">
        <v>0</v>
      </c>
      <c r="Q894">
        <v>4</v>
      </c>
      <c r="R894">
        <v>0</v>
      </c>
      <c r="S894">
        <v>0</v>
      </c>
      <c r="T894" t="s">
        <v>150</v>
      </c>
      <c r="U894" t="s">
        <v>62</v>
      </c>
      <c r="V894" t="s">
        <v>62</v>
      </c>
      <c r="W894" t="s">
        <v>62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4</v>
      </c>
      <c r="AM894">
        <v>1</v>
      </c>
      <c r="AN894">
        <v>6</v>
      </c>
      <c r="AO894">
        <v>0</v>
      </c>
      <c r="AP894">
        <v>7</v>
      </c>
      <c r="AQ894">
        <v>0</v>
      </c>
      <c r="AR894" t="s">
        <v>64</v>
      </c>
      <c r="AS894" t="s">
        <v>64</v>
      </c>
      <c r="AT894">
        <v>0</v>
      </c>
      <c r="AU894" t="s">
        <v>65</v>
      </c>
      <c r="AV894">
        <v>13</v>
      </c>
      <c r="AW894">
        <v>0</v>
      </c>
      <c r="AX894" t="s">
        <v>1429</v>
      </c>
      <c r="AY894" t="s">
        <v>1430</v>
      </c>
      <c r="AZ894" t="s">
        <v>64</v>
      </c>
      <c r="BA894">
        <v>0</v>
      </c>
      <c r="BB894">
        <v>1</v>
      </c>
      <c r="BC894" t="s">
        <v>69</v>
      </c>
      <c r="BD894">
        <v>0.65200000000000002</v>
      </c>
      <c r="BE894">
        <v>0.65200000000000002</v>
      </c>
    </row>
    <row r="895" spans="1:57">
      <c r="A895">
        <v>0</v>
      </c>
      <c r="B895">
        <v>0</v>
      </c>
      <c r="C895">
        <v>0</v>
      </c>
      <c r="D895">
        <v>990</v>
      </c>
      <c r="E895" t="s">
        <v>1437</v>
      </c>
      <c r="F895" t="s">
        <v>5761</v>
      </c>
      <c r="G895" t="s">
        <v>62</v>
      </c>
      <c r="H895">
        <v>1032066</v>
      </c>
      <c r="I895">
        <v>1033397</v>
      </c>
      <c r="J895" t="s">
        <v>1438</v>
      </c>
      <c r="K895">
        <v>444</v>
      </c>
      <c r="L895" t="s">
        <v>59</v>
      </c>
      <c r="M895">
        <v>5</v>
      </c>
      <c r="N895" t="str">
        <f>HYPERLINK("Gene990-zp_tree_all.dnd", "Gene990-tree")</f>
        <v>Gene990-tree</v>
      </c>
      <c r="O895">
        <v>2</v>
      </c>
      <c r="P895">
        <v>3</v>
      </c>
      <c r="Q895">
        <v>2</v>
      </c>
      <c r="R895">
        <v>3</v>
      </c>
      <c r="S895">
        <v>0.6</v>
      </c>
      <c r="T895" t="s">
        <v>135</v>
      </c>
      <c r="U895" t="s">
        <v>84</v>
      </c>
      <c r="V895" t="s">
        <v>62</v>
      </c>
      <c r="W895" t="s">
        <v>62</v>
      </c>
      <c r="X895">
        <v>0</v>
      </c>
      <c r="Y895">
        <v>0</v>
      </c>
      <c r="Z895">
        <v>8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4</v>
      </c>
      <c r="AK895">
        <v>0</v>
      </c>
      <c r="AL895">
        <v>5</v>
      </c>
      <c r="AM895">
        <v>2</v>
      </c>
      <c r="AN895">
        <v>24</v>
      </c>
      <c r="AO895">
        <v>4</v>
      </c>
      <c r="AP895">
        <v>45</v>
      </c>
      <c r="AQ895">
        <v>5</v>
      </c>
      <c r="AR895" t="s">
        <v>1439</v>
      </c>
      <c r="AS895" t="s">
        <v>1440</v>
      </c>
      <c r="AT895">
        <v>0.46200000000000002</v>
      </c>
      <c r="AU895" t="s">
        <v>65</v>
      </c>
      <c r="AV895">
        <v>69</v>
      </c>
      <c r="AW895">
        <v>9</v>
      </c>
      <c r="AX895" t="s">
        <v>1441</v>
      </c>
      <c r="AY895" t="s">
        <v>1442</v>
      </c>
      <c r="AZ895" t="s">
        <v>1443</v>
      </c>
      <c r="BA895">
        <v>3.4380000000000001E-2</v>
      </c>
      <c r="BB895">
        <v>1</v>
      </c>
      <c r="BC895" t="s">
        <v>69</v>
      </c>
      <c r="BD895">
        <v>0.91300000000000003</v>
      </c>
      <c r="BE895">
        <v>0.61499999999999999</v>
      </c>
    </row>
    <row r="896" spans="1:57">
      <c r="A896">
        <v>0</v>
      </c>
      <c r="B896">
        <v>0</v>
      </c>
      <c r="C896">
        <v>0</v>
      </c>
      <c r="D896">
        <v>991</v>
      </c>
      <c r="E896" t="s">
        <v>1444</v>
      </c>
      <c r="F896" t="s">
        <v>5761</v>
      </c>
      <c r="G896" t="s">
        <v>62</v>
      </c>
      <c r="H896">
        <v>1033461</v>
      </c>
      <c r="I896">
        <v>1033889</v>
      </c>
      <c r="J896" t="s">
        <v>1445</v>
      </c>
      <c r="K896">
        <v>143</v>
      </c>
      <c r="L896" t="s">
        <v>59</v>
      </c>
      <c r="M896">
        <v>5</v>
      </c>
      <c r="N896" t="str">
        <f>HYPERLINK("Gene991-zp_tree_all.dnd", "Gene991-tree")</f>
        <v>Gene991-tree</v>
      </c>
      <c r="O896">
        <v>4</v>
      </c>
      <c r="P896">
        <v>0</v>
      </c>
      <c r="Q896">
        <v>4</v>
      </c>
      <c r="R896">
        <v>0</v>
      </c>
      <c r="S896">
        <v>0</v>
      </c>
      <c r="T896" t="s">
        <v>60</v>
      </c>
      <c r="U896" t="s">
        <v>62</v>
      </c>
      <c r="V896" t="s">
        <v>62</v>
      </c>
      <c r="W896" t="s">
        <v>62</v>
      </c>
      <c r="X896">
        <v>0</v>
      </c>
      <c r="Y896">
        <v>0</v>
      </c>
      <c r="Z896">
        <v>1</v>
      </c>
      <c r="AA896">
        <v>0</v>
      </c>
      <c r="AB896">
        <v>0</v>
      </c>
      <c r="AC896">
        <v>0</v>
      </c>
      <c r="AD896">
        <v>0</v>
      </c>
      <c r="AE896">
        <v>1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2</v>
      </c>
      <c r="AM896">
        <v>1</v>
      </c>
      <c r="AN896">
        <v>2</v>
      </c>
      <c r="AO896">
        <v>0</v>
      </c>
      <c r="AP896">
        <v>6</v>
      </c>
      <c r="AQ896">
        <v>1</v>
      </c>
      <c r="AR896" t="s">
        <v>64</v>
      </c>
      <c r="AS896" t="s">
        <v>1446</v>
      </c>
      <c r="AT896">
        <v>0</v>
      </c>
      <c r="AU896" t="s">
        <v>65</v>
      </c>
      <c r="AV896">
        <v>8</v>
      </c>
      <c r="AW896">
        <v>1</v>
      </c>
      <c r="AX896" t="s">
        <v>1447</v>
      </c>
      <c r="AY896" t="s">
        <v>1448</v>
      </c>
      <c r="AZ896" t="s">
        <v>1449</v>
      </c>
      <c r="BA896">
        <v>3.9379999999999998E-2</v>
      </c>
      <c r="BB896">
        <v>1</v>
      </c>
      <c r="BC896" t="s">
        <v>69</v>
      </c>
      <c r="BD896">
        <v>1.119</v>
      </c>
      <c r="BE896">
        <v>1.119</v>
      </c>
    </row>
    <row r="897" spans="1:57">
      <c r="A897">
        <v>0</v>
      </c>
      <c r="B897">
        <v>0</v>
      </c>
      <c r="C897">
        <v>0</v>
      </c>
      <c r="D897">
        <v>1008</v>
      </c>
      <c r="E897" t="s">
        <v>1455</v>
      </c>
      <c r="F897" t="s">
        <v>5761</v>
      </c>
      <c r="G897" t="s">
        <v>62</v>
      </c>
      <c r="H897">
        <v>1049804</v>
      </c>
      <c r="I897">
        <v>1049926</v>
      </c>
      <c r="J897" t="s">
        <v>170</v>
      </c>
      <c r="K897">
        <v>41</v>
      </c>
      <c r="L897" t="s">
        <v>83</v>
      </c>
      <c r="M897">
        <v>4</v>
      </c>
      <c r="N897" t="str">
        <f>HYPERLINK("Gene1008-zp_tree_all.dnd", "Gene1008-tree")</f>
        <v>Gene1008-tree</v>
      </c>
    </row>
    <row r="898" spans="1:57">
      <c r="A898">
        <v>0</v>
      </c>
      <c r="B898">
        <v>0</v>
      </c>
      <c r="C898">
        <v>0</v>
      </c>
      <c r="D898">
        <v>1009</v>
      </c>
      <c r="E898" t="s">
        <v>1456</v>
      </c>
      <c r="F898" t="s">
        <v>5761</v>
      </c>
      <c r="G898" t="s">
        <v>62</v>
      </c>
      <c r="H898">
        <v>1050034</v>
      </c>
      <c r="I898">
        <v>1050234</v>
      </c>
      <c r="J898" t="s">
        <v>1457</v>
      </c>
      <c r="K898">
        <v>67</v>
      </c>
      <c r="L898" t="s">
        <v>59</v>
      </c>
      <c r="M898">
        <v>5</v>
      </c>
      <c r="N898" t="str">
        <f>HYPERLINK("Gene1009-zp_tree_all.dnd", "Gene1009-tree")</f>
        <v>Gene1009-tree</v>
      </c>
      <c r="O898">
        <v>3</v>
      </c>
      <c r="P898">
        <v>1</v>
      </c>
      <c r="Q898">
        <v>3</v>
      </c>
      <c r="R898">
        <v>1</v>
      </c>
      <c r="S898">
        <v>0.25</v>
      </c>
      <c r="T898" t="s">
        <v>84</v>
      </c>
      <c r="U898" t="s">
        <v>61</v>
      </c>
      <c r="V898" t="s">
        <v>62</v>
      </c>
      <c r="W898" t="s">
        <v>62</v>
      </c>
      <c r="X898">
        <v>0</v>
      </c>
      <c r="Y898">
        <v>0</v>
      </c>
      <c r="Z898">
        <v>1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1</v>
      </c>
      <c r="AK898">
        <v>0</v>
      </c>
      <c r="AL898">
        <v>3</v>
      </c>
      <c r="AM898">
        <v>1</v>
      </c>
      <c r="AN898">
        <v>3</v>
      </c>
      <c r="AO898">
        <v>1</v>
      </c>
      <c r="AP898">
        <v>1</v>
      </c>
      <c r="AQ898">
        <v>0</v>
      </c>
      <c r="AR898" t="s">
        <v>1458</v>
      </c>
      <c r="AS898" t="s">
        <v>64</v>
      </c>
      <c r="AT898">
        <v>0.64800000000000002</v>
      </c>
      <c r="AU898" t="s">
        <v>65</v>
      </c>
      <c r="AV898">
        <v>4</v>
      </c>
      <c r="AW898">
        <v>1</v>
      </c>
      <c r="AX898" t="s">
        <v>1459</v>
      </c>
      <c r="AY898" t="s">
        <v>1460</v>
      </c>
      <c r="AZ898" t="s">
        <v>1461</v>
      </c>
      <c r="BA898">
        <v>7.5079999999999994E-2</v>
      </c>
      <c r="BB898">
        <v>1</v>
      </c>
      <c r="BC898" t="s">
        <v>69</v>
      </c>
      <c r="BD898">
        <v>0.61499999999999999</v>
      </c>
      <c r="BE898">
        <v>-1.0940000000000001</v>
      </c>
    </row>
    <row r="899" spans="1:57">
      <c r="A899">
        <v>0</v>
      </c>
      <c r="B899">
        <v>0</v>
      </c>
      <c r="C899">
        <v>0</v>
      </c>
      <c r="D899">
        <v>1010</v>
      </c>
      <c r="E899" t="s">
        <v>1462</v>
      </c>
      <c r="F899" t="s">
        <v>5761</v>
      </c>
      <c r="G899" t="s">
        <v>62</v>
      </c>
      <c r="H899">
        <v>1050446</v>
      </c>
      <c r="I899">
        <v>1050661</v>
      </c>
      <c r="J899" t="s">
        <v>1463</v>
      </c>
      <c r="K899">
        <v>72</v>
      </c>
      <c r="L899" t="s">
        <v>59</v>
      </c>
      <c r="M899">
        <v>5</v>
      </c>
      <c r="N899" t="str">
        <f>HYPERLINK("Gene1010-zp_tree_all.dnd", "Gene1010-tree")</f>
        <v>Gene1010-tree</v>
      </c>
      <c r="O899">
        <v>5</v>
      </c>
      <c r="P899">
        <v>0</v>
      </c>
      <c r="Q899">
        <v>4</v>
      </c>
      <c r="R899">
        <v>0</v>
      </c>
      <c r="S899">
        <v>0</v>
      </c>
      <c r="T899" t="s">
        <v>150</v>
      </c>
      <c r="U899" t="s">
        <v>62</v>
      </c>
      <c r="V899" t="s">
        <v>62</v>
      </c>
      <c r="W899" t="s">
        <v>62</v>
      </c>
      <c r="X899">
        <v>0</v>
      </c>
      <c r="Y899">
        <v>0</v>
      </c>
      <c r="Z899">
        <v>2</v>
      </c>
      <c r="AA899">
        <v>0</v>
      </c>
      <c r="AB899">
        <v>0</v>
      </c>
      <c r="AC899">
        <v>0</v>
      </c>
      <c r="AD899">
        <v>0</v>
      </c>
      <c r="AE899">
        <v>2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2</v>
      </c>
      <c r="AM899">
        <v>1</v>
      </c>
      <c r="AN899">
        <v>2</v>
      </c>
      <c r="AO899">
        <v>0</v>
      </c>
      <c r="AP899">
        <v>3</v>
      </c>
      <c r="AQ899">
        <v>2</v>
      </c>
      <c r="AR899" t="s">
        <v>64</v>
      </c>
      <c r="AS899" t="s">
        <v>1464</v>
      </c>
      <c r="AT899">
        <v>0</v>
      </c>
      <c r="AU899" t="s">
        <v>65</v>
      </c>
      <c r="AV899">
        <v>5</v>
      </c>
      <c r="AW899">
        <v>2</v>
      </c>
      <c r="AX899" t="s">
        <v>1465</v>
      </c>
      <c r="AY899" t="s">
        <v>1466</v>
      </c>
      <c r="AZ899" t="s">
        <v>1467</v>
      </c>
      <c r="BA899">
        <v>0.11274000000000001</v>
      </c>
      <c r="BB899">
        <v>0.98899999999999999</v>
      </c>
      <c r="BC899" t="s">
        <v>69</v>
      </c>
      <c r="BD899">
        <v>1.3280000000000001</v>
      </c>
      <c r="BE899">
        <v>1.3280000000000001</v>
      </c>
    </row>
    <row r="900" spans="1:57">
      <c r="A900">
        <v>0</v>
      </c>
      <c r="B900">
        <v>0</v>
      </c>
      <c r="C900">
        <v>0</v>
      </c>
      <c r="D900">
        <v>1034</v>
      </c>
      <c r="E900" t="s">
        <v>1483</v>
      </c>
      <c r="F900" t="s">
        <v>5761</v>
      </c>
      <c r="G900" t="s">
        <v>62</v>
      </c>
      <c r="H900">
        <v>1073109</v>
      </c>
      <c r="I900">
        <v>1073717</v>
      </c>
      <c r="J900" t="s">
        <v>1484</v>
      </c>
      <c r="K900">
        <v>203</v>
      </c>
      <c r="L900" t="s">
        <v>59</v>
      </c>
      <c r="M900">
        <v>5</v>
      </c>
      <c r="N900" t="str">
        <f>HYPERLINK("Gene1034-zp_tree_all.dnd", "Gene1034-tree")</f>
        <v>Gene1034-tree</v>
      </c>
      <c r="O900">
        <v>4</v>
      </c>
      <c r="P900">
        <v>1</v>
      </c>
      <c r="Q900">
        <v>4</v>
      </c>
      <c r="R900">
        <v>1</v>
      </c>
      <c r="S900">
        <v>0.2</v>
      </c>
      <c r="T900" t="s">
        <v>60</v>
      </c>
      <c r="U900" t="s">
        <v>61</v>
      </c>
      <c r="V900" t="s">
        <v>62</v>
      </c>
      <c r="W900" t="s">
        <v>62</v>
      </c>
      <c r="X900">
        <v>0</v>
      </c>
      <c r="Y900">
        <v>0</v>
      </c>
      <c r="Z900">
        <v>2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1</v>
      </c>
      <c r="AK900">
        <v>0</v>
      </c>
      <c r="AL900">
        <v>5</v>
      </c>
      <c r="AM900">
        <v>2</v>
      </c>
      <c r="AN900">
        <v>13</v>
      </c>
      <c r="AO900">
        <v>1</v>
      </c>
      <c r="AP900">
        <v>11</v>
      </c>
      <c r="AQ900">
        <v>1</v>
      </c>
      <c r="AR900" t="s">
        <v>1485</v>
      </c>
      <c r="AS900" t="s">
        <v>1486</v>
      </c>
      <c r="AT900">
        <v>0.06</v>
      </c>
      <c r="AU900" t="s">
        <v>65</v>
      </c>
      <c r="AV900">
        <v>24</v>
      </c>
      <c r="AW900">
        <v>2</v>
      </c>
      <c r="AX900" t="s">
        <v>1487</v>
      </c>
      <c r="AY900" t="s">
        <v>1488</v>
      </c>
      <c r="AZ900" t="s">
        <v>1489</v>
      </c>
      <c r="BA900">
        <v>2.0480000000000002E-2</v>
      </c>
      <c r="BB900">
        <v>1</v>
      </c>
      <c r="BC900" t="s">
        <v>69</v>
      </c>
      <c r="BD900">
        <v>0.372</v>
      </c>
      <c r="BE900">
        <v>0.372</v>
      </c>
    </row>
    <row r="901" spans="1:57">
      <c r="A901">
        <v>0</v>
      </c>
      <c r="B901">
        <v>0</v>
      </c>
      <c r="C901">
        <v>0</v>
      </c>
      <c r="D901">
        <v>1035</v>
      </c>
      <c r="E901" t="s">
        <v>1490</v>
      </c>
      <c r="F901" t="s">
        <v>5761</v>
      </c>
      <c r="G901" t="s">
        <v>62</v>
      </c>
      <c r="H901">
        <v>1073898</v>
      </c>
      <c r="I901">
        <v>1074251</v>
      </c>
      <c r="J901" t="s">
        <v>1491</v>
      </c>
      <c r="K901">
        <v>118</v>
      </c>
      <c r="L901" t="s">
        <v>59</v>
      </c>
      <c r="M901">
        <v>5</v>
      </c>
      <c r="N901" t="str">
        <f>HYPERLINK("Gene1035-zp_tree_all.dnd", "Gene1035-tree")</f>
        <v>Gene1035-tree</v>
      </c>
      <c r="O901">
        <v>5</v>
      </c>
      <c r="P901">
        <v>0</v>
      </c>
      <c r="Q901">
        <v>5</v>
      </c>
      <c r="R901">
        <v>0</v>
      </c>
      <c r="S901">
        <v>0</v>
      </c>
      <c r="T901" t="s">
        <v>98</v>
      </c>
      <c r="U901" t="s">
        <v>62</v>
      </c>
      <c r="V901" t="s">
        <v>62</v>
      </c>
      <c r="W901" t="s">
        <v>62</v>
      </c>
      <c r="X901">
        <v>0</v>
      </c>
      <c r="Y901">
        <v>0</v>
      </c>
      <c r="Z901">
        <v>3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5</v>
      </c>
      <c r="AM901">
        <v>2</v>
      </c>
      <c r="AN901">
        <v>10</v>
      </c>
      <c r="AO901">
        <v>0</v>
      </c>
      <c r="AP901">
        <v>10</v>
      </c>
      <c r="AQ901">
        <v>4</v>
      </c>
      <c r="AR901" t="s">
        <v>64</v>
      </c>
      <c r="AS901" t="s">
        <v>1492</v>
      </c>
      <c r="AT901">
        <v>0.85199999999999998</v>
      </c>
      <c r="AU901" t="s">
        <v>65</v>
      </c>
      <c r="AV901">
        <v>20</v>
      </c>
      <c r="AW901">
        <v>4</v>
      </c>
      <c r="AX901" t="s">
        <v>1493</v>
      </c>
      <c r="AY901" t="s">
        <v>1494</v>
      </c>
      <c r="AZ901" t="s">
        <v>1495</v>
      </c>
      <c r="BA901">
        <v>6.6640000000000005E-2</v>
      </c>
      <c r="BB901">
        <v>1</v>
      </c>
      <c r="BC901" t="s">
        <v>69</v>
      </c>
      <c r="BD901">
        <v>1.2629999999999999</v>
      </c>
      <c r="BE901">
        <v>0.97</v>
      </c>
    </row>
    <row r="902" spans="1:57">
      <c r="A902">
        <v>0</v>
      </c>
      <c r="B902">
        <v>0</v>
      </c>
      <c r="C902">
        <v>0</v>
      </c>
      <c r="D902">
        <v>1058</v>
      </c>
      <c r="E902" t="s">
        <v>1516</v>
      </c>
      <c r="F902" t="s">
        <v>5761</v>
      </c>
      <c r="G902" t="s">
        <v>62</v>
      </c>
      <c r="H902">
        <v>1098123</v>
      </c>
      <c r="I902">
        <v>1098260</v>
      </c>
      <c r="J902" t="s">
        <v>118</v>
      </c>
      <c r="K902">
        <v>46</v>
      </c>
      <c r="L902" t="s">
        <v>59</v>
      </c>
      <c r="M902">
        <v>5</v>
      </c>
      <c r="N902" t="str">
        <f>HYPERLINK("Gene1058-zp_tree_all.dnd", "Gene1058-tree")</f>
        <v>Gene1058-tree</v>
      </c>
      <c r="O902">
        <v>4</v>
      </c>
      <c r="P902">
        <v>0</v>
      </c>
      <c r="Q902">
        <v>4</v>
      </c>
      <c r="R902">
        <v>0</v>
      </c>
      <c r="S902">
        <v>0</v>
      </c>
      <c r="T902" t="s">
        <v>60</v>
      </c>
      <c r="U902" t="s">
        <v>62</v>
      </c>
      <c r="V902" t="s">
        <v>62</v>
      </c>
      <c r="W902" t="s">
        <v>62</v>
      </c>
      <c r="X902">
        <v>0</v>
      </c>
      <c r="Y902">
        <v>0</v>
      </c>
      <c r="Z902">
        <v>1</v>
      </c>
      <c r="AA902">
        <v>0</v>
      </c>
      <c r="AB902">
        <v>0</v>
      </c>
      <c r="AC902">
        <v>0</v>
      </c>
      <c r="AD902">
        <v>0</v>
      </c>
      <c r="AE902">
        <v>1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3</v>
      </c>
      <c r="AM902">
        <v>1</v>
      </c>
      <c r="AN902">
        <v>4</v>
      </c>
      <c r="AO902">
        <v>0</v>
      </c>
      <c r="AP902">
        <v>3</v>
      </c>
      <c r="AQ902">
        <v>1</v>
      </c>
      <c r="AR902" t="s">
        <v>64</v>
      </c>
      <c r="AS902" t="s">
        <v>1517</v>
      </c>
      <c r="AT902">
        <v>0</v>
      </c>
      <c r="AU902" t="s">
        <v>65</v>
      </c>
      <c r="AV902">
        <v>7</v>
      </c>
      <c r="AW902">
        <v>1</v>
      </c>
      <c r="AX902" t="s">
        <v>1518</v>
      </c>
      <c r="AY902" t="s">
        <v>1519</v>
      </c>
      <c r="AZ902" t="s">
        <v>1520</v>
      </c>
      <c r="BA902">
        <v>3.5470000000000002E-2</v>
      </c>
      <c r="BB902">
        <v>1</v>
      </c>
      <c r="BC902" t="s">
        <v>69</v>
      </c>
      <c r="BD902">
        <v>1.5349999999999999</v>
      </c>
      <c r="BE902">
        <v>0.498</v>
      </c>
    </row>
    <row r="903" spans="1:57">
      <c r="A903">
        <v>0</v>
      </c>
      <c r="B903">
        <v>2</v>
      </c>
      <c r="C903">
        <v>0</v>
      </c>
      <c r="D903">
        <v>1065</v>
      </c>
      <c r="E903" t="s">
        <v>1527</v>
      </c>
      <c r="F903" t="s">
        <v>5761</v>
      </c>
      <c r="G903" t="s">
        <v>62</v>
      </c>
      <c r="H903">
        <v>1104426</v>
      </c>
      <c r="I903">
        <v>1105568</v>
      </c>
      <c r="J903" t="s">
        <v>1528</v>
      </c>
      <c r="K903">
        <v>381</v>
      </c>
      <c r="L903" t="s">
        <v>83</v>
      </c>
      <c r="M903">
        <v>4</v>
      </c>
      <c r="N903" t="str">
        <f>HYPERLINK("Gene1065-zp_tree_all.dnd", "Gene1065-tree")</f>
        <v>Gene1065-tree</v>
      </c>
      <c r="O903">
        <v>0</v>
      </c>
      <c r="P903">
        <v>4</v>
      </c>
      <c r="Q903">
        <v>0</v>
      </c>
      <c r="R903">
        <v>4</v>
      </c>
      <c r="S903">
        <v>1</v>
      </c>
      <c r="T903" t="s">
        <v>62</v>
      </c>
      <c r="U903" t="s">
        <v>60</v>
      </c>
      <c r="V903" t="s">
        <v>62</v>
      </c>
      <c r="W903" t="s">
        <v>62</v>
      </c>
      <c r="X903">
        <v>1</v>
      </c>
      <c r="Y903">
        <v>2</v>
      </c>
      <c r="Z903">
        <v>11</v>
      </c>
      <c r="AA903">
        <v>0.15384999999999999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2</v>
      </c>
      <c r="AH903">
        <v>0</v>
      </c>
      <c r="AI903">
        <v>2</v>
      </c>
      <c r="AJ903">
        <v>9</v>
      </c>
      <c r="AK903">
        <v>0.18182000000000001</v>
      </c>
      <c r="AL903">
        <v>4</v>
      </c>
      <c r="AM903">
        <v>1</v>
      </c>
      <c r="AN903">
        <v>49</v>
      </c>
      <c r="AO903">
        <v>11</v>
      </c>
      <c r="AP903">
        <v>9</v>
      </c>
      <c r="AQ903">
        <v>2</v>
      </c>
      <c r="AR903" t="s">
        <v>1529</v>
      </c>
      <c r="AS903" t="s">
        <v>1530</v>
      </c>
      <c r="AT903">
        <v>7.0000000000000001E-3</v>
      </c>
      <c r="AU903" t="s">
        <v>65</v>
      </c>
      <c r="AV903">
        <v>58</v>
      </c>
      <c r="AW903">
        <v>13</v>
      </c>
      <c r="AX903" t="s">
        <v>1531</v>
      </c>
      <c r="AY903" t="s">
        <v>1532</v>
      </c>
      <c r="AZ903" t="s">
        <v>1533</v>
      </c>
      <c r="BA903">
        <v>6.5750000000000003E-2</v>
      </c>
      <c r="BB903">
        <v>1</v>
      </c>
      <c r="BC903" t="s">
        <v>69</v>
      </c>
      <c r="BD903">
        <v>-4.8000000000000001E-2</v>
      </c>
      <c r="BE903">
        <v>-0.193</v>
      </c>
    </row>
    <row r="904" spans="1:57">
      <c r="A904">
        <v>0</v>
      </c>
      <c r="B904">
        <v>0</v>
      </c>
      <c r="C904">
        <v>0</v>
      </c>
      <c r="D904">
        <v>1076</v>
      </c>
      <c r="E904" t="s">
        <v>1534</v>
      </c>
      <c r="F904" t="s">
        <v>5761</v>
      </c>
      <c r="G904" t="s">
        <v>62</v>
      </c>
      <c r="H904">
        <v>1116586</v>
      </c>
      <c r="I904">
        <v>1116816</v>
      </c>
      <c r="J904" t="s">
        <v>118</v>
      </c>
      <c r="K904">
        <v>77</v>
      </c>
      <c r="L904" t="s">
        <v>59</v>
      </c>
      <c r="M904">
        <v>5</v>
      </c>
      <c r="N904" t="str">
        <f>HYPERLINK("Gene1076-zp_tree_all.dnd", "Gene1076-tree")</f>
        <v>Gene1076-tree</v>
      </c>
      <c r="O904">
        <v>0</v>
      </c>
      <c r="P904">
        <v>5</v>
      </c>
      <c r="Q904">
        <v>0</v>
      </c>
      <c r="R904">
        <v>4</v>
      </c>
      <c r="S904">
        <v>1</v>
      </c>
      <c r="T904" t="s">
        <v>62</v>
      </c>
      <c r="U904" t="s">
        <v>150</v>
      </c>
      <c r="V904">
        <v>3.1949999999999998</v>
      </c>
      <c r="W904" t="s">
        <v>65</v>
      </c>
      <c r="X904">
        <v>0</v>
      </c>
      <c r="Y904">
        <v>0</v>
      </c>
      <c r="Z904">
        <v>5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5</v>
      </c>
      <c r="AK904">
        <v>0</v>
      </c>
      <c r="AL904">
        <v>2</v>
      </c>
      <c r="AM904">
        <v>1</v>
      </c>
      <c r="AN904">
        <v>1</v>
      </c>
      <c r="AO904">
        <v>3</v>
      </c>
      <c r="AP904">
        <v>4</v>
      </c>
      <c r="AQ904">
        <v>2</v>
      </c>
      <c r="AR904" t="s">
        <v>1535</v>
      </c>
      <c r="AS904" t="s">
        <v>1536</v>
      </c>
      <c r="AT904">
        <v>1.069</v>
      </c>
      <c r="AU904" t="s">
        <v>65</v>
      </c>
      <c r="AV904">
        <v>5</v>
      </c>
      <c r="AW904">
        <v>5</v>
      </c>
      <c r="AX904" t="s">
        <v>1537</v>
      </c>
      <c r="AY904" t="s">
        <v>1538</v>
      </c>
      <c r="AZ904" t="s">
        <v>1539</v>
      </c>
      <c r="BA904">
        <v>0.22086</v>
      </c>
      <c r="BB904">
        <v>0.96799999999999997</v>
      </c>
      <c r="BC904" t="s">
        <v>69</v>
      </c>
      <c r="BD904">
        <v>0.89400000000000002</v>
      </c>
      <c r="BE904">
        <v>0.89400000000000002</v>
      </c>
    </row>
    <row r="905" spans="1:57">
      <c r="A905">
        <v>0</v>
      </c>
      <c r="B905">
        <v>0</v>
      </c>
      <c r="C905">
        <v>0</v>
      </c>
      <c r="D905">
        <v>1081</v>
      </c>
      <c r="E905" t="s">
        <v>1540</v>
      </c>
      <c r="F905" t="s">
        <v>5761</v>
      </c>
      <c r="G905" t="s">
        <v>62</v>
      </c>
      <c r="H905">
        <v>1120631</v>
      </c>
      <c r="I905">
        <v>1120828</v>
      </c>
      <c r="J905" t="s">
        <v>1541</v>
      </c>
      <c r="K905">
        <v>66</v>
      </c>
      <c r="L905" t="s">
        <v>59</v>
      </c>
      <c r="M905">
        <v>5</v>
      </c>
      <c r="N905" t="str">
        <f>HYPERLINK("Gene1081-zp_tree_all.dnd", "Gene1081-tree")</f>
        <v>Gene1081-tree</v>
      </c>
      <c r="O905">
        <v>4</v>
      </c>
      <c r="P905">
        <v>1</v>
      </c>
      <c r="Q905">
        <v>3</v>
      </c>
      <c r="R905">
        <v>1</v>
      </c>
      <c r="S905">
        <v>0.25</v>
      </c>
      <c r="T905" t="s">
        <v>119</v>
      </c>
      <c r="U905" t="s">
        <v>61</v>
      </c>
      <c r="V905" t="s">
        <v>62</v>
      </c>
      <c r="W905" t="s">
        <v>62</v>
      </c>
      <c r="X905">
        <v>0</v>
      </c>
      <c r="Y905">
        <v>0</v>
      </c>
      <c r="Z905">
        <v>1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1</v>
      </c>
      <c r="AK905">
        <v>0</v>
      </c>
      <c r="AL905">
        <v>4</v>
      </c>
      <c r="AM905">
        <v>1</v>
      </c>
      <c r="AN905">
        <v>6</v>
      </c>
      <c r="AO905">
        <v>1</v>
      </c>
      <c r="AP905">
        <v>5</v>
      </c>
      <c r="AQ905">
        <v>0</v>
      </c>
      <c r="AR905" t="s">
        <v>1542</v>
      </c>
      <c r="AS905" t="s">
        <v>64</v>
      </c>
      <c r="AT905">
        <v>0.64200000000000002</v>
      </c>
      <c r="AU905" t="s">
        <v>65</v>
      </c>
      <c r="AV905">
        <v>11</v>
      </c>
      <c r="AW905">
        <v>1</v>
      </c>
      <c r="AX905" t="s">
        <v>1543</v>
      </c>
      <c r="AY905" t="s">
        <v>1544</v>
      </c>
      <c r="AZ905" t="s">
        <v>1545</v>
      </c>
      <c r="BA905">
        <v>2.2380000000000001E-2</v>
      </c>
      <c r="BB905">
        <v>1</v>
      </c>
      <c r="BC905" t="s">
        <v>69</v>
      </c>
      <c r="BD905">
        <v>0.84499999999999997</v>
      </c>
      <c r="BE905">
        <v>0.16400000000000001</v>
      </c>
    </row>
    <row r="906" spans="1:57">
      <c r="A906">
        <v>0</v>
      </c>
      <c r="B906">
        <v>0</v>
      </c>
      <c r="C906">
        <v>2</v>
      </c>
      <c r="D906">
        <v>1088</v>
      </c>
      <c r="E906" t="s">
        <v>1560</v>
      </c>
      <c r="F906" t="s">
        <v>5761</v>
      </c>
      <c r="G906" t="s">
        <v>62</v>
      </c>
      <c r="H906">
        <v>1126403</v>
      </c>
      <c r="I906">
        <v>1127452</v>
      </c>
      <c r="J906" t="s">
        <v>1561</v>
      </c>
      <c r="K906">
        <v>350</v>
      </c>
      <c r="L906" t="s">
        <v>59</v>
      </c>
      <c r="M906">
        <v>5</v>
      </c>
      <c r="N906" t="str">
        <f>HYPERLINK("Gene1088-zp_tree_all.dnd", "Gene1088-tree")</f>
        <v>Gene1088-tree</v>
      </c>
      <c r="O906">
        <v>2</v>
      </c>
      <c r="P906">
        <v>3</v>
      </c>
      <c r="Q906">
        <v>2</v>
      </c>
      <c r="R906">
        <v>3</v>
      </c>
      <c r="S906">
        <v>0.6</v>
      </c>
      <c r="T906" t="s">
        <v>135</v>
      </c>
      <c r="U906" t="s">
        <v>84</v>
      </c>
      <c r="V906" t="s">
        <v>62</v>
      </c>
      <c r="W906" t="s">
        <v>62</v>
      </c>
      <c r="X906">
        <v>1</v>
      </c>
      <c r="Y906">
        <v>2</v>
      </c>
      <c r="Z906">
        <v>18</v>
      </c>
      <c r="AA906">
        <v>0.1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11</v>
      </c>
      <c r="AK906">
        <v>0</v>
      </c>
      <c r="AL906">
        <v>5</v>
      </c>
      <c r="AM906">
        <v>2</v>
      </c>
      <c r="AN906">
        <v>44</v>
      </c>
      <c r="AO906">
        <v>11</v>
      </c>
      <c r="AP906">
        <v>19</v>
      </c>
      <c r="AQ906">
        <v>9</v>
      </c>
      <c r="AR906" t="s">
        <v>1562</v>
      </c>
      <c r="AS906" t="s">
        <v>1563</v>
      </c>
      <c r="AT906">
        <v>0.52500000000000002</v>
      </c>
      <c r="AU906" t="s">
        <v>65</v>
      </c>
      <c r="AV906">
        <v>63</v>
      </c>
      <c r="AW906">
        <v>20</v>
      </c>
      <c r="AX906" t="s">
        <v>1564</v>
      </c>
      <c r="AY906" t="s">
        <v>1565</v>
      </c>
      <c r="AZ906" t="s">
        <v>1566</v>
      </c>
      <c r="BA906">
        <v>8.8139999999999996E-2</v>
      </c>
      <c r="BB906">
        <v>1</v>
      </c>
      <c r="BC906" t="s">
        <v>69</v>
      </c>
      <c r="BD906">
        <v>0.14699999999999999</v>
      </c>
      <c r="BE906">
        <v>-0.126</v>
      </c>
    </row>
    <row r="907" spans="1:57">
      <c r="A907">
        <v>0</v>
      </c>
      <c r="B907">
        <v>0</v>
      </c>
      <c r="C907">
        <v>3</v>
      </c>
      <c r="D907">
        <v>1090</v>
      </c>
      <c r="E907" t="s">
        <v>1567</v>
      </c>
      <c r="F907" t="s">
        <v>5761</v>
      </c>
      <c r="G907" t="s">
        <v>62</v>
      </c>
      <c r="H907">
        <v>1128289</v>
      </c>
      <c r="I907">
        <v>1129611</v>
      </c>
      <c r="J907" t="s">
        <v>1568</v>
      </c>
      <c r="K907">
        <v>441</v>
      </c>
      <c r="L907" t="s">
        <v>83</v>
      </c>
      <c r="M907">
        <v>4</v>
      </c>
      <c r="N907" t="str">
        <f>HYPERLINK("Gene1090-zp_tree_all.dnd", "Gene1090-tree")</f>
        <v>Gene1090-tree</v>
      </c>
      <c r="O907">
        <v>0</v>
      </c>
      <c r="P907">
        <v>4</v>
      </c>
      <c r="Q907">
        <v>0</v>
      </c>
      <c r="R907">
        <v>4</v>
      </c>
      <c r="S907">
        <v>1</v>
      </c>
      <c r="T907" t="s">
        <v>62</v>
      </c>
      <c r="U907" t="s">
        <v>60</v>
      </c>
      <c r="V907" t="s">
        <v>62</v>
      </c>
      <c r="W907" t="s">
        <v>62</v>
      </c>
      <c r="X907">
        <v>1</v>
      </c>
      <c r="Y907">
        <v>3</v>
      </c>
      <c r="Z907">
        <v>28</v>
      </c>
      <c r="AA907">
        <v>9.6769999999999995E-2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3</v>
      </c>
      <c r="AI907">
        <v>3</v>
      </c>
      <c r="AJ907">
        <v>28</v>
      </c>
      <c r="AK907">
        <v>9.6769999999999995E-2</v>
      </c>
      <c r="AL907">
        <v>4</v>
      </c>
      <c r="AM907">
        <v>1</v>
      </c>
      <c r="AN907">
        <v>38</v>
      </c>
      <c r="AO907">
        <v>32</v>
      </c>
      <c r="AP907">
        <v>2</v>
      </c>
      <c r="AQ907">
        <v>0</v>
      </c>
      <c r="AR907" t="s">
        <v>1569</v>
      </c>
      <c r="AS907" t="s">
        <v>64</v>
      </c>
      <c r="AT907">
        <v>0.60399999999999998</v>
      </c>
      <c r="AU907" t="s">
        <v>65</v>
      </c>
      <c r="AV907">
        <v>40</v>
      </c>
      <c r="AW907">
        <v>32</v>
      </c>
      <c r="AX907" t="s">
        <v>1570</v>
      </c>
      <c r="AY907" t="s">
        <v>1571</v>
      </c>
      <c r="AZ907" t="s">
        <v>1572</v>
      </c>
      <c r="BA907">
        <v>0.20018</v>
      </c>
      <c r="BB907">
        <v>1</v>
      </c>
      <c r="BC907" t="s">
        <v>69</v>
      </c>
      <c r="BD907">
        <v>-0.64200000000000002</v>
      </c>
      <c r="BE907">
        <v>-0.77900000000000003</v>
      </c>
    </row>
    <row r="908" spans="1:57">
      <c r="A908">
        <v>0</v>
      </c>
      <c r="B908">
        <v>0</v>
      </c>
      <c r="C908">
        <v>0</v>
      </c>
      <c r="D908">
        <v>1102</v>
      </c>
      <c r="E908" t="s">
        <v>1580</v>
      </c>
      <c r="F908" t="s">
        <v>5761</v>
      </c>
      <c r="G908" t="s">
        <v>62</v>
      </c>
      <c r="H908">
        <v>1148497</v>
      </c>
      <c r="I908">
        <v>1148712</v>
      </c>
      <c r="J908" t="s">
        <v>1581</v>
      </c>
      <c r="K908">
        <v>72</v>
      </c>
      <c r="L908" t="s">
        <v>59</v>
      </c>
      <c r="M908">
        <v>5</v>
      </c>
      <c r="N908" t="str">
        <f>HYPERLINK("Gene1102-zp_tree_all.dnd", "Gene1102-tree")</f>
        <v>Gene1102-tree</v>
      </c>
    </row>
    <row r="909" spans="1:57">
      <c r="A909">
        <v>0</v>
      </c>
      <c r="B909">
        <v>0</v>
      </c>
      <c r="C909">
        <v>0</v>
      </c>
      <c r="D909">
        <v>1105</v>
      </c>
      <c r="E909" t="s">
        <v>1582</v>
      </c>
      <c r="F909" t="s">
        <v>5761</v>
      </c>
      <c r="G909" t="s">
        <v>62</v>
      </c>
      <c r="H909">
        <v>1149321</v>
      </c>
      <c r="I909">
        <v>1149935</v>
      </c>
      <c r="J909" t="s">
        <v>1581</v>
      </c>
      <c r="K909">
        <v>205</v>
      </c>
      <c r="L909" t="s">
        <v>112</v>
      </c>
      <c r="M909">
        <v>4</v>
      </c>
      <c r="N909" t="str">
        <f>HYPERLINK("Gene1105-zp_tree_all.dnd", "Gene1105-tree")</f>
        <v>Gene1105-tree</v>
      </c>
      <c r="O909">
        <v>1</v>
      </c>
      <c r="P909">
        <v>3</v>
      </c>
      <c r="Q909">
        <v>1</v>
      </c>
      <c r="R909">
        <v>3</v>
      </c>
      <c r="S909">
        <v>0.75</v>
      </c>
      <c r="T909" t="s">
        <v>61</v>
      </c>
      <c r="U909" t="s">
        <v>84</v>
      </c>
      <c r="V909" t="s">
        <v>62</v>
      </c>
      <c r="W909" t="s">
        <v>62</v>
      </c>
      <c r="X909">
        <v>0</v>
      </c>
      <c r="Y909">
        <v>0</v>
      </c>
      <c r="Z909">
        <v>8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8</v>
      </c>
      <c r="AK909">
        <v>0</v>
      </c>
      <c r="AL909">
        <v>4</v>
      </c>
      <c r="AM909">
        <v>1</v>
      </c>
      <c r="AN909">
        <v>26</v>
      </c>
      <c r="AO909">
        <v>8</v>
      </c>
      <c r="AP909">
        <v>1</v>
      </c>
      <c r="AQ909">
        <v>0</v>
      </c>
      <c r="AR909" t="s">
        <v>1583</v>
      </c>
      <c r="AS909" t="s">
        <v>64</v>
      </c>
      <c r="AT909">
        <v>1.0620000000000001</v>
      </c>
      <c r="AU909" t="s">
        <v>65</v>
      </c>
      <c r="AV909">
        <v>27</v>
      </c>
      <c r="AW909">
        <v>8</v>
      </c>
      <c r="AX909" t="s">
        <v>1584</v>
      </c>
      <c r="AY909" t="s">
        <v>1585</v>
      </c>
      <c r="AZ909" t="s">
        <v>1586</v>
      </c>
      <c r="BA909">
        <v>6.6650000000000001E-2</v>
      </c>
      <c r="BB909">
        <v>1</v>
      </c>
      <c r="BC909" t="s">
        <v>69</v>
      </c>
      <c r="BD909">
        <v>-0.77300000000000002</v>
      </c>
      <c r="BE909">
        <v>-0.77300000000000002</v>
      </c>
    </row>
    <row r="910" spans="1:57">
      <c r="A910">
        <v>0</v>
      </c>
      <c r="B910">
        <v>0</v>
      </c>
      <c r="C910">
        <v>0</v>
      </c>
      <c r="D910">
        <v>1149</v>
      </c>
      <c r="E910" t="s">
        <v>1611</v>
      </c>
      <c r="F910" t="s">
        <v>5761</v>
      </c>
      <c r="G910" t="s">
        <v>62</v>
      </c>
      <c r="H910">
        <v>1190039</v>
      </c>
      <c r="I910">
        <v>1190233</v>
      </c>
      <c r="J910" t="s">
        <v>1612</v>
      </c>
      <c r="K910">
        <v>65</v>
      </c>
      <c r="L910" t="s">
        <v>112</v>
      </c>
      <c r="M910">
        <v>4</v>
      </c>
      <c r="N910" t="str">
        <f>HYPERLINK("Gene1149-zp_tree_all.dnd", "Gene1149-tree")</f>
        <v>Gene1149-tree</v>
      </c>
    </row>
    <row r="911" spans="1:57">
      <c r="A911">
        <v>0</v>
      </c>
      <c r="B911">
        <v>0</v>
      </c>
      <c r="C911">
        <v>0</v>
      </c>
      <c r="D911">
        <v>1163</v>
      </c>
      <c r="E911" t="s">
        <v>1613</v>
      </c>
      <c r="F911" t="s">
        <v>5761</v>
      </c>
      <c r="G911" t="s">
        <v>62</v>
      </c>
      <c r="H911">
        <v>1204734</v>
      </c>
      <c r="I911">
        <v>1204916</v>
      </c>
      <c r="J911" t="s">
        <v>1614</v>
      </c>
      <c r="K911">
        <v>61</v>
      </c>
      <c r="L911" t="s">
        <v>59</v>
      </c>
      <c r="M911">
        <v>5</v>
      </c>
      <c r="N911" t="str">
        <f>HYPERLINK("Gene1163-zp_tree_all.dnd", "Gene1163-tree")</f>
        <v>Gene1163-tree</v>
      </c>
      <c r="O911">
        <v>2</v>
      </c>
      <c r="P911">
        <v>2</v>
      </c>
      <c r="Q911">
        <v>2</v>
      </c>
      <c r="R911">
        <v>2</v>
      </c>
      <c r="S911">
        <v>0.5</v>
      </c>
      <c r="T911" t="s">
        <v>135</v>
      </c>
      <c r="U911" t="s">
        <v>135</v>
      </c>
      <c r="V911" t="s">
        <v>62</v>
      </c>
      <c r="W911" t="s">
        <v>62</v>
      </c>
      <c r="X911">
        <v>0</v>
      </c>
      <c r="Y911">
        <v>0</v>
      </c>
      <c r="Z911">
        <v>4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4</v>
      </c>
      <c r="AK911">
        <v>0</v>
      </c>
      <c r="AL911">
        <v>2</v>
      </c>
      <c r="AM911">
        <v>1</v>
      </c>
      <c r="AN911">
        <v>1</v>
      </c>
      <c r="AO911">
        <v>1</v>
      </c>
      <c r="AP911">
        <v>2</v>
      </c>
      <c r="AQ911">
        <v>3</v>
      </c>
      <c r="AR911" t="s">
        <v>1615</v>
      </c>
      <c r="AS911" t="s">
        <v>1616</v>
      </c>
      <c r="AT911">
        <v>0.34499999999999997</v>
      </c>
      <c r="AU911" t="s">
        <v>65</v>
      </c>
      <c r="AV911">
        <v>3</v>
      </c>
      <c r="AW911">
        <v>4</v>
      </c>
      <c r="AX911" t="s">
        <v>1617</v>
      </c>
      <c r="AY911" t="s">
        <v>1618</v>
      </c>
      <c r="AZ911" t="s">
        <v>1619</v>
      </c>
      <c r="BA911">
        <v>0.37663000000000002</v>
      </c>
      <c r="BB911">
        <v>0.73299999999999998</v>
      </c>
      <c r="BC911" t="s">
        <v>793</v>
      </c>
      <c r="BD911">
        <v>0.91300000000000003</v>
      </c>
      <c r="BE911">
        <v>0.91300000000000003</v>
      </c>
    </row>
    <row r="912" spans="1:57">
      <c r="A912">
        <v>0</v>
      </c>
      <c r="B912">
        <v>0</v>
      </c>
      <c r="C912">
        <v>0</v>
      </c>
      <c r="D912">
        <v>1192</v>
      </c>
      <c r="E912" t="s">
        <v>1676</v>
      </c>
      <c r="F912" t="s">
        <v>5761</v>
      </c>
      <c r="G912" t="s">
        <v>62</v>
      </c>
      <c r="H912">
        <v>1233136</v>
      </c>
      <c r="I912">
        <v>1233300</v>
      </c>
      <c r="J912" t="s">
        <v>170</v>
      </c>
      <c r="K912">
        <v>55</v>
      </c>
      <c r="L912" t="s">
        <v>112</v>
      </c>
      <c r="M912">
        <v>4</v>
      </c>
      <c r="N912" t="str">
        <f>HYPERLINK("Gene1192-zp_tree_all.dnd", "Gene1192-tree")</f>
        <v>Gene1192-tree</v>
      </c>
    </row>
    <row r="913" spans="1:57">
      <c r="A913">
        <v>0</v>
      </c>
      <c r="B913">
        <v>0</v>
      </c>
      <c r="C913">
        <v>0</v>
      </c>
      <c r="D913">
        <v>1194</v>
      </c>
      <c r="E913" t="s">
        <v>1677</v>
      </c>
      <c r="F913" t="s">
        <v>5761</v>
      </c>
      <c r="G913" t="s">
        <v>62</v>
      </c>
      <c r="H913">
        <v>1234513</v>
      </c>
      <c r="I913">
        <v>1234908</v>
      </c>
      <c r="J913" t="s">
        <v>1678</v>
      </c>
      <c r="K913">
        <v>132</v>
      </c>
      <c r="L913" t="s">
        <v>59</v>
      </c>
      <c r="M913">
        <v>5</v>
      </c>
      <c r="N913" t="str">
        <f>HYPERLINK("Gene1194-zp_tree_all.dnd", "Gene1194-tree")</f>
        <v>Gene1194-tree</v>
      </c>
      <c r="O913">
        <v>5</v>
      </c>
      <c r="P913">
        <v>0</v>
      </c>
      <c r="Q913">
        <v>5</v>
      </c>
      <c r="R913">
        <v>0</v>
      </c>
      <c r="S913">
        <v>0</v>
      </c>
      <c r="T913" t="s">
        <v>98</v>
      </c>
      <c r="U913" t="s">
        <v>62</v>
      </c>
      <c r="V913" t="s">
        <v>62</v>
      </c>
      <c r="W913" t="s">
        <v>62</v>
      </c>
      <c r="X913">
        <v>0</v>
      </c>
      <c r="Y913">
        <v>0</v>
      </c>
      <c r="Z913">
        <v>1</v>
      </c>
      <c r="AA913">
        <v>0</v>
      </c>
      <c r="AB913">
        <v>0</v>
      </c>
      <c r="AC913">
        <v>0</v>
      </c>
      <c r="AD913">
        <v>0</v>
      </c>
      <c r="AE913">
        <v>1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4</v>
      </c>
      <c r="AM913">
        <v>2</v>
      </c>
      <c r="AN913">
        <v>4</v>
      </c>
      <c r="AO913">
        <v>0</v>
      </c>
      <c r="AP913">
        <v>8</v>
      </c>
      <c r="AQ913">
        <v>1</v>
      </c>
      <c r="AR913" t="s">
        <v>64</v>
      </c>
      <c r="AS913" t="s">
        <v>1679</v>
      </c>
      <c r="AT913">
        <v>0.89600000000000002</v>
      </c>
      <c r="AU913" t="s">
        <v>65</v>
      </c>
      <c r="AV913">
        <v>12</v>
      </c>
      <c r="AW913">
        <v>1</v>
      </c>
      <c r="AX913" t="s">
        <v>1680</v>
      </c>
      <c r="AY913" t="s">
        <v>1681</v>
      </c>
      <c r="AZ913" t="s">
        <v>1682</v>
      </c>
      <c r="BA913">
        <v>2.656E-2</v>
      </c>
      <c r="BB913">
        <v>1</v>
      </c>
      <c r="BC913" t="s">
        <v>69</v>
      </c>
      <c r="BD913">
        <v>1.306</v>
      </c>
      <c r="BE913">
        <v>1.306</v>
      </c>
    </row>
    <row r="914" spans="1:57">
      <c r="A914">
        <v>0</v>
      </c>
      <c r="B914">
        <v>0</v>
      </c>
      <c r="C914">
        <v>0</v>
      </c>
      <c r="D914">
        <v>1213</v>
      </c>
      <c r="E914" t="s">
        <v>1701</v>
      </c>
      <c r="F914" t="s">
        <v>5761</v>
      </c>
      <c r="G914" t="s">
        <v>62</v>
      </c>
      <c r="H914">
        <v>1250019</v>
      </c>
      <c r="I914">
        <v>1250504</v>
      </c>
      <c r="J914" t="s">
        <v>1702</v>
      </c>
      <c r="K914">
        <v>162</v>
      </c>
      <c r="L914" t="s">
        <v>83</v>
      </c>
      <c r="M914">
        <v>4</v>
      </c>
      <c r="N914" t="str">
        <f>HYPERLINK("Gene1213-zp_tree_all.dnd", "Gene1213-tree")</f>
        <v>Gene1213-tree</v>
      </c>
    </row>
    <row r="915" spans="1:57">
      <c r="A915">
        <v>0</v>
      </c>
      <c r="B915">
        <v>0</v>
      </c>
      <c r="C915">
        <v>0</v>
      </c>
      <c r="D915">
        <v>1249</v>
      </c>
      <c r="E915" t="s">
        <v>1708</v>
      </c>
      <c r="F915" t="s">
        <v>5761</v>
      </c>
      <c r="G915" t="s">
        <v>62</v>
      </c>
      <c r="H915">
        <v>1278208</v>
      </c>
      <c r="I915">
        <v>1278399</v>
      </c>
      <c r="J915" t="s">
        <v>170</v>
      </c>
      <c r="K915">
        <v>64</v>
      </c>
      <c r="L915" t="s">
        <v>83</v>
      </c>
      <c r="M915">
        <v>4</v>
      </c>
      <c r="N915" t="str">
        <f>HYPERLINK("Gene1249-zp_tree_all.dnd", "Gene1249-tree")</f>
        <v>Gene1249-tree</v>
      </c>
      <c r="O915">
        <v>3</v>
      </c>
      <c r="P915">
        <v>1</v>
      </c>
      <c r="Q915">
        <v>3</v>
      </c>
      <c r="R915">
        <v>1</v>
      </c>
      <c r="S915">
        <v>0.25</v>
      </c>
      <c r="T915" t="s">
        <v>84</v>
      </c>
      <c r="U915" t="s">
        <v>61</v>
      </c>
      <c r="V915" t="s">
        <v>62</v>
      </c>
      <c r="W915" t="s">
        <v>62</v>
      </c>
      <c r="X915">
        <v>0</v>
      </c>
      <c r="Y915">
        <v>0</v>
      </c>
      <c r="Z915">
        <v>3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3</v>
      </c>
      <c r="AK915">
        <v>0</v>
      </c>
      <c r="AL915">
        <v>3</v>
      </c>
      <c r="AM915">
        <v>0</v>
      </c>
      <c r="AN915">
        <v>8</v>
      </c>
      <c r="AO915">
        <v>3</v>
      </c>
      <c r="AP915">
        <v>0</v>
      </c>
      <c r="AQ915">
        <v>0</v>
      </c>
      <c r="AR915" t="s">
        <v>1709</v>
      </c>
      <c r="AS915" t="s">
        <v>64</v>
      </c>
      <c r="AT915">
        <v>0.60799999999999998</v>
      </c>
      <c r="AU915" t="s">
        <v>65</v>
      </c>
      <c r="AV915">
        <v>8</v>
      </c>
      <c r="AW915">
        <v>3</v>
      </c>
      <c r="AX915" t="s">
        <v>1710</v>
      </c>
      <c r="AY915" t="s">
        <v>1711</v>
      </c>
      <c r="AZ915" t="s">
        <v>1712</v>
      </c>
      <c r="BA915">
        <v>8.8719999999999993E-2</v>
      </c>
      <c r="BB915">
        <v>0.96799999999999997</v>
      </c>
      <c r="BC915" t="s">
        <v>69</v>
      </c>
      <c r="BD915">
        <v>-0.83699999999999997</v>
      </c>
      <c r="BE915">
        <v>-0.83699999999999997</v>
      </c>
    </row>
    <row r="916" spans="1:57">
      <c r="A916">
        <v>0</v>
      </c>
      <c r="B916">
        <v>0</v>
      </c>
      <c r="C916">
        <v>0</v>
      </c>
      <c r="D916">
        <v>1254</v>
      </c>
      <c r="E916" t="s">
        <v>1713</v>
      </c>
      <c r="F916" t="s">
        <v>5761</v>
      </c>
      <c r="G916" t="s">
        <v>62</v>
      </c>
      <c r="H916">
        <v>1282574</v>
      </c>
      <c r="I916">
        <v>1283044</v>
      </c>
      <c r="J916" t="s">
        <v>170</v>
      </c>
      <c r="K916">
        <v>157</v>
      </c>
      <c r="L916" t="s">
        <v>83</v>
      </c>
      <c r="M916">
        <v>4</v>
      </c>
      <c r="N916" t="str">
        <f>HYPERLINK("Gene1254-zp_tree_all.dnd", "Gene1254-tree")</f>
        <v>Gene1254-tree</v>
      </c>
      <c r="O916">
        <v>2</v>
      </c>
      <c r="P916">
        <v>2</v>
      </c>
      <c r="Q916">
        <v>2</v>
      </c>
      <c r="R916">
        <v>2</v>
      </c>
      <c r="S916">
        <v>0.5</v>
      </c>
      <c r="T916" t="s">
        <v>135</v>
      </c>
      <c r="U916" t="s">
        <v>135</v>
      </c>
      <c r="V916" t="s">
        <v>62</v>
      </c>
      <c r="W916" t="s">
        <v>62</v>
      </c>
      <c r="X916">
        <v>0</v>
      </c>
      <c r="Y916">
        <v>0</v>
      </c>
      <c r="Z916">
        <v>8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8</v>
      </c>
      <c r="AK916">
        <v>0</v>
      </c>
      <c r="AL916">
        <v>4</v>
      </c>
      <c r="AM916">
        <v>1</v>
      </c>
      <c r="AN916">
        <v>17</v>
      </c>
      <c r="AO916">
        <v>6</v>
      </c>
      <c r="AP916">
        <v>1</v>
      </c>
      <c r="AQ916">
        <v>2</v>
      </c>
      <c r="AR916" t="s">
        <v>1714</v>
      </c>
      <c r="AS916" t="s">
        <v>1715</v>
      </c>
      <c r="AT916">
        <v>6.5359999999999996</v>
      </c>
      <c r="AU916" t="s">
        <v>65</v>
      </c>
      <c r="AV916">
        <v>18</v>
      </c>
      <c r="AW916">
        <v>8</v>
      </c>
      <c r="AX916" t="s">
        <v>1716</v>
      </c>
      <c r="AY916" t="s">
        <v>1717</v>
      </c>
      <c r="AZ916" t="s">
        <v>1718</v>
      </c>
      <c r="BA916">
        <v>0.14599999999999999</v>
      </c>
      <c r="BB916">
        <v>1</v>
      </c>
      <c r="BC916" t="s">
        <v>69</v>
      </c>
      <c r="BD916">
        <v>-0.35499999999999998</v>
      </c>
      <c r="BE916">
        <v>-0.35499999999999998</v>
      </c>
    </row>
    <row r="917" spans="1:57">
      <c r="A917">
        <v>0</v>
      </c>
      <c r="B917">
        <v>0</v>
      </c>
      <c r="C917">
        <v>0</v>
      </c>
      <c r="D917">
        <v>1263</v>
      </c>
      <c r="E917" t="s">
        <v>1719</v>
      </c>
      <c r="F917" t="s">
        <v>5761</v>
      </c>
      <c r="G917" t="s">
        <v>62</v>
      </c>
      <c r="H917">
        <v>1290678</v>
      </c>
      <c r="I917">
        <v>1290953</v>
      </c>
      <c r="J917" t="s">
        <v>1082</v>
      </c>
      <c r="K917">
        <v>92</v>
      </c>
      <c r="L917" t="s">
        <v>83</v>
      </c>
      <c r="M917">
        <v>4</v>
      </c>
      <c r="N917" t="str">
        <f>HYPERLINK("Gene1263-zp_tree_all.dnd", "Gene1263-tree")</f>
        <v>Gene1263-tree</v>
      </c>
      <c r="O917">
        <v>2</v>
      </c>
      <c r="P917">
        <v>2</v>
      </c>
      <c r="Q917">
        <v>2</v>
      </c>
      <c r="R917">
        <v>2</v>
      </c>
      <c r="S917">
        <v>0.5</v>
      </c>
      <c r="T917" t="s">
        <v>135</v>
      </c>
      <c r="U917" t="s">
        <v>135</v>
      </c>
      <c r="V917" t="s">
        <v>62</v>
      </c>
      <c r="W917" t="s">
        <v>62</v>
      </c>
      <c r="X917">
        <v>0</v>
      </c>
      <c r="Y917">
        <v>0</v>
      </c>
      <c r="Z917">
        <v>5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4</v>
      </c>
      <c r="AK917">
        <v>0</v>
      </c>
      <c r="AL917">
        <v>4</v>
      </c>
      <c r="AM917">
        <v>1</v>
      </c>
      <c r="AN917">
        <v>11</v>
      </c>
      <c r="AO917">
        <v>4</v>
      </c>
      <c r="AP917">
        <v>3</v>
      </c>
      <c r="AQ917">
        <v>1</v>
      </c>
      <c r="AR917" t="s">
        <v>1720</v>
      </c>
      <c r="AS917" t="s">
        <v>1721</v>
      </c>
      <c r="AT917">
        <v>7.2999999999999995E-2</v>
      </c>
      <c r="AU917" t="s">
        <v>65</v>
      </c>
      <c r="AV917">
        <v>14</v>
      </c>
      <c r="AW917">
        <v>5</v>
      </c>
      <c r="AX917" t="s">
        <v>1722</v>
      </c>
      <c r="AY917" t="s">
        <v>1723</v>
      </c>
      <c r="AZ917" t="s">
        <v>1724</v>
      </c>
      <c r="BA917">
        <v>0.10867</v>
      </c>
      <c r="BB917">
        <v>1</v>
      </c>
      <c r="BC917" t="s">
        <v>69</v>
      </c>
      <c r="BD917">
        <v>-0.19500000000000001</v>
      </c>
      <c r="BE917">
        <v>-0.19500000000000001</v>
      </c>
    </row>
    <row r="918" spans="1:57">
      <c r="A918">
        <v>0</v>
      </c>
      <c r="B918">
        <v>0</v>
      </c>
      <c r="C918">
        <v>0</v>
      </c>
      <c r="D918">
        <v>1266</v>
      </c>
      <c r="E918" t="s">
        <v>1725</v>
      </c>
      <c r="F918" t="s">
        <v>5761</v>
      </c>
      <c r="G918" t="s">
        <v>62</v>
      </c>
      <c r="H918">
        <v>1293779</v>
      </c>
      <c r="I918">
        <v>1293964</v>
      </c>
      <c r="J918" t="s">
        <v>1726</v>
      </c>
      <c r="K918">
        <v>62</v>
      </c>
      <c r="L918" t="s">
        <v>83</v>
      </c>
      <c r="M918">
        <v>4</v>
      </c>
      <c r="N918" t="str">
        <f>HYPERLINK("Gene1266-zp_tree_all.dnd", "Gene1266-tree")</f>
        <v>Gene1266-tree</v>
      </c>
      <c r="O918">
        <v>2</v>
      </c>
      <c r="P918">
        <v>2</v>
      </c>
      <c r="Q918">
        <v>2</v>
      </c>
      <c r="R918">
        <v>2</v>
      </c>
      <c r="S918">
        <v>0.5</v>
      </c>
      <c r="T918" t="s">
        <v>135</v>
      </c>
      <c r="U918" t="s">
        <v>135</v>
      </c>
      <c r="V918" t="s">
        <v>62</v>
      </c>
      <c r="W918" t="s">
        <v>62</v>
      </c>
      <c r="X918">
        <v>0</v>
      </c>
      <c r="Y918">
        <v>0</v>
      </c>
      <c r="Z918">
        <v>2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2</v>
      </c>
      <c r="AK918">
        <v>0</v>
      </c>
      <c r="AL918">
        <v>3</v>
      </c>
      <c r="AM918">
        <v>1</v>
      </c>
      <c r="AN918">
        <v>3</v>
      </c>
      <c r="AO918">
        <v>2</v>
      </c>
      <c r="AP918">
        <v>1</v>
      </c>
      <c r="AQ918">
        <v>0</v>
      </c>
      <c r="AR918" t="s">
        <v>1727</v>
      </c>
      <c r="AS918" t="s">
        <v>64</v>
      </c>
      <c r="AT918">
        <v>1.474</v>
      </c>
      <c r="AU918" t="s">
        <v>65</v>
      </c>
      <c r="AV918">
        <v>4</v>
      </c>
      <c r="AW918">
        <v>2</v>
      </c>
      <c r="AX918" t="s">
        <v>1728</v>
      </c>
      <c r="AY918" t="s">
        <v>1729</v>
      </c>
      <c r="AZ918" t="s">
        <v>1730</v>
      </c>
      <c r="BA918">
        <v>0.1154</v>
      </c>
      <c r="BB918">
        <v>0.96299999999999997</v>
      </c>
      <c r="BC918" t="s">
        <v>69</v>
      </c>
      <c r="BD918">
        <v>-0.314</v>
      </c>
      <c r="BE918">
        <v>-0.314</v>
      </c>
    </row>
    <row r="919" spans="1:57">
      <c r="A919">
        <v>0</v>
      </c>
      <c r="B919">
        <v>0</v>
      </c>
      <c r="C919">
        <v>0</v>
      </c>
      <c r="D919">
        <v>1284</v>
      </c>
      <c r="E919" t="s">
        <v>1751</v>
      </c>
      <c r="F919" t="s">
        <v>5761</v>
      </c>
      <c r="G919" t="s">
        <v>62</v>
      </c>
      <c r="H919">
        <v>1312854</v>
      </c>
      <c r="I919">
        <v>1313615</v>
      </c>
      <c r="J919" t="s">
        <v>1752</v>
      </c>
      <c r="K919">
        <v>254</v>
      </c>
      <c r="L919" t="s">
        <v>83</v>
      </c>
      <c r="M919">
        <v>4</v>
      </c>
      <c r="N919" t="str">
        <f>HYPERLINK("Gene1284-zp_tree_all.dnd", "Gene1284-tree")</f>
        <v>Gene1284-tree</v>
      </c>
      <c r="O919">
        <v>2</v>
      </c>
      <c r="P919">
        <v>2</v>
      </c>
      <c r="Q919">
        <v>2</v>
      </c>
      <c r="R919">
        <v>2</v>
      </c>
      <c r="S919">
        <v>0.5</v>
      </c>
      <c r="T919" t="s">
        <v>135</v>
      </c>
      <c r="U919" t="s">
        <v>135</v>
      </c>
      <c r="V919" t="s">
        <v>62</v>
      </c>
      <c r="W919" t="s">
        <v>62</v>
      </c>
      <c r="X919">
        <v>0</v>
      </c>
      <c r="Y919">
        <v>0</v>
      </c>
      <c r="Z919">
        <v>2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2</v>
      </c>
      <c r="AK919">
        <v>0</v>
      </c>
      <c r="AL919">
        <v>4</v>
      </c>
      <c r="AM919">
        <v>1</v>
      </c>
      <c r="AN919">
        <v>42</v>
      </c>
      <c r="AO919">
        <v>2</v>
      </c>
      <c r="AP919">
        <v>2</v>
      </c>
      <c r="AQ919">
        <v>0</v>
      </c>
      <c r="AR919" t="s">
        <v>1753</v>
      </c>
      <c r="AS919" t="s">
        <v>64</v>
      </c>
      <c r="AT919">
        <v>0.75700000000000001</v>
      </c>
      <c r="AU919" t="s">
        <v>65</v>
      </c>
      <c r="AV919">
        <v>44</v>
      </c>
      <c r="AW919">
        <v>2</v>
      </c>
      <c r="AX919" t="s">
        <v>1754</v>
      </c>
      <c r="AY919" t="s">
        <v>1755</v>
      </c>
      <c r="AZ919" t="s">
        <v>1756</v>
      </c>
      <c r="BA919">
        <v>1.359E-2</v>
      </c>
      <c r="BB919">
        <v>1</v>
      </c>
      <c r="BC919" t="s">
        <v>69</v>
      </c>
      <c r="BD919">
        <v>-0.57699999999999996</v>
      </c>
      <c r="BE919">
        <v>-0.57699999999999996</v>
      </c>
    </row>
    <row r="920" spans="1:57">
      <c r="A920">
        <v>0</v>
      </c>
      <c r="B920">
        <v>0</v>
      </c>
      <c r="C920">
        <v>2</v>
      </c>
      <c r="D920">
        <v>1285</v>
      </c>
      <c r="E920" t="s">
        <v>1757</v>
      </c>
      <c r="F920" t="s">
        <v>5761</v>
      </c>
      <c r="G920" t="s">
        <v>62</v>
      </c>
      <c r="H920">
        <v>1313843</v>
      </c>
      <c r="I920">
        <v>1314304</v>
      </c>
      <c r="J920" t="s">
        <v>1758</v>
      </c>
      <c r="K920">
        <v>154</v>
      </c>
      <c r="L920" t="s">
        <v>59</v>
      </c>
      <c r="M920">
        <v>5</v>
      </c>
      <c r="N920" t="str">
        <f>HYPERLINK("Gene1285-zp_tree_all.dnd", "Gene1285-tree")</f>
        <v>Gene1285-tree</v>
      </c>
      <c r="O920">
        <v>3</v>
      </c>
      <c r="P920">
        <v>2</v>
      </c>
      <c r="Q920">
        <v>3</v>
      </c>
      <c r="R920">
        <v>2</v>
      </c>
      <c r="S920">
        <v>0.4</v>
      </c>
      <c r="T920" t="s">
        <v>84</v>
      </c>
      <c r="U920" t="s">
        <v>135</v>
      </c>
      <c r="V920" t="s">
        <v>62</v>
      </c>
      <c r="W920" t="s">
        <v>62</v>
      </c>
      <c r="X920">
        <v>1</v>
      </c>
      <c r="Y920">
        <v>2</v>
      </c>
      <c r="Z920">
        <v>7</v>
      </c>
      <c r="AA920">
        <v>0.22222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2</v>
      </c>
      <c r="AI920">
        <v>2</v>
      </c>
      <c r="AJ920">
        <v>3</v>
      </c>
      <c r="AK920">
        <v>0.4</v>
      </c>
      <c r="AL920">
        <v>4</v>
      </c>
      <c r="AM920">
        <v>2</v>
      </c>
      <c r="AN920">
        <v>12</v>
      </c>
      <c r="AO920">
        <v>5</v>
      </c>
      <c r="AP920">
        <v>10</v>
      </c>
      <c r="AQ920">
        <v>4</v>
      </c>
      <c r="AR920" t="s">
        <v>1759</v>
      </c>
      <c r="AS920" t="s">
        <v>1760</v>
      </c>
      <c r="AT920">
        <v>0.05</v>
      </c>
      <c r="AU920" t="s">
        <v>65</v>
      </c>
      <c r="AV920">
        <v>22</v>
      </c>
      <c r="AW920">
        <v>9</v>
      </c>
      <c r="AX920" t="s">
        <v>1761</v>
      </c>
      <c r="AY920" t="s">
        <v>1762</v>
      </c>
      <c r="AZ920" t="s">
        <v>1763</v>
      </c>
      <c r="BA920">
        <v>0.11404</v>
      </c>
      <c r="BB920">
        <v>1</v>
      </c>
      <c r="BC920" t="s">
        <v>69</v>
      </c>
      <c r="BD920">
        <v>0.39200000000000002</v>
      </c>
      <c r="BE920">
        <v>-0.20799999999999999</v>
      </c>
    </row>
    <row r="921" spans="1:57">
      <c r="A921">
        <v>0</v>
      </c>
      <c r="B921">
        <v>0</v>
      </c>
      <c r="C921">
        <v>0</v>
      </c>
      <c r="D921">
        <v>1295</v>
      </c>
      <c r="E921" t="s">
        <v>1777</v>
      </c>
      <c r="F921" t="s">
        <v>5761</v>
      </c>
      <c r="G921" t="s">
        <v>62</v>
      </c>
      <c r="H921">
        <v>1321332</v>
      </c>
      <c r="I921">
        <v>1321670</v>
      </c>
      <c r="J921" t="s">
        <v>1778</v>
      </c>
      <c r="K921">
        <v>113</v>
      </c>
      <c r="L921" t="s">
        <v>1779</v>
      </c>
      <c r="M921">
        <v>4</v>
      </c>
      <c r="N921" t="str">
        <f>HYPERLINK("Gene1295-zp_tree_all.dnd", "Gene1295-tree")</f>
        <v>Gene1295-tree</v>
      </c>
    </row>
    <row r="922" spans="1:57">
      <c r="A922">
        <v>0</v>
      </c>
      <c r="B922">
        <v>0</v>
      </c>
      <c r="C922">
        <v>0</v>
      </c>
      <c r="D922">
        <v>1335</v>
      </c>
      <c r="E922" t="s">
        <v>1794</v>
      </c>
      <c r="F922" t="s">
        <v>5761</v>
      </c>
      <c r="G922" t="s">
        <v>62</v>
      </c>
      <c r="H922">
        <v>1350485</v>
      </c>
      <c r="I922">
        <v>1351099</v>
      </c>
      <c r="J922" t="s">
        <v>1795</v>
      </c>
      <c r="K922">
        <v>205</v>
      </c>
      <c r="L922" t="s">
        <v>112</v>
      </c>
      <c r="M922">
        <v>4</v>
      </c>
      <c r="N922" t="str">
        <f>HYPERLINK("Gene1335-zp_tree_all.dnd", "Gene1335-tree")</f>
        <v>Gene1335-tree</v>
      </c>
      <c r="O922">
        <v>4</v>
      </c>
      <c r="P922">
        <v>0</v>
      </c>
      <c r="Q922">
        <v>4</v>
      </c>
      <c r="R922">
        <v>0</v>
      </c>
      <c r="S922">
        <v>0</v>
      </c>
      <c r="T922" t="s">
        <v>60</v>
      </c>
      <c r="U922" t="s">
        <v>62</v>
      </c>
      <c r="V922" t="s">
        <v>62</v>
      </c>
      <c r="W922" t="s">
        <v>62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4</v>
      </c>
      <c r="AM922">
        <v>1</v>
      </c>
      <c r="AN922">
        <v>31</v>
      </c>
      <c r="AO922">
        <v>0</v>
      </c>
      <c r="AP922">
        <v>1</v>
      </c>
      <c r="AQ922">
        <v>0</v>
      </c>
      <c r="AR922" t="s">
        <v>64</v>
      </c>
      <c r="AS922" t="s">
        <v>64</v>
      </c>
      <c r="AT922">
        <v>0</v>
      </c>
      <c r="AU922" t="s">
        <v>65</v>
      </c>
      <c r="AV922">
        <v>32</v>
      </c>
      <c r="AW922">
        <v>0</v>
      </c>
      <c r="AX922" t="s">
        <v>1796</v>
      </c>
      <c r="AY922" t="s">
        <v>1797</v>
      </c>
      <c r="AZ922" t="s">
        <v>64</v>
      </c>
      <c r="BA922">
        <v>0</v>
      </c>
      <c r="BB922">
        <v>1</v>
      </c>
      <c r="BC922" t="s">
        <v>69</v>
      </c>
      <c r="BD922">
        <v>-0.65800000000000003</v>
      </c>
      <c r="BE922">
        <v>-0.65800000000000003</v>
      </c>
    </row>
    <row r="923" spans="1:57">
      <c r="A923">
        <v>0</v>
      </c>
      <c r="B923">
        <v>0</v>
      </c>
      <c r="C923">
        <v>0</v>
      </c>
      <c r="D923">
        <v>1382</v>
      </c>
      <c r="E923" t="s">
        <v>1819</v>
      </c>
      <c r="F923" t="s">
        <v>5761</v>
      </c>
      <c r="G923" t="s">
        <v>62</v>
      </c>
      <c r="H923">
        <v>1397414</v>
      </c>
      <c r="I923">
        <v>1397743</v>
      </c>
      <c r="J923" t="s">
        <v>1820</v>
      </c>
      <c r="K923">
        <v>110</v>
      </c>
      <c r="L923" t="s">
        <v>59</v>
      </c>
      <c r="M923">
        <v>5</v>
      </c>
      <c r="N923" t="str">
        <f>HYPERLINK("Gene1382-zp_tree_all.dnd", "Gene1382-tree")</f>
        <v>Gene1382-tree</v>
      </c>
      <c r="O923">
        <v>4</v>
      </c>
      <c r="P923">
        <v>1</v>
      </c>
      <c r="Q923">
        <v>4</v>
      </c>
      <c r="R923">
        <v>1</v>
      </c>
      <c r="S923">
        <v>0.2</v>
      </c>
      <c r="T923" t="s">
        <v>60</v>
      </c>
      <c r="U923" t="s">
        <v>61</v>
      </c>
      <c r="V923" t="s">
        <v>62</v>
      </c>
      <c r="W923" t="s">
        <v>62</v>
      </c>
      <c r="X923">
        <v>0</v>
      </c>
      <c r="Y923">
        <v>0</v>
      </c>
      <c r="Z923">
        <v>2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1</v>
      </c>
      <c r="AK923">
        <v>0</v>
      </c>
      <c r="AL923">
        <v>4</v>
      </c>
      <c r="AM923">
        <v>1</v>
      </c>
      <c r="AN923">
        <v>10</v>
      </c>
      <c r="AO923">
        <v>1</v>
      </c>
      <c r="AP923">
        <v>7</v>
      </c>
      <c r="AQ923">
        <v>1</v>
      </c>
      <c r="AR923" t="s">
        <v>1821</v>
      </c>
      <c r="AS923" t="s">
        <v>1822</v>
      </c>
      <c r="AT923">
        <v>0.20899999999999999</v>
      </c>
      <c r="AU923" t="s">
        <v>65</v>
      </c>
      <c r="AV923">
        <v>17</v>
      </c>
      <c r="AW923">
        <v>2</v>
      </c>
      <c r="AX923" t="s">
        <v>1823</v>
      </c>
      <c r="AY923" t="s">
        <v>1824</v>
      </c>
      <c r="AZ923" t="s">
        <v>1825</v>
      </c>
      <c r="BA923">
        <v>3.023E-2</v>
      </c>
      <c r="BB923">
        <v>1</v>
      </c>
      <c r="BC923" t="s">
        <v>69</v>
      </c>
      <c r="BD923">
        <v>6.5000000000000002E-2</v>
      </c>
      <c r="BE923">
        <v>6.5000000000000002E-2</v>
      </c>
    </row>
    <row r="924" spans="1:57">
      <c r="A924">
        <v>0</v>
      </c>
      <c r="B924">
        <v>0</v>
      </c>
      <c r="C924">
        <v>0</v>
      </c>
      <c r="D924">
        <v>1398</v>
      </c>
      <c r="E924" t="s">
        <v>1843</v>
      </c>
      <c r="F924" t="s">
        <v>5761</v>
      </c>
      <c r="G924" t="s">
        <v>62</v>
      </c>
      <c r="H924">
        <v>1413803</v>
      </c>
      <c r="I924">
        <v>1413994</v>
      </c>
      <c r="J924" t="s">
        <v>172</v>
      </c>
      <c r="K924">
        <v>64</v>
      </c>
      <c r="L924" t="s">
        <v>59</v>
      </c>
      <c r="M924">
        <v>5</v>
      </c>
      <c r="N924" t="str">
        <f>HYPERLINK("Gene1398-zp_tree_all.dnd", "Gene1398-tree")</f>
        <v>Gene1398-tree</v>
      </c>
      <c r="O924">
        <v>4</v>
      </c>
      <c r="P924">
        <v>0</v>
      </c>
      <c r="Q924">
        <v>4</v>
      </c>
      <c r="R924">
        <v>0</v>
      </c>
      <c r="S924">
        <v>0</v>
      </c>
      <c r="T924" t="s">
        <v>60</v>
      </c>
      <c r="U924" t="s">
        <v>62</v>
      </c>
      <c r="V924" t="s">
        <v>62</v>
      </c>
      <c r="W924" t="s">
        <v>62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3</v>
      </c>
      <c r="AM924">
        <v>1</v>
      </c>
      <c r="AN924">
        <v>4</v>
      </c>
      <c r="AO924">
        <v>0</v>
      </c>
      <c r="AP924">
        <v>1</v>
      </c>
      <c r="AQ924">
        <v>0</v>
      </c>
      <c r="AR924" t="s">
        <v>64</v>
      </c>
      <c r="AS924" t="s">
        <v>64</v>
      </c>
      <c r="AT924">
        <v>0</v>
      </c>
      <c r="AU924" t="s">
        <v>65</v>
      </c>
      <c r="AV924">
        <v>5</v>
      </c>
      <c r="AW924">
        <v>0</v>
      </c>
      <c r="AX924" t="s">
        <v>1844</v>
      </c>
      <c r="AY924" t="s">
        <v>1845</v>
      </c>
      <c r="AZ924" t="s">
        <v>64</v>
      </c>
      <c r="BA924">
        <v>0</v>
      </c>
      <c r="BB924">
        <v>1</v>
      </c>
      <c r="BC924" t="s">
        <v>69</v>
      </c>
      <c r="BD924">
        <v>-0.56200000000000006</v>
      </c>
      <c r="BE924">
        <v>-0.56200000000000006</v>
      </c>
    </row>
    <row r="925" spans="1:57">
      <c r="A925">
        <v>0</v>
      </c>
      <c r="B925">
        <v>0</v>
      </c>
      <c r="C925">
        <v>0</v>
      </c>
      <c r="D925">
        <v>1399</v>
      </c>
      <c r="E925" t="s">
        <v>1846</v>
      </c>
      <c r="F925" t="s">
        <v>5761</v>
      </c>
      <c r="G925" t="s">
        <v>62</v>
      </c>
      <c r="H925">
        <v>1414128</v>
      </c>
      <c r="I925">
        <v>1414826</v>
      </c>
      <c r="J925" t="s">
        <v>1847</v>
      </c>
      <c r="K925">
        <v>233</v>
      </c>
      <c r="L925" t="s">
        <v>83</v>
      </c>
      <c r="M925">
        <v>4</v>
      </c>
      <c r="N925" t="str">
        <f>HYPERLINK("Gene1399-zp_tree_all.dnd", "Gene1399-tree")</f>
        <v>Gene1399-tree</v>
      </c>
      <c r="O925">
        <v>2</v>
      </c>
      <c r="P925">
        <v>2</v>
      </c>
      <c r="Q925">
        <v>2</v>
      </c>
      <c r="R925">
        <v>2</v>
      </c>
      <c r="S925">
        <v>0.5</v>
      </c>
      <c r="T925" t="s">
        <v>135</v>
      </c>
      <c r="U925" t="s">
        <v>135</v>
      </c>
      <c r="V925" t="s">
        <v>62</v>
      </c>
      <c r="W925" t="s">
        <v>62</v>
      </c>
      <c r="X925">
        <v>0</v>
      </c>
      <c r="Y925">
        <v>0</v>
      </c>
      <c r="Z925">
        <v>9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8</v>
      </c>
      <c r="AK925">
        <v>0</v>
      </c>
      <c r="AL925">
        <v>4</v>
      </c>
      <c r="AM925">
        <v>1</v>
      </c>
      <c r="AN925">
        <v>26</v>
      </c>
      <c r="AO925">
        <v>9</v>
      </c>
      <c r="AP925">
        <v>2</v>
      </c>
      <c r="AQ925">
        <v>1</v>
      </c>
      <c r="AR925" t="s">
        <v>1848</v>
      </c>
      <c r="AS925" t="s">
        <v>1849</v>
      </c>
      <c r="AT925">
        <v>0.27300000000000002</v>
      </c>
      <c r="AU925" t="s">
        <v>65</v>
      </c>
      <c r="AV925">
        <v>28</v>
      </c>
      <c r="AW925">
        <v>10</v>
      </c>
      <c r="AX925" t="s">
        <v>1850</v>
      </c>
      <c r="AY925" t="s">
        <v>1851</v>
      </c>
      <c r="AZ925" t="s">
        <v>1852</v>
      </c>
      <c r="BA925">
        <v>9.6710000000000004E-2</v>
      </c>
      <c r="BB925">
        <v>1</v>
      </c>
      <c r="BC925" t="s">
        <v>69</v>
      </c>
      <c r="BD925">
        <v>-0.436</v>
      </c>
      <c r="BE925">
        <v>-0.69299999999999995</v>
      </c>
    </row>
    <row r="926" spans="1:57">
      <c r="A926">
        <v>0</v>
      </c>
      <c r="B926">
        <v>0</v>
      </c>
      <c r="C926">
        <v>0</v>
      </c>
      <c r="D926">
        <v>1418</v>
      </c>
      <c r="E926" t="s">
        <v>1857</v>
      </c>
      <c r="F926" t="s">
        <v>5761</v>
      </c>
      <c r="G926" t="s">
        <v>62</v>
      </c>
      <c r="H926">
        <v>1431489</v>
      </c>
      <c r="I926">
        <v>1433006</v>
      </c>
      <c r="J926" t="s">
        <v>1858</v>
      </c>
      <c r="K926">
        <v>506</v>
      </c>
      <c r="L926" t="s">
        <v>112</v>
      </c>
      <c r="M926">
        <v>4</v>
      </c>
      <c r="N926" t="str">
        <f>HYPERLINK("Gene1418-zp_tree_all.dnd", "Gene1418-tree")</f>
        <v>Gene1418-tree</v>
      </c>
      <c r="O926">
        <v>2</v>
      </c>
      <c r="P926">
        <v>2</v>
      </c>
      <c r="Q926">
        <v>2</v>
      </c>
      <c r="R926">
        <v>2</v>
      </c>
      <c r="S926">
        <v>0.5</v>
      </c>
      <c r="T926" t="s">
        <v>135</v>
      </c>
      <c r="U926" t="s">
        <v>135</v>
      </c>
      <c r="V926" t="s">
        <v>62</v>
      </c>
      <c r="W926" t="s">
        <v>62</v>
      </c>
      <c r="X926">
        <v>0</v>
      </c>
      <c r="Y926">
        <v>0</v>
      </c>
      <c r="Z926">
        <v>9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9</v>
      </c>
      <c r="AK926">
        <v>0</v>
      </c>
      <c r="AL926">
        <v>4</v>
      </c>
      <c r="AM926">
        <v>1</v>
      </c>
      <c r="AN926">
        <v>68</v>
      </c>
      <c r="AO926">
        <v>10</v>
      </c>
      <c r="AP926">
        <v>2</v>
      </c>
      <c r="AQ926">
        <v>0</v>
      </c>
      <c r="AR926" t="s">
        <v>1859</v>
      </c>
      <c r="AS926" t="s">
        <v>64</v>
      </c>
      <c r="AT926">
        <v>0.61899999999999999</v>
      </c>
      <c r="AU926" t="s">
        <v>65</v>
      </c>
      <c r="AV926">
        <v>70</v>
      </c>
      <c r="AW926">
        <v>10</v>
      </c>
      <c r="AX926" t="s">
        <v>1860</v>
      </c>
      <c r="AY926" t="s">
        <v>1861</v>
      </c>
      <c r="AZ926" t="s">
        <v>1862</v>
      </c>
      <c r="BA926">
        <v>3.9320000000000001E-2</v>
      </c>
      <c r="BB926">
        <v>1</v>
      </c>
      <c r="BC926" t="s">
        <v>69</v>
      </c>
      <c r="BD926">
        <v>-0.70699999999999996</v>
      </c>
      <c r="BE926">
        <v>-0.70699999999999996</v>
      </c>
    </row>
    <row r="927" spans="1:57">
      <c r="A927">
        <v>0</v>
      </c>
      <c r="B927">
        <v>0</v>
      </c>
      <c r="C927">
        <v>0</v>
      </c>
      <c r="D927">
        <v>1420</v>
      </c>
      <c r="E927" t="s">
        <v>1869</v>
      </c>
      <c r="F927" t="s">
        <v>5761</v>
      </c>
      <c r="G927" t="s">
        <v>62</v>
      </c>
      <c r="H927">
        <v>1433679</v>
      </c>
      <c r="I927">
        <v>1434461</v>
      </c>
      <c r="J927" t="s">
        <v>1870</v>
      </c>
      <c r="K927">
        <v>261</v>
      </c>
      <c r="L927" t="s">
        <v>59</v>
      </c>
      <c r="M927">
        <v>5</v>
      </c>
      <c r="N927" t="str">
        <f>HYPERLINK("Gene1420-zp_tree_all.dnd", "Gene1420-tree")</f>
        <v>Gene1420-tree</v>
      </c>
      <c r="O927">
        <v>4</v>
      </c>
      <c r="P927">
        <v>1</v>
      </c>
      <c r="Q927">
        <v>4</v>
      </c>
      <c r="R927">
        <v>1</v>
      </c>
      <c r="S927">
        <v>0.2</v>
      </c>
      <c r="T927" t="s">
        <v>60</v>
      </c>
      <c r="U927" t="s">
        <v>61</v>
      </c>
      <c r="V927" t="s">
        <v>62</v>
      </c>
      <c r="W927" t="s">
        <v>62</v>
      </c>
      <c r="X927">
        <v>0</v>
      </c>
      <c r="Y927">
        <v>0</v>
      </c>
      <c r="Z927">
        <v>4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1</v>
      </c>
      <c r="AK927">
        <v>0</v>
      </c>
      <c r="AL927">
        <v>5</v>
      </c>
      <c r="AM927">
        <v>2</v>
      </c>
      <c r="AN927">
        <v>14</v>
      </c>
      <c r="AO927">
        <v>1</v>
      </c>
      <c r="AP927">
        <v>27</v>
      </c>
      <c r="AQ927">
        <v>4</v>
      </c>
      <c r="AR927" t="s">
        <v>1871</v>
      </c>
      <c r="AS927" t="s">
        <v>1872</v>
      </c>
      <c r="AT927">
        <v>0.28499999999999998</v>
      </c>
      <c r="AU927" t="s">
        <v>65</v>
      </c>
      <c r="AV927">
        <v>41</v>
      </c>
      <c r="AW927">
        <v>5</v>
      </c>
      <c r="AX927" t="s">
        <v>1873</v>
      </c>
      <c r="AY927" t="s">
        <v>1874</v>
      </c>
      <c r="AZ927" t="s">
        <v>1875</v>
      </c>
      <c r="BA927">
        <v>3.0669999999999999E-2</v>
      </c>
      <c r="BB927">
        <v>1</v>
      </c>
      <c r="BC927" t="s">
        <v>69</v>
      </c>
      <c r="BD927">
        <v>0.94199999999999995</v>
      </c>
      <c r="BE927">
        <v>0.76700000000000002</v>
      </c>
    </row>
    <row r="928" spans="1:57">
      <c r="A928">
        <v>0</v>
      </c>
      <c r="B928">
        <v>0</v>
      </c>
      <c r="C928">
        <v>0</v>
      </c>
      <c r="D928">
        <v>1421</v>
      </c>
      <c r="E928" t="s">
        <v>1876</v>
      </c>
      <c r="F928" t="s">
        <v>5761</v>
      </c>
      <c r="G928" t="s">
        <v>62</v>
      </c>
      <c r="H928">
        <v>1434436</v>
      </c>
      <c r="I928">
        <v>1435245</v>
      </c>
      <c r="J928" t="s">
        <v>1877</v>
      </c>
      <c r="K928">
        <v>270</v>
      </c>
      <c r="L928" t="s">
        <v>83</v>
      </c>
      <c r="M928">
        <v>4</v>
      </c>
      <c r="N928" t="str">
        <f>HYPERLINK("Gene1421-zp_tree_all.dnd", "Gene1421-tree")</f>
        <v>Gene1421-tree</v>
      </c>
      <c r="O928">
        <v>1</v>
      </c>
      <c r="P928">
        <v>3</v>
      </c>
      <c r="Q928">
        <v>1</v>
      </c>
      <c r="R928">
        <v>3</v>
      </c>
      <c r="S928">
        <v>0.75</v>
      </c>
      <c r="T928" t="s">
        <v>61</v>
      </c>
      <c r="U928" t="s">
        <v>84</v>
      </c>
      <c r="V928" t="s">
        <v>62</v>
      </c>
      <c r="W928" t="s">
        <v>62</v>
      </c>
      <c r="X928">
        <v>0</v>
      </c>
      <c r="Y928">
        <v>0</v>
      </c>
      <c r="Z928">
        <v>3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3</v>
      </c>
      <c r="AK928">
        <v>0</v>
      </c>
      <c r="AL928">
        <v>4</v>
      </c>
      <c r="AM928">
        <v>1</v>
      </c>
      <c r="AN928">
        <v>40</v>
      </c>
      <c r="AO928">
        <v>3</v>
      </c>
      <c r="AP928">
        <v>3</v>
      </c>
      <c r="AQ928">
        <v>0</v>
      </c>
      <c r="AR928" t="s">
        <v>1878</v>
      </c>
      <c r="AS928" t="s">
        <v>64</v>
      </c>
      <c r="AT928">
        <v>0.97</v>
      </c>
      <c r="AU928" t="s">
        <v>65</v>
      </c>
      <c r="AV928">
        <v>43</v>
      </c>
      <c r="AW928">
        <v>3</v>
      </c>
      <c r="AX928" t="s">
        <v>1879</v>
      </c>
      <c r="AY928" t="s">
        <v>1880</v>
      </c>
      <c r="AZ928" t="s">
        <v>1881</v>
      </c>
      <c r="BA928">
        <v>1.8700000000000001E-2</v>
      </c>
      <c r="BB928">
        <v>1</v>
      </c>
      <c r="BC928" t="s">
        <v>69</v>
      </c>
      <c r="BD928">
        <v>-0.34899999999999998</v>
      </c>
      <c r="BE928">
        <v>-0.79200000000000004</v>
      </c>
    </row>
    <row r="929" spans="1:57">
      <c r="A929">
        <v>0</v>
      </c>
      <c r="B929">
        <v>0</v>
      </c>
      <c r="C929">
        <v>0</v>
      </c>
      <c r="D929">
        <v>1435</v>
      </c>
      <c r="E929" t="s">
        <v>1896</v>
      </c>
      <c r="F929" t="s">
        <v>5761</v>
      </c>
      <c r="G929" t="s">
        <v>62</v>
      </c>
      <c r="H929">
        <v>1447665</v>
      </c>
      <c r="I929">
        <v>1447847</v>
      </c>
      <c r="J929" t="s">
        <v>1897</v>
      </c>
      <c r="K929">
        <v>61</v>
      </c>
      <c r="L929" t="s">
        <v>59</v>
      </c>
      <c r="M929">
        <v>5</v>
      </c>
      <c r="N929" t="str">
        <f>HYPERLINK("Gene1435-zp_tree_all.dnd", "Gene1435-tree")</f>
        <v>Gene1435-tree</v>
      </c>
    </row>
    <row r="930" spans="1:57">
      <c r="A930">
        <v>0</v>
      </c>
      <c r="B930">
        <v>0</v>
      </c>
      <c r="C930">
        <v>0</v>
      </c>
      <c r="D930">
        <v>1456</v>
      </c>
      <c r="E930" t="s">
        <v>1928</v>
      </c>
      <c r="F930" t="s">
        <v>5761</v>
      </c>
      <c r="G930" t="s">
        <v>62</v>
      </c>
      <c r="H930">
        <v>1473243</v>
      </c>
      <c r="I930">
        <v>1473401</v>
      </c>
      <c r="J930" t="s">
        <v>1082</v>
      </c>
      <c r="K930">
        <v>53</v>
      </c>
      <c r="L930" t="s">
        <v>59</v>
      </c>
      <c r="M930">
        <v>5</v>
      </c>
      <c r="N930" t="str">
        <f>HYPERLINK("Gene1456-zp_tree_all.dnd", "Gene1456-tree")</f>
        <v>Gene1456-tree</v>
      </c>
    </row>
    <row r="931" spans="1:57">
      <c r="A931">
        <v>0</v>
      </c>
      <c r="B931">
        <v>0</v>
      </c>
      <c r="C931">
        <v>0</v>
      </c>
      <c r="D931">
        <v>1458</v>
      </c>
      <c r="E931" t="s">
        <v>1929</v>
      </c>
      <c r="F931" t="s">
        <v>5761</v>
      </c>
      <c r="G931" t="s">
        <v>62</v>
      </c>
      <c r="H931">
        <v>1474563</v>
      </c>
      <c r="I931">
        <v>1475024</v>
      </c>
      <c r="J931" t="s">
        <v>1930</v>
      </c>
      <c r="K931">
        <v>154</v>
      </c>
      <c r="L931" t="s">
        <v>59</v>
      </c>
      <c r="M931">
        <v>5</v>
      </c>
      <c r="N931" t="str">
        <f>HYPERLINK("Gene1458-zp_tree_all.dnd", "Gene1458-tree")</f>
        <v>Gene1458-tree</v>
      </c>
      <c r="O931">
        <v>4</v>
      </c>
      <c r="P931">
        <v>1</v>
      </c>
      <c r="Q931">
        <v>4</v>
      </c>
      <c r="R931">
        <v>1</v>
      </c>
      <c r="S931">
        <v>0.2</v>
      </c>
      <c r="T931" t="s">
        <v>60</v>
      </c>
      <c r="U931" t="s">
        <v>61</v>
      </c>
      <c r="V931" t="s">
        <v>62</v>
      </c>
      <c r="W931" t="s">
        <v>62</v>
      </c>
      <c r="X931">
        <v>0</v>
      </c>
      <c r="Y931">
        <v>0</v>
      </c>
      <c r="Z931">
        <v>1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1</v>
      </c>
      <c r="AK931">
        <v>0</v>
      </c>
      <c r="AL931">
        <v>3</v>
      </c>
      <c r="AM931">
        <v>2</v>
      </c>
      <c r="AN931">
        <v>7</v>
      </c>
      <c r="AO931">
        <v>1</v>
      </c>
      <c r="AP931">
        <v>7</v>
      </c>
      <c r="AQ931">
        <v>0</v>
      </c>
      <c r="AR931" t="s">
        <v>1931</v>
      </c>
      <c r="AS931" t="s">
        <v>64</v>
      </c>
      <c r="AT931">
        <v>0.64800000000000002</v>
      </c>
      <c r="AU931" t="s">
        <v>65</v>
      </c>
      <c r="AV931">
        <v>14</v>
      </c>
      <c r="AW931">
        <v>1</v>
      </c>
      <c r="AX931" t="s">
        <v>1932</v>
      </c>
      <c r="AY931" t="s">
        <v>1933</v>
      </c>
      <c r="AZ931" t="s">
        <v>1934</v>
      </c>
      <c r="BA931">
        <v>1.5730000000000001E-2</v>
      </c>
      <c r="BB931">
        <v>1</v>
      </c>
      <c r="BC931" t="s">
        <v>69</v>
      </c>
      <c r="BD931">
        <v>0.20300000000000001</v>
      </c>
      <c r="BE931">
        <v>0.20300000000000001</v>
      </c>
    </row>
    <row r="932" spans="1:57">
      <c r="A932">
        <v>0</v>
      </c>
      <c r="B932">
        <v>0</v>
      </c>
      <c r="C932">
        <v>0</v>
      </c>
      <c r="D932">
        <v>1460</v>
      </c>
      <c r="E932" t="s">
        <v>1935</v>
      </c>
      <c r="F932" t="s">
        <v>5761</v>
      </c>
      <c r="G932" t="s">
        <v>62</v>
      </c>
      <c r="H932">
        <v>1476521</v>
      </c>
      <c r="I932">
        <v>1477012</v>
      </c>
      <c r="J932" t="s">
        <v>1936</v>
      </c>
      <c r="K932">
        <v>164</v>
      </c>
      <c r="L932" t="s">
        <v>83</v>
      </c>
      <c r="M932">
        <v>4</v>
      </c>
      <c r="N932" t="str">
        <f>HYPERLINK("Gene1460-zp_tree_all.dnd", "Gene1460-tree")</f>
        <v>Gene1460-tree</v>
      </c>
      <c r="O932">
        <v>2</v>
      </c>
      <c r="P932">
        <v>2</v>
      </c>
      <c r="Q932">
        <v>2</v>
      </c>
      <c r="R932">
        <v>2</v>
      </c>
      <c r="S932">
        <v>0.5</v>
      </c>
      <c r="T932" t="s">
        <v>135</v>
      </c>
      <c r="U932" t="s">
        <v>135</v>
      </c>
      <c r="V932" t="s">
        <v>62</v>
      </c>
      <c r="W932" t="s">
        <v>62</v>
      </c>
      <c r="X932">
        <v>0</v>
      </c>
      <c r="Y932">
        <v>0</v>
      </c>
      <c r="Z932">
        <v>4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4</v>
      </c>
      <c r="AK932">
        <v>0</v>
      </c>
      <c r="AL932">
        <v>4</v>
      </c>
      <c r="AM932">
        <v>1</v>
      </c>
      <c r="AN932">
        <v>19</v>
      </c>
      <c r="AO932">
        <v>4</v>
      </c>
      <c r="AP932">
        <v>1</v>
      </c>
      <c r="AQ932">
        <v>0</v>
      </c>
      <c r="AR932" t="s">
        <v>1937</v>
      </c>
      <c r="AS932" t="s">
        <v>64</v>
      </c>
      <c r="AT932">
        <v>0.63800000000000001</v>
      </c>
      <c r="AU932" t="s">
        <v>65</v>
      </c>
      <c r="AV932">
        <v>20</v>
      </c>
      <c r="AW932">
        <v>4</v>
      </c>
      <c r="AX932" t="s">
        <v>1938</v>
      </c>
      <c r="AY932" t="s">
        <v>1939</v>
      </c>
      <c r="AZ932" t="s">
        <v>1940</v>
      </c>
      <c r="BA932">
        <v>6.5079999999999999E-2</v>
      </c>
      <c r="BB932">
        <v>1</v>
      </c>
      <c r="BC932" t="s">
        <v>69</v>
      </c>
      <c r="BD932">
        <v>-0.58399999999999996</v>
      </c>
      <c r="BE932">
        <v>-0.58399999999999996</v>
      </c>
    </row>
    <row r="933" spans="1:57">
      <c r="A933">
        <v>0</v>
      </c>
      <c r="B933">
        <v>0</v>
      </c>
      <c r="C933">
        <v>0</v>
      </c>
      <c r="D933">
        <v>1503</v>
      </c>
      <c r="E933" t="s">
        <v>2000</v>
      </c>
      <c r="F933" t="s">
        <v>5761</v>
      </c>
      <c r="G933" t="s">
        <v>62</v>
      </c>
      <c r="H933">
        <v>1516342</v>
      </c>
      <c r="I933">
        <v>1516473</v>
      </c>
      <c r="J933" t="s">
        <v>170</v>
      </c>
      <c r="K933">
        <v>44</v>
      </c>
      <c r="L933" t="s">
        <v>59</v>
      </c>
      <c r="M933">
        <v>5</v>
      </c>
      <c r="N933" t="str">
        <f>HYPERLINK("Gene1503-zp_tree_all.dnd", "Gene1503-tree")</f>
        <v>Gene1503-tree</v>
      </c>
    </row>
    <row r="934" spans="1:57">
      <c r="A934">
        <v>0</v>
      </c>
      <c r="B934">
        <v>0</v>
      </c>
      <c r="C934">
        <v>0</v>
      </c>
      <c r="D934">
        <v>1511</v>
      </c>
      <c r="E934" t="s">
        <v>2007</v>
      </c>
      <c r="F934" t="s">
        <v>5761</v>
      </c>
      <c r="G934" t="s">
        <v>62</v>
      </c>
      <c r="H934">
        <v>1524794</v>
      </c>
      <c r="I934">
        <v>1525000</v>
      </c>
      <c r="J934" t="s">
        <v>2008</v>
      </c>
      <c r="K934">
        <v>69</v>
      </c>
      <c r="L934" t="s">
        <v>59</v>
      </c>
      <c r="M934">
        <v>5</v>
      </c>
      <c r="N934" t="str">
        <f>HYPERLINK("Gene1511-zp_tree_all.dnd", "Gene1511-tree")</f>
        <v>Gene1511-tree</v>
      </c>
    </row>
    <row r="935" spans="1:57">
      <c r="A935">
        <v>0</v>
      </c>
      <c r="B935">
        <v>0</v>
      </c>
      <c r="C935">
        <v>0</v>
      </c>
      <c r="D935">
        <v>1513</v>
      </c>
      <c r="E935" t="s">
        <v>2009</v>
      </c>
      <c r="F935" t="s">
        <v>5761</v>
      </c>
      <c r="G935" t="s">
        <v>62</v>
      </c>
      <c r="H935">
        <v>1526198</v>
      </c>
      <c r="I935">
        <v>1526749</v>
      </c>
      <c r="J935" t="s">
        <v>2010</v>
      </c>
      <c r="K935">
        <v>184</v>
      </c>
      <c r="L935" t="s">
        <v>59</v>
      </c>
      <c r="M935">
        <v>5</v>
      </c>
      <c r="N935" t="str">
        <f>HYPERLINK("Gene1513-zp_tree_all.dnd", "Gene1513-tree")</f>
        <v>Gene1513-tree</v>
      </c>
      <c r="O935">
        <v>2</v>
      </c>
      <c r="P935">
        <v>3</v>
      </c>
      <c r="Q935">
        <v>2</v>
      </c>
      <c r="R935">
        <v>3</v>
      </c>
      <c r="S935">
        <v>0.6</v>
      </c>
      <c r="T935" t="s">
        <v>135</v>
      </c>
      <c r="U935" t="s">
        <v>84</v>
      </c>
      <c r="V935" t="s">
        <v>62</v>
      </c>
      <c r="W935" t="s">
        <v>62</v>
      </c>
      <c r="X935">
        <v>0</v>
      </c>
      <c r="Y935">
        <v>0</v>
      </c>
      <c r="Z935">
        <v>5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5</v>
      </c>
      <c r="AK935">
        <v>0</v>
      </c>
      <c r="AL935">
        <v>5</v>
      </c>
      <c r="AM935">
        <v>1</v>
      </c>
      <c r="AN935">
        <v>12</v>
      </c>
      <c r="AO935">
        <v>5</v>
      </c>
      <c r="AP935">
        <v>18</v>
      </c>
      <c r="AQ935">
        <v>0</v>
      </c>
      <c r="AR935" t="s">
        <v>2011</v>
      </c>
      <c r="AS935" t="s">
        <v>64</v>
      </c>
      <c r="AT935">
        <v>1.2270000000000001</v>
      </c>
      <c r="AU935" t="s">
        <v>65</v>
      </c>
      <c r="AV935">
        <v>30</v>
      </c>
      <c r="AW935">
        <v>5</v>
      </c>
      <c r="AX935" t="s">
        <v>2012</v>
      </c>
      <c r="AY935" t="s">
        <v>2013</v>
      </c>
      <c r="AZ935" t="s">
        <v>2014</v>
      </c>
      <c r="BA935">
        <v>3.3840000000000002E-2</v>
      </c>
      <c r="BB935">
        <v>1</v>
      </c>
      <c r="BC935" t="s">
        <v>69</v>
      </c>
      <c r="BD935">
        <v>0.69099999999999995</v>
      </c>
      <c r="BE935">
        <v>0.45400000000000001</v>
      </c>
    </row>
    <row r="936" spans="1:57">
      <c r="A936">
        <v>0</v>
      </c>
      <c r="B936">
        <v>0</v>
      </c>
      <c r="C936">
        <v>0</v>
      </c>
      <c r="D936">
        <v>1521</v>
      </c>
      <c r="E936" t="s">
        <v>2038</v>
      </c>
      <c r="F936" t="s">
        <v>5761</v>
      </c>
      <c r="G936" t="s">
        <v>62</v>
      </c>
      <c r="H936">
        <v>1533330</v>
      </c>
      <c r="I936">
        <v>1533701</v>
      </c>
      <c r="J936" t="s">
        <v>2039</v>
      </c>
      <c r="K936">
        <v>124</v>
      </c>
      <c r="L936" t="s">
        <v>59</v>
      </c>
      <c r="M936">
        <v>5</v>
      </c>
      <c r="N936" t="str">
        <f>HYPERLINK("Gene1521-zp_tree_all.dnd", "Gene1521-tree")</f>
        <v>Gene1521-tree</v>
      </c>
      <c r="O936">
        <v>3</v>
      </c>
      <c r="P936">
        <v>1</v>
      </c>
      <c r="Q936">
        <v>3</v>
      </c>
      <c r="R936">
        <v>1</v>
      </c>
      <c r="S936">
        <v>0.25</v>
      </c>
      <c r="T936" t="s">
        <v>84</v>
      </c>
      <c r="U936" t="s">
        <v>61</v>
      </c>
      <c r="V936" t="s">
        <v>62</v>
      </c>
      <c r="W936" t="s">
        <v>62</v>
      </c>
      <c r="X936">
        <v>0</v>
      </c>
      <c r="Y936">
        <v>0</v>
      </c>
      <c r="Z936">
        <v>6</v>
      </c>
      <c r="AA936">
        <v>0</v>
      </c>
      <c r="AB936">
        <v>0</v>
      </c>
      <c r="AC936">
        <v>0</v>
      </c>
      <c r="AD936">
        <v>0</v>
      </c>
      <c r="AE936">
        <v>3</v>
      </c>
      <c r="AF936">
        <v>0</v>
      </c>
      <c r="AG936">
        <v>0</v>
      </c>
      <c r="AH936">
        <v>0</v>
      </c>
      <c r="AI936">
        <v>0</v>
      </c>
      <c r="AJ936">
        <v>3</v>
      </c>
      <c r="AK936">
        <v>0</v>
      </c>
      <c r="AL936">
        <v>3</v>
      </c>
      <c r="AM936">
        <v>1</v>
      </c>
      <c r="AN936">
        <v>6</v>
      </c>
      <c r="AO936">
        <v>3</v>
      </c>
      <c r="AP936">
        <v>7</v>
      </c>
      <c r="AQ936">
        <v>3</v>
      </c>
      <c r="AR936" t="s">
        <v>2040</v>
      </c>
      <c r="AS936" t="s">
        <v>2041</v>
      </c>
      <c r="AT936">
        <v>0.111</v>
      </c>
      <c r="AU936" t="s">
        <v>65</v>
      </c>
      <c r="AV936">
        <v>13</v>
      </c>
      <c r="AW936">
        <v>6</v>
      </c>
      <c r="AX936" t="s">
        <v>2042</v>
      </c>
      <c r="AY936" t="s">
        <v>2043</v>
      </c>
      <c r="AZ936" t="s">
        <v>2044</v>
      </c>
      <c r="BA936">
        <v>0.11461</v>
      </c>
      <c r="BB936">
        <v>1</v>
      </c>
      <c r="BC936" t="s">
        <v>69</v>
      </c>
      <c r="BD936">
        <v>0.38800000000000001</v>
      </c>
      <c r="BE936">
        <v>0.38800000000000001</v>
      </c>
    </row>
    <row r="937" spans="1:57">
      <c r="A937">
        <v>0</v>
      </c>
      <c r="B937">
        <v>0</v>
      </c>
      <c r="C937">
        <v>0</v>
      </c>
      <c r="D937">
        <v>1536</v>
      </c>
      <c r="E937" t="s">
        <v>2058</v>
      </c>
      <c r="F937" t="s">
        <v>5761</v>
      </c>
      <c r="G937" t="s">
        <v>62</v>
      </c>
      <c r="H937">
        <v>1545823</v>
      </c>
      <c r="I937">
        <v>1546008</v>
      </c>
      <c r="J937" t="s">
        <v>170</v>
      </c>
      <c r="K937">
        <v>62</v>
      </c>
      <c r="L937" t="s">
        <v>59</v>
      </c>
      <c r="M937">
        <v>5</v>
      </c>
      <c r="N937" t="str">
        <f>HYPERLINK("Gene1536-zp_tree_all.dnd", "Gene1536-tree")</f>
        <v>Gene1536-tree</v>
      </c>
      <c r="O937">
        <v>4</v>
      </c>
      <c r="P937">
        <v>1</v>
      </c>
      <c r="Q937">
        <v>4</v>
      </c>
      <c r="R937">
        <v>1</v>
      </c>
      <c r="S937">
        <v>0.2</v>
      </c>
      <c r="T937" t="s">
        <v>60</v>
      </c>
      <c r="U937" t="s">
        <v>61</v>
      </c>
      <c r="V937" t="s">
        <v>62</v>
      </c>
      <c r="W937" t="s">
        <v>62</v>
      </c>
      <c r="X937">
        <v>0</v>
      </c>
      <c r="Y937">
        <v>0</v>
      </c>
      <c r="Z937">
        <v>2</v>
      </c>
      <c r="AA937">
        <v>0</v>
      </c>
      <c r="AB937">
        <v>0</v>
      </c>
      <c r="AC937">
        <v>0</v>
      </c>
      <c r="AD937">
        <v>0</v>
      </c>
      <c r="AE937">
        <v>1</v>
      </c>
      <c r="AF937">
        <v>0</v>
      </c>
      <c r="AG937">
        <v>0</v>
      </c>
      <c r="AH937">
        <v>0</v>
      </c>
      <c r="AI937">
        <v>0</v>
      </c>
      <c r="AJ937">
        <v>1</v>
      </c>
      <c r="AK937">
        <v>0</v>
      </c>
      <c r="AL937">
        <v>5</v>
      </c>
      <c r="AM937">
        <v>2</v>
      </c>
      <c r="AN937">
        <v>8</v>
      </c>
      <c r="AO937">
        <v>1</v>
      </c>
      <c r="AP937">
        <v>5</v>
      </c>
      <c r="AQ937">
        <v>2</v>
      </c>
      <c r="AR937" t="s">
        <v>2059</v>
      </c>
      <c r="AS937" t="s">
        <v>2060</v>
      </c>
      <c r="AT937">
        <v>0.58799999999999997</v>
      </c>
      <c r="AU937" t="s">
        <v>65</v>
      </c>
      <c r="AV937">
        <v>13</v>
      </c>
      <c r="AW937">
        <v>3</v>
      </c>
      <c r="AX937" t="s">
        <v>2061</v>
      </c>
      <c r="AY937" t="s">
        <v>2062</v>
      </c>
      <c r="AZ937" t="s">
        <v>2063</v>
      </c>
      <c r="BA937">
        <v>6.1839999999999999E-2</v>
      </c>
      <c r="BB937">
        <v>1</v>
      </c>
      <c r="BC937" t="s">
        <v>69</v>
      </c>
      <c r="BD937">
        <v>0.115</v>
      </c>
      <c r="BE937">
        <v>0.115</v>
      </c>
    </row>
    <row r="938" spans="1:57">
      <c r="A938">
        <v>0</v>
      </c>
      <c r="B938">
        <v>0</v>
      </c>
      <c r="C938">
        <v>0</v>
      </c>
      <c r="D938">
        <v>1539</v>
      </c>
      <c r="E938" t="s">
        <v>2077</v>
      </c>
      <c r="F938" t="s">
        <v>5761</v>
      </c>
      <c r="G938" t="s">
        <v>62</v>
      </c>
      <c r="H938">
        <v>1548392</v>
      </c>
      <c r="I938">
        <v>1548598</v>
      </c>
      <c r="J938" t="s">
        <v>170</v>
      </c>
      <c r="K938">
        <v>69</v>
      </c>
      <c r="L938" t="s">
        <v>59</v>
      </c>
      <c r="M938">
        <v>5</v>
      </c>
      <c r="N938" t="str">
        <f>HYPERLINK("Gene1539-zp_tree_all.dnd", "Gene1539-tree")</f>
        <v>Gene1539-tree</v>
      </c>
    </row>
    <row r="939" spans="1:57">
      <c r="A939">
        <v>0</v>
      </c>
      <c r="B939">
        <v>0</v>
      </c>
      <c r="C939">
        <v>2</v>
      </c>
      <c r="D939">
        <v>1567</v>
      </c>
      <c r="E939" t="s">
        <v>2144</v>
      </c>
      <c r="F939" t="s">
        <v>5761</v>
      </c>
      <c r="G939" t="s">
        <v>62</v>
      </c>
      <c r="H939">
        <v>1575054</v>
      </c>
      <c r="I939">
        <v>1575236</v>
      </c>
      <c r="J939" t="s">
        <v>2145</v>
      </c>
      <c r="K939">
        <v>61</v>
      </c>
      <c r="L939" t="s">
        <v>59</v>
      </c>
      <c r="M939">
        <v>5</v>
      </c>
      <c r="N939" t="str">
        <f>HYPERLINK("Gene1567-zp_tree_all.dnd", "Gene1567-tree")</f>
        <v>Gene1567-tree</v>
      </c>
      <c r="O939">
        <v>0</v>
      </c>
      <c r="P939">
        <v>4</v>
      </c>
      <c r="Q939">
        <v>0</v>
      </c>
      <c r="R939">
        <v>4</v>
      </c>
      <c r="S939">
        <v>1</v>
      </c>
      <c r="T939" t="s">
        <v>62</v>
      </c>
      <c r="U939" t="s">
        <v>60</v>
      </c>
      <c r="V939" t="s">
        <v>62</v>
      </c>
      <c r="W939" t="s">
        <v>62</v>
      </c>
      <c r="X939">
        <v>1</v>
      </c>
      <c r="Y939">
        <v>2</v>
      </c>
      <c r="Z939">
        <v>3</v>
      </c>
      <c r="AA939">
        <v>0.4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2</v>
      </c>
      <c r="AI939">
        <v>2</v>
      </c>
      <c r="AJ939">
        <v>3</v>
      </c>
      <c r="AK939">
        <v>0.4</v>
      </c>
      <c r="AL939">
        <v>3</v>
      </c>
      <c r="AM939">
        <v>1</v>
      </c>
      <c r="AN939">
        <v>0</v>
      </c>
      <c r="AO939">
        <v>4</v>
      </c>
      <c r="AP939">
        <v>2</v>
      </c>
      <c r="AQ939">
        <v>1</v>
      </c>
      <c r="AR939" t="s">
        <v>64</v>
      </c>
      <c r="AS939" t="s">
        <v>2146</v>
      </c>
      <c r="AT939">
        <v>0</v>
      </c>
      <c r="AU939" t="s">
        <v>65</v>
      </c>
      <c r="AV939">
        <v>2</v>
      </c>
      <c r="AW939">
        <v>5</v>
      </c>
      <c r="AX939" t="s">
        <v>2147</v>
      </c>
      <c r="AY939" t="s">
        <v>2148</v>
      </c>
      <c r="AZ939" t="s">
        <v>2149</v>
      </c>
      <c r="BA939">
        <v>0.49342000000000003</v>
      </c>
      <c r="BB939">
        <v>0.74299999999999999</v>
      </c>
      <c r="BC939" t="s">
        <v>793</v>
      </c>
      <c r="BD939">
        <v>8.3000000000000004E-2</v>
      </c>
      <c r="BE939">
        <v>8.3000000000000004E-2</v>
      </c>
    </row>
    <row r="940" spans="1:57">
      <c r="A940">
        <v>0</v>
      </c>
      <c r="B940">
        <v>0</v>
      </c>
      <c r="C940">
        <v>0</v>
      </c>
      <c r="D940">
        <v>1643</v>
      </c>
      <c r="E940" t="s">
        <v>2353</v>
      </c>
      <c r="F940" t="s">
        <v>5761</v>
      </c>
      <c r="G940" t="s">
        <v>62</v>
      </c>
      <c r="H940">
        <v>1655602</v>
      </c>
      <c r="I940">
        <v>1655787</v>
      </c>
      <c r="J940" t="s">
        <v>2354</v>
      </c>
      <c r="K940">
        <v>62</v>
      </c>
      <c r="L940" t="s">
        <v>59</v>
      </c>
      <c r="M940">
        <v>5</v>
      </c>
      <c r="N940" t="str">
        <f>HYPERLINK("Gene1643-zp_tree_all.dnd", "Gene1643-tree")</f>
        <v>Gene1643-tree</v>
      </c>
    </row>
    <row r="941" spans="1:57">
      <c r="A941">
        <v>0</v>
      </c>
      <c r="B941">
        <v>0</v>
      </c>
      <c r="C941">
        <v>0</v>
      </c>
      <c r="D941">
        <v>1858</v>
      </c>
      <c r="E941" t="s">
        <v>2766</v>
      </c>
      <c r="F941" t="s">
        <v>5761</v>
      </c>
      <c r="G941" t="s">
        <v>62</v>
      </c>
      <c r="H941">
        <v>1922844</v>
      </c>
      <c r="I941">
        <v>1923014</v>
      </c>
      <c r="J941" t="s">
        <v>2767</v>
      </c>
      <c r="K941">
        <v>57</v>
      </c>
      <c r="L941" t="s">
        <v>59</v>
      </c>
      <c r="M941">
        <v>5</v>
      </c>
      <c r="N941" t="str">
        <f>HYPERLINK("Gene1858-zp_tree_all.dnd", "Gene1858-tree")</f>
        <v>Gene1858-tree</v>
      </c>
    </row>
    <row r="942" spans="1:57">
      <c r="A942">
        <v>0</v>
      </c>
      <c r="B942">
        <v>0</v>
      </c>
      <c r="C942">
        <v>4</v>
      </c>
      <c r="D942">
        <v>1863</v>
      </c>
      <c r="E942" t="s">
        <v>2788</v>
      </c>
      <c r="F942" t="s">
        <v>5761</v>
      </c>
      <c r="G942" t="s">
        <v>62</v>
      </c>
      <c r="H942">
        <v>1925658</v>
      </c>
      <c r="I942">
        <v>1926047</v>
      </c>
      <c r="J942" t="s">
        <v>2789</v>
      </c>
      <c r="K942">
        <v>130</v>
      </c>
      <c r="L942" t="s">
        <v>59</v>
      </c>
      <c r="M942">
        <v>5</v>
      </c>
      <c r="N942" t="str">
        <f>HYPERLINK("Gene1863-zp_tree_all.dnd", "Gene1863-tree")</f>
        <v>Gene1863-tree</v>
      </c>
      <c r="O942">
        <v>3</v>
      </c>
      <c r="P942">
        <v>2</v>
      </c>
      <c r="Q942">
        <v>3</v>
      </c>
      <c r="R942">
        <v>2</v>
      </c>
      <c r="S942">
        <v>0.4</v>
      </c>
      <c r="T942" t="s">
        <v>84</v>
      </c>
      <c r="U942" t="s">
        <v>135</v>
      </c>
      <c r="V942" t="s">
        <v>62</v>
      </c>
      <c r="W942" t="s">
        <v>62</v>
      </c>
      <c r="X942">
        <v>2</v>
      </c>
      <c r="Y942">
        <v>4</v>
      </c>
      <c r="Z942">
        <v>3</v>
      </c>
      <c r="AA942">
        <v>0.57142999999999999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5</v>
      </c>
      <c r="AK942">
        <v>0</v>
      </c>
      <c r="AL942">
        <v>4</v>
      </c>
      <c r="AM942">
        <v>2</v>
      </c>
      <c r="AN942">
        <v>8</v>
      </c>
      <c r="AO942">
        <v>5</v>
      </c>
      <c r="AP942">
        <v>14</v>
      </c>
      <c r="AQ942">
        <v>2</v>
      </c>
      <c r="AR942" t="s">
        <v>2790</v>
      </c>
      <c r="AS942" t="s">
        <v>2791</v>
      </c>
      <c r="AT942">
        <v>1.0369999999999999</v>
      </c>
      <c r="AU942" t="s">
        <v>65</v>
      </c>
      <c r="AV942">
        <v>22</v>
      </c>
      <c r="AW942">
        <v>7</v>
      </c>
      <c r="AX942" t="s">
        <v>2792</v>
      </c>
      <c r="AY942" t="s">
        <v>2793</v>
      </c>
      <c r="AZ942" t="s">
        <v>2794</v>
      </c>
      <c r="BA942">
        <v>6.6680000000000003E-2</v>
      </c>
      <c r="BB942">
        <v>1</v>
      </c>
      <c r="BC942" t="s">
        <v>69</v>
      </c>
      <c r="BD942">
        <v>0.59799999999999998</v>
      </c>
      <c r="BE942">
        <v>0.13800000000000001</v>
      </c>
    </row>
    <row r="943" spans="1:57">
      <c r="A943">
        <v>0</v>
      </c>
      <c r="B943">
        <v>0</v>
      </c>
      <c r="C943">
        <v>0</v>
      </c>
      <c r="D943">
        <v>1865</v>
      </c>
      <c r="E943" t="s">
        <v>2795</v>
      </c>
      <c r="F943" t="s">
        <v>5761</v>
      </c>
      <c r="G943" t="s">
        <v>62</v>
      </c>
      <c r="H943">
        <v>1926309</v>
      </c>
      <c r="I943">
        <v>1926452</v>
      </c>
      <c r="J943" t="s">
        <v>172</v>
      </c>
      <c r="K943">
        <v>48</v>
      </c>
      <c r="L943" t="s">
        <v>59</v>
      </c>
      <c r="M943">
        <v>5</v>
      </c>
      <c r="N943" t="str">
        <f>HYPERLINK("Gene1865-zp_tree_all.dnd", "Gene1865-tree")</f>
        <v>Gene1865-tree</v>
      </c>
      <c r="O943">
        <v>5</v>
      </c>
      <c r="P943">
        <v>0</v>
      </c>
      <c r="Q943">
        <v>4</v>
      </c>
      <c r="R943">
        <v>0</v>
      </c>
      <c r="S943">
        <v>0</v>
      </c>
      <c r="T943" t="s">
        <v>150</v>
      </c>
      <c r="U943" t="s">
        <v>62</v>
      </c>
      <c r="V943" t="s">
        <v>62</v>
      </c>
      <c r="W943" t="s">
        <v>62</v>
      </c>
      <c r="X943">
        <v>0</v>
      </c>
      <c r="Y943">
        <v>0</v>
      </c>
      <c r="Z943">
        <v>1</v>
      </c>
      <c r="AA943">
        <v>0</v>
      </c>
      <c r="AB943">
        <v>0</v>
      </c>
      <c r="AC943">
        <v>0</v>
      </c>
      <c r="AD943">
        <v>0</v>
      </c>
      <c r="AE943">
        <v>1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3</v>
      </c>
      <c r="AM943">
        <v>1</v>
      </c>
      <c r="AN943">
        <v>3</v>
      </c>
      <c r="AO943">
        <v>0</v>
      </c>
      <c r="AP943">
        <v>4</v>
      </c>
      <c r="AQ943">
        <v>1</v>
      </c>
      <c r="AR943" t="s">
        <v>64</v>
      </c>
      <c r="AS943" t="s">
        <v>2796</v>
      </c>
      <c r="AT943">
        <v>0</v>
      </c>
      <c r="AU943" t="s">
        <v>65</v>
      </c>
      <c r="AV943">
        <v>7</v>
      </c>
      <c r="AW943">
        <v>1</v>
      </c>
      <c r="AX943" t="s">
        <v>2797</v>
      </c>
      <c r="AY943" t="s">
        <v>2798</v>
      </c>
      <c r="AZ943" t="s">
        <v>2799</v>
      </c>
      <c r="BA943">
        <v>3.4709999999999998E-2</v>
      </c>
      <c r="BB943">
        <v>1</v>
      </c>
      <c r="BC943" t="s">
        <v>69</v>
      </c>
      <c r="BD943">
        <v>1.028</v>
      </c>
      <c r="BE943">
        <v>1.028</v>
      </c>
    </row>
    <row r="944" spans="1:57">
      <c r="A944">
        <v>0</v>
      </c>
      <c r="B944">
        <v>0</v>
      </c>
      <c r="C944">
        <v>0</v>
      </c>
      <c r="D944">
        <v>1874</v>
      </c>
      <c r="E944" t="s">
        <v>2807</v>
      </c>
      <c r="F944" t="s">
        <v>5761</v>
      </c>
      <c r="G944" t="s">
        <v>62</v>
      </c>
      <c r="H944">
        <v>1931923</v>
      </c>
      <c r="I944">
        <v>1932501</v>
      </c>
      <c r="J944" t="s">
        <v>2808</v>
      </c>
      <c r="K944">
        <v>193</v>
      </c>
      <c r="L944" t="s">
        <v>112</v>
      </c>
      <c r="M944">
        <v>4</v>
      </c>
      <c r="N944" t="str">
        <f>HYPERLINK("Gene1874-zp_tree_all.dnd", "Gene1874-tree")</f>
        <v>Gene1874-tree</v>
      </c>
      <c r="O944">
        <v>3</v>
      </c>
      <c r="P944">
        <v>1</v>
      </c>
      <c r="Q944">
        <v>3</v>
      </c>
      <c r="R944">
        <v>1</v>
      </c>
      <c r="S944">
        <v>0.25</v>
      </c>
      <c r="T944" t="s">
        <v>84</v>
      </c>
      <c r="U944" t="s">
        <v>61</v>
      </c>
      <c r="V944" t="s">
        <v>62</v>
      </c>
      <c r="W944" t="s">
        <v>62</v>
      </c>
      <c r="X944">
        <v>0</v>
      </c>
      <c r="Y944">
        <v>0</v>
      </c>
      <c r="Z944">
        <v>4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4</v>
      </c>
      <c r="AK944">
        <v>0</v>
      </c>
      <c r="AL944">
        <v>3</v>
      </c>
      <c r="AM944">
        <v>1</v>
      </c>
      <c r="AN944">
        <v>26</v>
      </c>
      <c r="AO944">
        <v>4</v>
      </c>
      <c r="AP944">
        <v>1</v>
      </c>
      <c r="AQ944">
        <v>0</v>
      </c>
      <c r="AR944" t="s">
        <v>2809</v>
      </c>
      <c r="AS944" t="s">
        <v>64</v>
      </c>
      <c r="AT944">
        <v>0.50600000000000001</v>
      </c>
      <c r="AU944" t="s">
        <v>65</v>
      </c>
      <c r="AV944">
        <v>27</v>
      </c>
      <c r="AW944">
        <v>4</v>
      </c>
      <c r="AX944" t="s">
        <v>2810</v>
      </c>
      <c r="AY944" t="s">
        <v>2811</v>
      </c>
      <c r="AZ944" t="s">
        <v>2812</v>
      </c>
      <c r="BA944">
        <v>4.367E-2</v>
      </c>
      <c r="BB944">
        <v>1</v>
      </c>
      <c r="BC944" t="s">
        <v>69</v>
      </c>
      <c r="BD944">
        <v>-0.76</v>
      </c>
      <c r="BE944">
        <v>-0.76</v>
      </c>
    </row>
    <row r="945" spans="1:57">
      <c r="A945">
        <v>0</v>
      </c>
      <c r="B945">
        <v>0</v>
      </c>
      <c r="C945">
        <v>0</v>
      </c>
      <c r="D945">
        <v>1909</v>
      </c>
      <c r="E945" t="s">
        <v>2813</v>
      </c>
      <c r="F945" t="s">
        <v>5761</v>
      </c>
      <c r="G945" t="s">
        <v>62</v>
      </c>
      <c r="H945">
        <v>2004265</v>
      </c>
      <c r="I945">
        <v>2004492</v>
      </c>
      <c r="J945" t="s">
        <v>2814</v>
      </c>
      <c r="K945">
        <v>76</v>
      </c>
      <c r="L945" t="s">
        <v>59</v>
      </c>
      <c r="M945">
        <v>5</v>
      </c>
      <c r="N945" t="str">
        <f>HYPERLINK("Gene1909-zp_tree_all.dnd", "Gene1909-tree")</f>
        <v>Gene1909-tree</v>
      </c>
      <c r="O945">
        <v>3</v>
      </c>
      <c r="P945">
        <v>2</v>
      </c>
      <c r="Q945">
        <v>3</v>
      </c>
      <c r="R945">
        <v>2</v>
      </c>
      <c r="S945">
        <v>0.4</v>
      </c>
      <c r="T945" t="s">
        <v>84</v>
      </c>
      <c r="U945" t="s">
        <v>135</v>
      </c>
      <c r="V945" t="s">
        <v>62</v>
      </c>
      <c r="W945" t="s">
        <v>62</v>
      </c>
      <c r="X945">
        <v>0</v>
      </c>
      <c r="Y945">
        <v>0</v>
      </c>
      <c r="Z945">
        <v>8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5</v>
      </c>
      <c r="AK945">
        <v>0</v>
      </c>
      <c r="AL945">
        <v>3</v>
      </c>
      <c r="AM945">
        <v>2</v>
      </c>
      <c r="AN945">
        <v>5</v>
      </c>
      <c r="AO945">
        <v>5</v>
      </c>
      <c r="AP945">
        <v>4</v>
      </c>
      <c r="AQ945">
        <v>3</v>
      </c>
      <c r="AR945" t="s">
        <v>2815</v>
      </c>
      <c r="AS945" t="s">
        <v>2816</v>
      </c>
      <c r="AT945">
        <v>0.26500000000000001</v>
      </c>
      <c r="AU945" t="s">
        <v>65</v>
      </c>
      <c r="AV945">
        <v>9</v>
      </c>
      <c r="AW945">
        <v>8</v>
      </c>
      <c r="AX945" t="s">
        <v>2817</v>
      </c>
      <c r="AY945" t="s">
        <v>2818</v>
      </c>
      <c r="AZ945" t="s">
        <v>2819</v>
      </c>
      <c r="BA945">
        <v>0.21903</v>
      </c>
      <c r="BB945">
        <v>0.98</v>
      </c>
      <c r="BC945" t="s">
        <v>69</v>
      </c>
      <c r="BD945">
        <v>0.30499999999999999</v>
      </c>
      <c r="BE945">
        <v>-7.5999999999999998E-2</v>
      </c>
    </row>
    <row r="946" spans="1:57">
      <c r="A946">
        <v>0</v>
      </c>
      <c r="B946">
        <v>0</v>
      </c>
      <c r="C946">
        <v>0</v>
      </c>
      <c r="D946">
        <v>1917</v>
      </c>
      <c r="E946" t="s">
        <v>2827</v>
      </c>
      <c r="F946" t="s">
        <v>5761</v>
      </c>
      <c r="G946" t="s">
        <v>62</v>
      </c>
      <c r="H946">
        <v>2016848</v>
      </c>
      <c r="I946">
        <v>2017738</v>
      </c>
      <c r="J946" t="s">
        <v>2828</v>
      </c>
      <c r="K946">
        <v>297</v>
      </c>
      <c r="L946" t="s">
        <v>112</v>
      </c>
      <c r="M946">
        <v>4</v>
      </c>
      <c r="N946" t="str">
        <f>HYPERLINK("Gene1917-zp_tree_all.dnd", "Gene1917-tree")</f>
        <v>Gene1917-tree</v>
      </c>
      <c r="O946">
        <v>2</v>
      </c>
      <c r="P946">
        <v>2</v>
      </c>
      <c r="Q946">
        <v>2</v>
      </c>
      <c r="R946">
        <v>2</v>
      </c>
      <c r="S946">
        <v>0.5</v>
      </c>
      <c r="T946" t="s">
        <v>135</v>
      </c>
      <c r="U946" t="s">
        <v>135</v>
      </c>
      <c r="V946" t="s">
        <v>62</v>
      </c>
      <c r="W946" t="s">
        <v>62</v>
      </c>
      <c r="X946">
        <v>0</v>
      </c>
      <c r="Y946">
        <v>0</v>
      </c>
      <c r="Z946">
        <v>11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11</v>
      </c>
      <c r="AK946">
        <v>0</v>
      </c>
      <c r="AL946">
        <v>4</v>
      </c>
      <c r="AM946">
        <v>1</v>
      </c>
      <c r="AN946">
        <v>38</v>
      </c>
      <c r="AO946">
        <v>11</v>
      </c>
      <c r="AP946">
        <v>1</v>
      </c>
      <c r="AQ946">
        <v>0</v>
      </c>
      <c r="AR946" t="s">
        <v>2829</v>
      </c>
      <c r="AS946" t="s">
        <v>64</v>
      </c>
      <c r="AT946">
        <v>0.53900000000000003</v>
      </c>
      <c r="AU946" t="s">
        <v>65</v>
      </c>
      <c r="AV946">
        <v>39</v>
      </c>
      <c r="AW946">
        <v>11</v>
      </c>
      <c r="AX946" t="s">
        <v>2830</v>
      </c>
      <c r="AY946" t="s">
        <v>2831</v>
      </c>
      <c r="AZ946" t="s">
        <v>2832</v>
      </c>
      <c r="BA946">
        <v>7.8159999999999993E-2</v>
      </c>
      <c r="BB946">
        <v>1</v>
      </c>
      <c r="BC946" t="s">
        <v>69</v>
      </c>
      <c r="BD946">
        <v>-0.73699999999999999</v>
      </c>
      <c r="BE946">
        <v>-0.73699999999999999</v>
      </c>
    </row>
    <row r="947" spans="1:57">
      <c r="A947">
        <v>0</v>
      </c>
      <c r="B947">
        <v>0</v>
      </c>
      <c r="C947">
        <v>2</v>
      </c>
      <c r="D947">
        <v>1992</v>
      </c>
      <c r="E947" t="s">
        <v>2840</v>
      </c>
      <c r="F947" t="s">
        <v>5761</v>
      </c>
      <c r="G947" t="s">
        <v>57</v>
      </c>
      <c r="H947">
        <v>2085303</v>
      </c>
      <c r="I947">
        <v>2085977</v>
      </c>
      <c r="J947" t="s">
        <v>2841</v>
      </c>
      <c r="K947">
        <v>225</v>
      </c>
      <c r="L947" t="s">
        <v>59</v>
      </c>
      <c r="M947">
        <v>5</v>
      </c>
      <c r="N947" t="str">
        <f>HYPERLINK("Gene1992-zp_tree_all.dnd", "Gene1992-tree")</f>
        <v>Gene1992-tree</v>
      </c>
      <c r="O947">
        <v>3</v>
      </c>
      <c r="P947">
        <v>2</v>
      </c>
      <c r="Q947">
        <v>3</v>
      </c>
      <c r="R947">
        <v>2</v>
      </c>
      <c r="S947">
        <v>0.4</v>
      </c>
      <c r="T947" t="s">
        <v>84</v>
      </c>
      <c r="U947" t="s">
        <v>135</v>
      </c>
      <c r="V947" t="s">
        <v>62</v>
      </c>
      <c r="W947" t="s">
        <v>62</v>
      </c>
      <c r="X947">
        <v>1</v>
      </c>
      <c r="Y947">
        <v>2</v>
      </c>
      <c r="Z947">
        <v>9</v>
      </c>
      <c r="AA947">
        <v>0.18182000000000001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6</v>
      </c>
      <c r="AK947">
        <v>0</v>
      </c>
      <c r="AL947">
        <v>4</v>
      </c>
      <c r="AM947">
        <v>2</v>
      </c>
      <c r="AN947">
        <v>11</v>
      </c>
      <c r="AO947">
        <v>6</v>
      </c>
      <c r="AP947">
        <v>10</v>
      </c>
      <c r="AQ947">
        <v>5</v>
      </c>
      <c r="AR947" t="s">
        <v>2842</v>
      </c>
      <c r="AS947" t="s">
        <v>2843</v>
      </c>
      <c r="AT947">
        <v>6.3E-2</v>
      </c>
      <c r="AU947" t="s">
        <v>65</v>
      </c>
      <c r="AV947">
        <v>21</v>
      </c>
      <c r="AW947">
        <v>11</v>
      </c>
      <c r="AX947" t="s">
        <v>2844</v>
      </c>
      <c r="AY947" t="s">
        <v>2845</v>
      </c>
      <c r="AZ947" t="s">
        <v>2846</v>
      </c>
      <c r="BA947">
        <v>0.15673999999999999</v>
      </c>
      <c r="BB947">
        <v>1</v>
      </c>
      <c r="BC947" t="s">
        <v>69</v>
      </c>
      <c r="BD947">
        <v>0.312</v>
      </c>
      <c r="BE947">
        <v>0.06</v>
      </c>
    </row>
    <row r="948" spans="1:57">
      <c r="A948">
        <v>0</v>
      </c>
      <c r="B948">
        <v>0</v>
      </c>
      <c r="C948">
        <v>4</v>
      </c>
      <c r="D948">
        <v>2035</v>
      </c>
      <c r="E948" t="s">
        <v>2874</v>
      </c>
      <c r="F948" t="s">
        <v>5761</v>
      </c>
      <c r="G948" t="s">
        <v>57</v>
      </c>
      <c r="H948">
        <v>2127813</v>
      </c>
      <c r="I948">
        <v>2128418</v>
      </c>
      <c r="J948" t="s">
        <v>2875</v>
      </c>
      <c r="K948">
        <v>202</v>
      </c>
      <c r="L948" t="s">
        <v>59</v>
      </c>
      <c r="M948">
        <v>5</v>
      </c>
      <c r="N948" t="str">
        <f>HYPERLINK("Gene2035-zp_tree_all.dnd", "Gene2035-tree")</f>
        <v>Gene2035-tree</v>
      </c>
      <c r="O948">
        <v>3</v>
      </c>
      <c r="P948">
        <v>2</v>
      </c>
      <c r="Q948">
        <v>3</v>
      </c>
      <c r="R948">
        <v>2</v>
      </c>
      <c r="S948">
        <v>0.4</v>
      </c>
      <c r="T948" t="s">
        <v>84</v>
      </c>
      <c r="U948" t="s">
        <v>135</v>
      </c>
      <c r="V948" t="s">
        <v>62</v>
      </c>
      <c r="W948" t="s">
        <v>62</v>
      </c>
      <c r="X948">
        <v>2</v>
      </c>
      <c r="Y948">
        <v>4</v>
      </c>
      <c r="Z948">
        <v>4</v>
      </c>
      <c r="AA948">
        <v>0.5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4</v>
      </c>
      <c r="AK948">
        <v>0</v>
      </c>
      <c r="AL948">
        <v>5</v>
      </c>
      <c r="AM948">
        <v>2</v>
      </c>
      <c r="AN948">
        <v>18</v>
      </c>
      <c r="AO948">
        <v>4</v>
      </c>
      <c r="AP948">
        <v>16</v>
      </c>
      <c r="AQ948">
        <v>4</v>
      </c>
      <c r="AR948" t="s">
        <v>2876</v>
      </c>
      <c r="AS948" t="s">
        <v>2877</v>
      </c>
      <c r="AT948">
        <v>5.1999999999999998E-2</v>
      </c>
      <c r="AU948" t="s">
        <v>65</v>
      </c>
      <c r="AV948">
        <v>34</v>
      </c>
      <c r="AW948">
        <v>8</v>
      </c>
      <c r="AX948" t="s">
        <v>2878</v>
      </c>
      <c r="AY948" t="s">
        <v>2879</v>
      </c>
      <c r="AZ948" t="s">
        <v>2880</v>
      </c>
      <c r="BA948">
        <v>6.7890000000000006E-2</v>
      </c>
      <c r="BB948">
        <v>1</v>
      </c>
      <c r="BC948" t="s">
        <v>69</v>
      </c>
      <c r="BD948">
        <v>0.77800000000000002</v>
      </c>
      <c r="BE948">
        <v>0.44</v>
      </c>
    </row>
    <row r="949" spans="1:57">
      <c r="A949">
        <v>0</v>
      </c>
      <c r="B949">
        <v>0</v>
      </c>
      <c r="C949">
        <v>0</v>
      </c>
      <c r="D949">
        <v>2038</v>
      </c>
      <c r="E949" t="s">
        <v>2881</v>
      </c>
      <c r="F949" t="s">
        <v>5761</v>
      </c>
      <c r="G949" t="s">
        <v>57</v>
      </c>
      <c r="H949">
        <v>2130177</v>
      </c>
      <c r="I949">
        <v>2130374</v>
      </c>
      <c r="J949" t="s">
        <v>1541</v>
      </c>
      <c r="K949">
        <v>66</v>
      </c>
      <c r="L949" t="s">
        <v>83</v>
      </c>
      <c r="M949">
        <v>4</v>
      </c>
      <c r="N949" t="str">
        <f>HYPERLINK("Gene2038-zp_tree_all.dnd", "Gene2038-tree")</f>
        <v>Gene2038-tree</v>
      </c>
    </row>
    <row r="950" spans="1:57">
      <c r="A950">
        <v>0</v>
      </c>
      <c r="B950">
        <v>0</v>
      </c>
      <c r="C950">
        <v>0</v>
      </c>
      <c r="D950">
        <v>2042</v>
      </c>
      <c r="E950" t="s">
        <v>2882</v>
      </c>
      <c r="F950" t="s">
        <v>5761</v>
      </c>
      <c r="G950" t="s">
        <v>57</v>
      </c>
      <c r="H950">
        <v>2134244</v>
      </c>
      <c r="I950">
        <v>2134492</v>
      </c>
      <c r="J950" t="s">
        <v>2883</v>
      </c>
      <c r="K950">
        <v>83</v>
      </c>
      <c r="L950" t="s">
        <v>112</v>
      </c>
      <c r="M950">
        <v>4</v>
      </c>
      <c r="N950" t="str">
        <f>HYPERLINK("Gene2042-zp_tree_all.dnd", "Gene2042-tree")</f>
        <v>Gene2042-tree</v>
      </c>
    </row>
    <row r="951" spans="1:57">
      <c r="A951">
        <v>0</v>
      </c>
      <c r="B951">
        <v>0</v>
      </c>
      <c r="C951">
        <v>0</v>
      </c>
      <c r="D951">
        <v>2049</v>
      </c>
      <c r="E951" t="s">
        <v>2904</v>
      </c>
      <c r="F951" t="s">
        <v>5761</v>
      </c>
      <c r="G951" t="s">
        <v>57</v>
      </c>
      <c r="H951">
        <v>2137897</v>
      </c>
      <c r="I951">
        <v>2138037</v>
      </c>
      <c r="J951" t="s">
        <v>1082</v>
      </c>
      <c r="K951">
        <v>47</v>
      </c>
      <c r="L951" t="s">
        <v>59</v>
      </c>
      <c r="M951">
        <v>5</v>
      </c>
      <c r="N951" t="str">
        <f>HYPERLINK("Gene2049-zp_tree_all.dnd", "Gene2049-tree")</f>
        <v>Gene2049-tree</v>
      </c>
      <c r="O951">
        <v>5</v>
      </c>
      <c r="P951">
        <v>0</v>
      </c>
      <c r="Q951">
        <v>5</v>
      </c>
      <c r="R951">
        <v>0</v>
      </c>
      <c r="S951">
        <v>0</v>
      </c>
      <c r="T951" t="s">
        <v>98</v>
      </c>
      <c r="U951" t="s">
        <v>62</v>
      </c>
      <c r="V951" t="s">
        <v>62</v>
      </c>
      <c r="W951" t="s">
        <v>62</v>
      </c>
      <c r="X951">
        <v>0</v>
      </c>
      <c r="Y951">
        <v>0</v>
      </c>
      <c r="Z951">
        <v>1</v>
      </c>
      <c r="AA951">
        <v>0</v>
      </c>
      <c r="AB951">
        <v>0</v>
      </c>
      <c r="AC951">
        <v>0</v>
      </c>
      <c r="AD951">
        <v>0</v>
      </c>
      <c r="AE951">
        <v>1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3</v>
      </c>
      <c r="AM951">
        <v>1</v>
      </c>
      <c r="AN951">
        <v>3</v>
      </c>
      <c r="AO951">
        <v>0</v>
      </c>
      <c r="AP951">
        <v>1</v>
      </c>
      <c r="AQ951">
        <v>1</v>
      </c>
      <c r="AR951" t="s">
        <v>64</v>
      </c>
      <c r="AS951" t="s">
        <v>2905</v>
      </c>
      <c r="AT951">
        <v>0</v>
      </c>
      <c r="AU951" t="s">
        <v>65</v>
      </c>
      <c r="AV951">
        <v>4</v>
      </c>
      <c r="AW951">
        <v>1</v>
      </c>
      <c r="AX951" t="s">
        <v>2906</v>
      </c>
      <c r="AY951" t="s">
        <v>2907</v>
      </c>
      <c r="AZ951" t="s">
        <v>2908</v>
      </c>
      <c r="BA951">
        <v>7.9699999999999993E-2</v>
      </c>
      <c r="BB951">
        <v>1</v>
      </c>
      <c r="BC951" t="s">
        <v>69</v>
      </c>
      <c r="BD951">
        <v>0</v>
      </c>
      <c r="BE951">
        <v>0</v>
      </c>
    </row>
    <row r="952" spans="1:57">
      <c r="A952">
        <v>0</v>
      </c>
      <c r="B952">
        <v>0</v>
      </c>
      <c r="C952">
        <v>0</v>
      </c>
      <c r="D952">
        <v>2261</v>
      </c>
      <c r="E952" t="s">
        <v>2921</v>
      </c>
      <c r="F952" t="s">
        <v>5761</v>
      </c>
      <c r="G952" t="s">
        <v>57</v>
      </c>
      <c r="H952">
        <v>2288194</v>
      </c>
      <c r="I952">
        <v>2288616</v>
      </c>
      <c r="J952" t="s">
        <v>1014</v>
      </c>
      <c r="K952">
        <v>141</v>
      </c>
      <c r="L952" t="s">
        <v>59</v>
      </c>
      <c r="M952">
        <v>5</v>
      </c>
      <c r="N952" t="str">
        <f>HYPERLINK("Gene2261-zp_tree_all.dnd", "Gene2261-tree")</f>
        <v>Gene2261-tree</v>
      </c>
      <c r="O952">
        <v>4</v>
      </c>
      <c r="P952">
        <v>1</v>
      </c>
      <c r="Q952">
        <v>4</v>
      </c>
      <c r="R952">
        <v>1</v>
      </c>
      <c r="S952">
        <v>0.2</v>
      </c>
      <c r="T952" t="s">
        <v>60</v>
      </c>
      <c r="U952" t="s">
        <v>61</v>
      </c>
      <c r="V952" t="s">
        <v>62</v>
      </c>
      <c r="W952" t="s">
        <v>62</v>
      </c>
      <c r="X952">
        <v>0</v>
      </c>
      <c r="Y952">
        <v>0</v>
      </c>
      <c r="Z952">
        <v>3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1</v>
      </c>
      <c r="AK952">
        <v>0</v>
      </c>
      <c r="AL952">
        <v>4</v>
      </c>
      <c r="AM952">
        <v>1</v>
      </c>
      <c r="AN952">
        <v>11</v>
      </c>
      <c r="AO952">
        <v>1</v>
      </c>
      <c r="AP952">
        <v>11</v>
      </c>
      <c r="AQ952">
        <v>2</v>
      </c>
      <c r="AR952" t="s">
        <v>2922</v>
      </c>
      <c r="AS952" t="s">
        <v>2923</v>
      </c>
      <c r="AT952">
        <v>0.56499999999999995</v>
      </c>
      <c r="AU952" t="s">
        <v>65</v>
      </c>
      <c r="AV952">
        <v>22</v>
      </c>
      <c r="AW952">
        <v>3</v>
      </c>
      <c r="AX952" t="s">
        <v>2924</v>
      </c>
      <c r="AY952" t="s">
        <v>2925</v>
      </c>
      <c r="AZ952" t="s">
        <v>2526</v>
      </c>
      <c r="BA952">
        <v>3.4979999999999997E-2</v>
      </c>
      <c r="BB952">
        <v>1</v>
      </c>
      <c r="BC952" t="s">
        <v>69</v>
      </c>
      <c r="BD952">
        <v>0.56799999999999995</v>
      </c>
      <c r="BE952">
        <v>0.56799999999999995</v>
      </c>
    </row>
    <row r="953" spans="1:57">
      <c r="A953">
        <v>0</v>
      </c>
      <c r="B953">
        <v>0</v>
      </c>
      <c r="C953">
        <v>0</v>
      </c>
      <c r="D953">
        <v>2282</v>
      </c>
      <c r="E953" t="s">
        <v>2941</v>
      </c>
      <c r="F953" t="s">
        <v>5761</v>
      </c>
      <c r="G953" t="s">
        <v>57</v>
      </c>
      <c r="H953">
        <v>2305378</v>
      </c>
      <c r="I953">
        <v>2306280</v>
      </c>
      <c r="J953" t="s">
        <v>2942</v>
      </c>
      <c r="K953">
        <v>301</v>
      </c>
      <c r="L953" t="s">
        <v>59</v>
      </c>
      <c r="M953">
        <v>5</v>
      </c>
      <c r="N953" t="str">
        <f>HYPERLINK("Gene2282-zp_tree_all.dnd", "Gene2282-tree")</f>
        <v>Gene2282-tree</v>
      </c>
      <c r="O953">
        <v>1</v>
      </c>
      <c r="P953">
        <v>4</v>
      </c>
      <c r="Q953">
        <v>1</v>
      </c>
      <c r="R953">
        <v>4</v>
      </c>
      <c r="S953">
        <v>0.8</v>
      </c>
      <c r="T953" t="s">
        <v>61</v>
      </c>
      <c r="U953" t="s">
        <v>60</v>
      </c>
      <c r="V953" t="s">
        <v>62</v>
      </c>
      <c r="W953" t="s">
        <v>62</v>
      </c>
      <c r="X953">
        <v>0</v>
      </c>
      <c r="Y953">
        <v>0</v>
      </c>
      <c r="Z953">
        <v>11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6</v>
      </c>
      <c r="AK953">
        <v>0</v>
      </c>
      <c r="AL953">
        <v>5</v>
      </c>
      <c r="AM953">
        <v>1</v>
      </c>
      <c r="AN953">
        <v>15</v>
      </c>
      <c r="AO953">
        <v>6</v>
      </c>
      <c r="AP953">
        <v>18</v>
      </c>
      <c r="AQ953">
        <v>6</v>
      </c>
      <c r="AR953" t="s">
        <v>2943</v>
      </c>
      <c r="AS953" t="s">
        <v>2944</v>
      </c>
      <c r="AT953">
        <v>0.51100000000000001</v>
      </c>
      <c r="AU953" t="s">
        <v>65</v>
      </c>
      <c r="AV953">
        <v>33</v>
      </c>
      <c r="AW953">
        <v>12</v>
      </c>
      <c r="AX953" t="s">
        <v>2945</v>
      </c>
      <c r="AY953" t="s">
        <v>2946</v>
      </c>
      <c r="AZ953" t="s">
        <v>2947</v>
      </c>
      <c r="BA953">
        <v>9.375E-2</v>
      </c>
      <c r="BB953">
        <v>1</v>
      </c>
      <c r="BC953" t="s">
        <v>69</v>
      </c>
      <c r="BD953">
        <v>0.56899999999999995</v>
      </c>
      <c r="BE953">
        <v>0.20399999999999999</v>
      </c>
    </row>
    <row r="954" spans="1:57">
      <c r="A954">
        <v>0</v>
      </c>
      <c r="B954">
        <v>0</v>
      </c>
      <c r="C954">
        <v>0</v>
      </c>
      <c r="D954">
        <v>2284</v>
      </c>
      <c r="E954" t="s">
        <v>2948</v>
      </c>
      <c r="F954" t="s">
        <v>5761</v>
      </c>
      <c r="G954" t="s">
        <v>57</v>
      </c>
      <c r="H954">
        <v>2307743</v>
      </c>
      <c r="I954">
        <v>2307886</v>
      </c>
      <c r="J954" t="s">
        <v>2949</v>
      </c>
      <c r="K954">
        <v>48</v>
      </c>
      <c r="L954" t="s">
        <v>59</v>
      </c>
      <c r="M954">
        <v>5</v>
      </c>
      <c r="N954" t="str">
        <f>HYPERLINK("Gene2284-zp_tree_all.dnd", "Gene2284-tree")</f>
        <v>Gene2284-tree</v>
      </c>
      <c r="O954">
        <v>1</v>
      </c>
      <c r="P954">
        <v>4</v>
      </c>
      <c r="Q954">
        <v>1</v>
      </c>
      <c r="R954">
        <v>3</v>
      </c>
      <c r="S954">
        <v>0.75</v>
      </c>
      <c r="T954" t="s">
        <v>61</v>
      </c>
      <c r="U954" t="s">
        <v>119</v>
      </c>
      <c r="V954">
        <v>5</v>
      </c>
      <c r="W954" t="s">
        <v>286</v>
      </c>
      <c r="X954">
        <v>0</v>
      </c>
      <c r="Y954">
        <v>0</v>
      </c>
      <c r="Z954">
        <v>6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6</v>
      </c>
      <c r="AK954">
        <v>0</v>
      </c>
      <c r="AL954">
        <v>3</v>
      </c>
      <c r="AM954">
        <v>1</v>
      </c>
      <c r="AN954">
        <v>2</v>
      </c>
      <c r="AO954">
        <v>2</v>
      </c>
      <c r="AP954">
        <v>0</v>
      </c>
      <c r="AQ954">
        <v>4</v>
      </c>
      <c r="AR954" t="s">
        <v>2950</v>
      </c>
      <c r="AS954" t="s">
        <v>64</v>
      </c>
      <c r="AT954">
        <v>0.69299999999999995</v>
      </c>
      <c r="AU954" t="s">
        <v>65</v>
      </c>
      <c r="AV954">
        <v>2</v>
      </c>
      <c r="AW954">
        <v>6</v>
      </c>
      <c r="AX954" t="s">
        <v>2951</v>
      </c>
      <c r="AY954" t="s">
        <v>2952</v>
      </c>
      <c r="AZ954" t="s">
        <v>2953</v>
      </c>
      <c r="BA954">
        <v>0.98736999999999997</v>
      </c>
      <c r="BB954">
        <v>0.374</v>
      </c>
      <c r="BC954" t="s">
        <v>793</v>
      </c>
      <c r="BD954">
        <v>0.71599999999999997</v>
      </c>
      <c r="BE954">
        <v>0.46100000000000002</v>
      </c>
    </row>
    <row r="955" spans="1:57">
      <c r="A955">
        <v>0</v>
      </c>
      <c r="B955">
        <v>2</v>
      </c>
      <c r="C955">
        <v>0</v>
      </c>
      <c r="D955">
        <v>2289</v>
      </c>
      <c r="E955" t="s">
        <v>2960</v>
      </c>
      <c r="F955" t="s">
        <v>5761</v>
      </c>
      <c r="G955" t="s">
        <v>57</v>
      </c>
      <c r="H955">
        <v>2309730</v>
      </c>
      <c r="I955">
        <v>2310416</v>
      </c>
      <c r="J955" t="s">
        <v>2961</v>
      </c>
      <c r="K955">
        <v>229</v>
      </c>
      <c r="L955" t="s">
        <v>59</v>
      </c>
      <c r="M955">
        <v>5</v>
      </c>
      <c r="N955" t="str">
        <f>HYPERLINK("Gene2289-zp_tree_all.dnd", "Gene2289-tree")</f>
        <v>Gene2289-tree</v>
      </c>
      <c r="O955">
        <v>4</v>
      </c>
      <c r="P955">
        <v>1</v>
      </c>
      <c r="Q955">
        <v>4</v>
      </c>
      <c r="R955">
        <v>1</v>
      </c>
      <c r="S955">
        <v>0.2</v>
      </c>
      <c r="T955" t="s">
        <v>60</v>
      </c>
      <c r="U955" t="s">
        <v>61</v>
      </c>
      <c r="V955" t="s">
        <v>62</v>
      </c>
      <c r="W955" t="s">
        <v>62</v>
      </c>
      <c r="X955">
        <v>1</v>
      </c>
      <c r="Y955">
        <v>2</v>
      </c>
      <c r="Z955">
        <v>5</v>
      </c>
      <c r="AA955">
        <v>0.28571000000000002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2</v>
      </c>
      <c r="AK955">
        <v>0</v>
      </c>
      <c r="AL955">
        <v>5</v>
      </c>
      <c r="AM955">
        <v>2</v>
      </c>
      <c r="AN955">
        <v>13</v>
      </c>
      <c r="AO955">
        <v>2</v>
      </c>
      <c r="AP955">
        <v>20</v>
      </c>
      <c r="AQ955">
        <v>5</v>
      </c>
      <c r="AR955" t="s">
        <v>2962</v>
      </c>
      <c r="AS955" t="s">
        <v>2963</v>
      </c>
      <c r="AT955">
        <v>0.20399999999999999</v>
      </c>
      <c r="AU955" t="s">
        <v>65</v>
      </c>
      <c r="AV955">
        <v>33</v>
      </c>
      <c r="AW955">
        <v>7</v>
      </c>
      <c r="AX955" t="s">
        <v>2964</v>
      </c>
      <c r="AY955" t="s">
        <v>2965</v>
      </c>
      <c r="AZ955" t="s">
        <v>2966</v>
      </c>
      <c r="BA955">
        <v>6.0290000000000003E-2</v>
      </c>
      <c r="BB955">
        <v>1</v>
      </c>
      <c r="BC955" t="s">
        <v>69</v>
      </c>
      <c r="BD955">
        <v>1.181</v>
      </c>
      <c r="BE955">
        <v>0.747</v>
      </c>
    </row>
    <row r="956" spans="1:57">
      <c r="A956">
        <v>0</v>
      </c>
      <c r="B956">
        <v>0</v>
      </c>
      <c r="C956">
        <v>0</v>
      </c>
      <c r="D956">
        <v>2291</v>
      </c>
      <c r="E956" t="s">
        <v>2967</v>
      </c>
      <c r="F956" t="s">
        <v>5761</v>
      </c>
      <c r="G956" t="s">
        <v>57</v>
      </c>
      <c r="H956">
        <v>2310859</v>
      </c>
      <c r="I956">
        <v>2310984</v>
      </c>
      <c r="J956" t="s">
        <v>172</v>
      </c>
      <c r="K956">
        <v>42</v>
      </c>
      <c r="L956" t="s">
        <v>59</v>
      </c>
      <c r="M956">
        <v>5</v>
      </c>
      <c r="N956" t="str">
        <f>HYPERLINK("Gene2291-zp_tree_all.dnd", "Gene2291-tree")</f>
        <v>Gene2291-tree</v>
      </c>
    </row>
    <row r="957" spans="1:57">
      <c r="A957">
        <v>0</v>
      </c>
      <c r="B957">
        <v>0</v>
      </c>
      <c r="C957">
        <v>0</v>
      </c>
      <c r="D957">
        <v>2310</v>
      </c>
      <c r="E957" t="s">
        <v>2972</v>
      </c>
      <c r="F957" t="s">
        <v>5761</v>
      </c>
      <c r="G957" t="s">
        <v>57</v>
      </c>
      <c r="H957">
        <v>2329870</v>
      </c>
      <c r="I957">
        <v>2330019</v>
      </c>
      <c r="J957" t="s">
        <v>118</v>
      </c>
      <c r="K957">
        <v>50</v>
      </c>
      <c r="L957" t="s">
        <v>59</v>
      </c>
      <c r="M957">
        <v>5</v>
      </c>
      <c r="N957" t="str">
        <f>HYPERLINK("Gene2310-zp_tree_all.dnd", "Gene2310-tree")</f>
        <v>Gene2310-tree</v>
      </c>
      <c r="O957">
        <v>5</v>
      </c>
      <c r="P957">
        <v>0</v>
      </c>
      <c r="Q957">
        <v>5</v>
      </c>
      <c r="R957">
        <v>0</v>
      </c>
      <c r="S957">
        <v>0</v>
      </c>
      <c r="T957" t="s">
        <v>98</v>
      </c>
      <c r="U957" t="s">
        <v>62</v>
      </c>
      <c r="V957" t="s">
        <v>62</v>
      </c>
      <c r="W957" t="s">
        <v>62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3</v>
      </c>
      <c r="AM957">
        <v>1</v>
      </c>
      <c r="AN957">
        <v>3</v>
      </c>
      <c r="AO957">
        <v>0</v>
      </c>
      <c r="AP957">
        <v>2</v>
      </c>
      <c r="AQ957">
        <v>0</v>
      </c>
      <c r="AR957" t="s">
        <v>64</v>
      </c>
      <c r="AS957" t="s">
        <v>64</v>
      </c>
      <c r="AT957">
        <v>0</v>
      </c>
      <c r="AU957" t="s">
        <v>65</v>
      </c>
      <c r="AV957">
        <v>5</v>
      </c>
      <c r="AW957">
        <v>0</v>
      </c>
      <c r="AX957" t="s">
        <v>2973</v>
      </c>
      <c r="AY957" t="s">
        <v>2974</v>
      </c>
      <c r="AZ957" t="s">
        <v>64</v>
      </c>
      <c r="BA957">
        <v>0</v>
      </c>
      <c r="BB957">
        <v>1</v>
      </c>
      <c r="BC957" t="s">
        <v>69</v>
      </c>
      <c r="BD957">
        <v>0</v>
      </c>
      <c r="BE957">
        <v>0</v>
      </c>
    </row>
    <row r="958" spans="1:57">
      <c r="A958">
        <v>0</v>
      </c>
      <c r="B958">
        <v>0</v>
      </c>
      <c r="C958">
        <v>0</v>
      </c>
      <c r="D958">
        <v>2320</v>
      </c>
      <c r="E958" t="s">
        <v>2981</v>
      </c>
      <c r="F958" t="s">
        <v>5761</v>
      </c>
      <c r="G958" t="s">
        <v>57</v>
      </c>
      <c r="H958">
        <v>2338582</v>
      </c>
      <c r="I958">
        <v>2338767</v>
      </c>
      <c r="J958" t="s">
        <v>2982</v>
      </c>
      <c r="K958">
        <v>62</v>
      </c>
      <c r="L958" t="s">
        <v>59</v>
      </c>
      <c r="M958">
        <v>5</v>
      </c>
      <c r="N958" t="str">
        <f>HYPERLINK("Gene2320-zp_tree_all.dnd", "Gene2320-tree")</f>
        <v>Gene2320-tree</v>
      </c>
    </row>
    <row r="959" spans="1:57">
      <c r="A959">
        <v>0</v>
      </c>
      <c r="B959">
        <v>0</v>
      </c>
      <c r="C959">
        <v>0</v>
      </c>
      <c r="D959">
        <v>2323</v>
      </c>
      <c r="E959" t="s">
        <v>2983</v>
      </c>
      <c r="F959" t="s">
        <v>5761</v>
      </c>
      <c r="G959" t="s">
        <v>57</v>
      </c>
      <c r="H959">
        <v>2339670</v>
      </c>
      <c r="I959">
        <v>2339771</v>
      </c>
      <c r="J959" t="s">
        <v>172</v>
      </c>
      <c r="K959">
        <v>34</v>
      </c>
      <c r="L959" t="s">
        <v>59</v>
      </c>
      <c r="M959">
        <v>5</v>
      </c>
      <c r="N959" t="str">
        <f>HYPERLINK("Gene2323-zp_tree_all.dnd", "Gene2323-tree")</f>
        <v>Gene2323-tree</v>
      </c>
    </row>
    <row r="960" spans="1:57">
      <c r="A960">
        <v>0</v>
      </c>
      <c r="B960">
        <v>0</v>
      </c>
      <c r="C960">
        <v>0</v>
      </c>
      <c r="D960">
        <v>2325</v>
      </c>
      <c r="E960" t="s">
        <v>2984</v>
      </c>
      <c r="F960" t="s">
        <v>5761</v>
      </c>
      <c r="G960" t="s">
        <v>57</v>
      </c>
      <c r="H960">
        <v>2340802</v>
      </c>
      <c r="I960">
        <v>2341419</v>
      </c>
      <c r="J960" t="s">
        <v>2985</v>
      </c>
      <c r="K960">
        <v>206</v>
      </c>
      <c r="L960" t="s">
        <v>59</v>
      </c>
      <c r="M960">
        <v>5</v>
      </c>
      <c r="N960" t="str">
        <f>HYPERLINK("Gene2325-zp_tree_all.dnd", "Gene2325-tree")</f>
        <v>Gene2325-tree</v>
      </c>
      <c r="O960">
        <v>2</v>
      </c>
      <c r="P960">
        <v>3</v>
      </c>
      <c r="Q960">
        <v>2</v>
      </c>
      <c r="R960">
        <v>3</v>
      </c>
      <c r="S960">
        <v>0.6</v>
      </c>
      <c r="T960" t="s">
        <v>135</v>
      </c>
      <c r="U960" t="s">
        <v>84</v>
      </c>
      <c r="V960" t="s">
        <v>62</v>
      </c>
      <c r="W960" t="s">
        <v>62</v>
      </c>
      <c r="X960">
        <v>0</v>
      </c>
      <c r="Y960">
        <v>0</v>
      </c>
      <c r="Z960">
        <v>5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3</v>
      </c>
      <c r="AK960">
        <v>0</v>
      </c>
      <c r="AL960">
        <v>4</v>
      </c>
      <c r="AM960">
        <v>2</v>
      </c>
      <c r="AN960">
        <v>9</v>
      </c>
      <c r="AO960">
        <v>3</v>
      </c>
      <c r="AP960">
        <v>12</v>
      </c>
      <c r="AQ960">
        <v>2</v>
      </c>
      <c r="AR960" t="s">
        <v>2986</v>
      </c>
      <c r="AS960" t="s">
        <v>2987</v>
      </c>
      <c r="AT960">
        <v>0.65</v>
      </c>
      <c r="AU960" t="s">
        <v>65</v>
      </c>
      <c r="AV960">
        <v>21</v>
      </c>
      <c r="AW960">
        <v>5</v>
      </c>
      <c r="AX960" t="s">
        <v>2988</v>
      </c>
      <c r="AY960" t="s">
        <v>2989</v>
      </c>
      <c r="AZ960" t="s">
        <v>2990</v>
      </c>
      <c r="BA960">
        <v>5.8250000000000003E-2</v>
      </c>
      <c r="BB960">
        <v>1</v>
      </c>
      <c r="BC960" t="s">
        <v>69</v>
      </c>
      <c r="BD960">
        <v>0.43</v>
      </c>
      <c r="BE960">
        <v>0.43</v>
      </c>
    </row>
    <row r="961" spans="1:57">
      <c r="A961">
        <v>0</v>
      </c>
      <c r="B961">
        <v>0</v>
      </c>
      <c r="C961">
        <v>0</v>
      </c>
      <c r="D961">
        <v>2382</v>
      </c>
      <c r="E961" t="s">
        <v>3110</v>
      </c>
      <c r="F961" t="s">
        <v>5761</v>
      </c>
      <c r="G961" t="s">
        <v>57</v>
      </c>
      <c r="H961">
        <v>2393428</v>
      </c>
      <c r="I961">
        <v>2393556</v>
      </c>
      <c r="J961" t="s">
        <v>3111</v>
      </c>
      <c r="K961">
        <v>43</v>
      </c>
      <c r="L961" t="s">
        <v>59</v>
      </c>
      <c r="M961">
        <v>5</v>
      </c>
      <c r="N961" t="str">
        <f>HYPERLINK("Gene2382-zp_tree_all.dnd", "Gene2382-tree")</f>
        <v>Gene2382-tree</v>
      </c>
      <c r="O961">
        <v>4</v>
      </c>
      <c r="P961">
        <v>0</v>
      </c>
      <c r="Q961">
        <v>4</v>
      </c>
      <c r="R961">
        <v>0</v>
      </c>
      <c r="S961">
        <v>0</v>
      </c>
      <c r="T961" t="s">
        <v>60</v>
      </c>
      <c r="U961" t="s">
        <v>62</v>
      </c>
      <c r="V961" t="s">
        <v>62</v>
      </c>
      <c r="W961" t="s">
        <v>62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3</v>
      </c>
      <c r="AM961">
        <v>1</v>
      </c>
      <c r="AN961">
        <v>5</v>
      </c>
      <c r="AO961">
        <v>0</v>
      </c>
      <c r="AP961">
        <v>2</v>
      </c>
      <c r="AQ961">
        <v>0</v>
      </c>
      <c r="AR961" t="s">
        <v>64</v>
      </c>
      <c r="AS961" t="s">
        <v>64</v>
      </c>
      <c r="AT961">
        <v>0</v>
      </c>
      <c r="AU961" t="s">
        <v>65</v>
      </c>
      <c r="AV961">
        <v>7</v>
      </c>
      <c r="AW961">
        <v>0</v>
      </c>
      <c r="AX961" t="s">
        <v>3112</v>
      </c>
      <c r="AY961" t="s">
        <v>3113</v>
      </c>
      <c r="AZ961" t="s">
        <v>64</v>
      </c>
      <c r="BA961">
        <v>0</v>
      </c>
      <c r="BB961">
        <v>1</v>
      </c>
      <c r="BC961" t="s">
        <v>69</v>
      </c>
      <c r="BD961">
        <v>-0.33200000000000002</v>
      </c>
      <c r="BE961">
        <v>-0.33200000000000002</v>
      </c>
    </row>
    <row r="962" spans="1:57">
      <c r="A962">
        <v>0</v>
      </c>
      <c r="B962">
        <v>0</v>
      </c>
      <c r="C962">
        <v>0</v>
      </c>
      <c r="D962">
        <v>2400</v>
      </c>
      <c r="E962" t="s">
        <v>3136</v>
      </c>
      <c r="F962" t="s">
        <v>5761</v>
      </c>
      <c r="G962" t="s">
        <v>57</v>
      </c>
      <c r="H962">
        <v>2409729</v>
      </c>
      <c r="I962">
        <v>2409974</v>
      </c>
      <c r="J962" t="s">
        <v>3137</v>
      </c>
      <c r="K962">
        <v>82</v>
      </c>
      <c r="L962" t="s">
        <v>59</v>
      </c>
      <c r="M962">
        <v>5</v>
      </c>
      <c r="N962" t="str">
        <f>HYPERLINK("Gene2400-zp_tree_all.dnd", "Gene2400-tree")</f>
        <v>Gene2400-tree</v>
      </c>
      <c r="O962">
        <v>4</v>
      </c>
      <c r="P962">
        <v>0</v>
      </c>
      <c r="Q962">
        <v>4</v>
      </c>
      <c r="R962">
        <v>0</v>
      </c>
      <c r="S962">
        <v>0</v>
      </c>
      <c r="T962" t="s">
        <v>60</v>
      </c>
      <c r="U962" t="s">
        <v>62</v>
      </c>
      <c r="V962" t="s">
        <v>62</v>
      </c>
      <c r="W962" t="s">
        <v>62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2</v>
      </c>
      <c r="AM962">
        <v>1</v>
      </c>
      <c r="AN962">
        <v>2</v>
      </c>
      <c r="AO962">
        <v>0</v>
      </c>
      <c r="AP962">
        <v>4</v>
      </c>
      <c r="AQ962">
        <v>0</v>
      </c>
      <c r="AR962" t="s">
        <v>64</v>
      </c>
      <c r="AS962" t="s">
        <v>64</v>
      </c>
      <c r="AT962">
        <v>0</v>
      </c>
      <c r="AU962" t="s">
        <v>65</v>
      </c>
      <c r="AV962">
        <v>6</v>
      </c>
      <c r="AW962">
        <v>0</v>
      </c>
      <c r="AX962" t="s">
        <v>3138</v>
      </c>
      <c r="AY962" t="s">
        <v>3139</v>
      </c>
      <c r="AZ962" t="s">
        <v>64</v>
      </c>
      <c r="BA962">
        <v>0</v>
      </c>
      <c r="BB962">
        <v>1</v>
      </c>
      <c r="BC962" t="s">
        <v>69</v>
      </c>
      <c r="BD962">
        <v>0.76400000000000001</v>
      </c>
      <c r="BE962">
        <v>0.76400000000000001</v>
      </c>
    </row>
    <row r="963" spans="1:57">
      <c r="A963">
        <v>0</v>
      </c>
      <c r="B963">
        <v>0</v>
      </c>
      <c r="C963">
        <v>0</v>
      </c>
      <c r="D963">
        <v>2490</v>
      </c>
      <c r="E963" t="s">
        <v>3264</v>
      </c>
      <c r="F963" t="s">
        <v>5761</v>
      </c>
      <c r="G963" t="s">
        <v>57</v>
      </c>
      <c r="H963">
        <v>2483586</v>
      </c>
      <c r="I963">
        <v>2483870</v>
      </c>
      <c r="J963" t="s">
        <v>3265</v>
      </c>
      <c r="K963">
        <v>95</v>
      </c>
      <c r="L963" t="s">
        <v>59</v>
      </c>
      <c r="M963">
        <v>5</v>
      </c>
      <c r="N963" t="str">
        <f>HYPERLINK("Gene2490-zp_tree_all.dnd", "Gene2490-tree")</f>
        <v>Gene2490-tree</v>
      </c>
      <c r="O963">
        <v>3</v>
      </c>
      <c r="P963">
        <v>2</v>
      </c>
      <c r="Q963">
        <v>3</v>
      </c>
      <c r="R963">
        <v>2</v>
      </c>
      <c r="S963">
        <v>0.4</v>
      </c>
      <c r="T963" t="s">
        <v>84</v>
      </c>
      <c r="U963" t="s">
        <v>135</v>
      </c>
      <c r="V963" t="s">
        <v>62</v>
      </c>
      <c r="W963" t="s">
        <v>62</v>
      </c>
      <c r="X963">
        <v>0</v>
      </c>
      <c r="Y963">
        <v>0</v>
      </c>
      <c r="Z963">
        <v>4</v>
      </c>
      <c r="AA963">
        <v>0</v>
      </c>
      <c r="AB963">
        <v>0</v>
      </c>
      <c r="AC963">
        <v>0</v>
      </c>
      <c r="AD963">
        <v>0</v>
      </c>
      <c r="AE963">
        <v>2</v>
      </c>
      <c r="AF963">
        <v>0</v>
      </c>
      <c r="AG963">
        <v>0</v>
      </c>
      <c r="AH963">
        <v>0</v>
      </c>
      <c r="AI963">
        <v>0</v>
      </c>
      <c r="AJ963">
        <v>1</v>
      </c>
      <c r="AK963">
        <v>0</v>
      </c>
      <c r="AL963">
        <v>3</v>
      </c>
      <c r="AM963">
        <v>2</v>
      </c>
      <c r="AN963">
        <v>7</v>
      </c>
      <c r="AO963">
        <v>1</v>
      </c>
      <c r="AP963">
        <v>5</v>
      </c>
      <c r="AQ963">
        <v>3</v>
      </c>
      <c r="AR963" t="s">
        <v>3266</v>
      </c>
      <c r="AS963" t="s">
        <v>3267</v>
      </c>
      <c r="AT963">
        <v>1.522</v>
      </c>
      <c r="AU963" t="s">
        <v>65</v>
      </c>
      <c r="AV963">
        <v>12</v>
      </c>
      <c r="AW963">
        <v>4</v>
      </c>
      <c r="AX963" t="s">
        <v>3268</v>
      </c>
      <c r="AY963" t="s">
        <v>3269</v>
      </c>
      <c r="AZ963" t="s">
        <v>3270</v>
      </c>
      <c r="BA963">
        <v>0.10918</v>
      </c>
      <c r="BB963">
        <v>1</v>
      </c>
      <c r="BC963" t="s">
        <v>69</v>
      </c>
      <c r="BD963">
        <v>0.40600000000000003</v>
      </c>
      <c r="BE963">
        <v>0</v>
      </c>
    </row>
    <row r="964" spans="1:57">
      <c r="A964">
        <v>0</v>
      </c>
      <c r="B964">
        <v>0</v>
      </c>
      <c r="C964">
        <v>0</v>
      </c>
      <c r="D964">
        <v>2552</v>
      </c>
      <c r="E964" t="s">
        <v>3391</v>
      </c>
      <c r="F964" t="s">
        <v>5761</v>
      </c>
      <c r="G964" t="s">
        <v>57</v>
      </c>
      <c r="H964">
        <v>2542047</v>
      </c>
      <c r="I964">
        <v>2542439</v>
      </c>
      <c r="J964" t="s">
        <v>118</v>
      </c>
      <c r="K964">
        <v>131</v>
      </c>
      <c r="L964" t="s">
        <v>59</v>
      </c>
      <c r="M964">
        <v>5</v>
      </c>
      <c r="N964" t="str">
        <f>HYPERLINK("Gene2552-zp_tree_all.dnd", "Gene2552-tree")</f>
        <v>Gene2552-tree</v>
      </c>
      <c r="O964">
        <v>3</v>
      </c>
      <c r="P964">
        <v>2</v>
      </c>
      <c r="Q964">
        <v>3</v>
      </c>
      <c r="R964">
        <v>2</v>
      </c>
      <c r="S964">
        <v>0.4</v>
      </c>
      <c r="T964" t="s">
        <v>84</v>
      </c>
      <c r="U964" t="s">
        <v>135</v>
      </c>
      <c r="V964" t="s">
        <v>62</v>
      </c>
      <c r="W964" t="s">
        <v>62</v>
      </c>
      <c r="X964">
        <v>0</v>
      </c>
      <c r="Y964">
        <v>0</v>
      </c>
      <c r="Z964">
        <v>3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3</v>
      </c>
      <c r="AK964">
        <v>0</v>
      </c>
      <c r="AL964">
        <v>4</v>
      </c>
      <c r="AM964">
        <v>2</v>
      </c>
      <c r="AN964">
        <v>7</v>
      </c>
      <c r="AO964">
        <v>3</v>
      </c>
      <c r="AP964">
        <v>3</v>
      </c>
      <c r="AQ964">
        <v>0</v>
      </c>
      <c r="AR964" t="s">
        <v>3392</v>
      </c>
      <c r="AS964" t="s">
        <v>64</v>
      </c>
      <c r="AT964">
        <v>1.375</v>
      </c>
      <c r="AU964" t="s">
        <v>65</v>
      </c>
      <c r="AV964">
        <v>10</v>
      </c>
      <c r="AW964">
        <v>3</v>
      </c>
      <c r="AX964" t="s">
        <v>3393</v>
      </c>
      <c r="AY964" t="s">
        <v>3394</v>
      </c>
      <c r="AZ964" t="s">
        <v>3395</v>
      </c>
      <c r="BA964">
        <v>7.3999999999999996E-2</v>
      </c>
      <c r="BB964">
        <v>1</v>
      </c>
      <c r="BC964" t="s">
        <v>69</v>
      </c>
      <c r="BD964">
        <v>-0.51200000000000001</v>
      </c>
      <c r="BE964">
        <v>-0.51200000000000001</v>
      </c>
    </row>
    <row r="965" spans="1:57">
      <c r="A965">
        <v>0</v>
      </c>
      <c r="B965">
        <v>0</v>
      </c>
      <c r="C965">
        <v>0</v>
      </c>
      <c r="D965">
        <v>2556</v>
      </c>
      <c r="E965" t="s">
        <v>3415</v>
      </c>
      <c r="F965" t="s">
        <v>5761</v>
      </c>
      <c r="G965" t="s">
        <v>57</v>
      </c>
      <c r="H965">
        <v>2544995</v>
      </c>
      <c r="I965">
        <v>2545372</v>
      </c>
      <c r="J965" t="s">
        <v>3416</v>
      </c>
      <c r="K965">
        <v>126</v>
      </c>
      <c r="L965" t="s">
        <v>112</v>
      </c>
      <c r="M965">
        <v>4</v>
      </c>
      <c r="N965" t="str">
        <f>HYPERLINK("Gene2556-zp_tree_all.dnd", "Gene2556-tree")</f>
        <v>Gene2556-tree</v>
      </c>
      <c r="O965">
        <v>4</v>
      </c>
      <c r="P965">
        <v>0</v>
      </c>
      <c r="Q965">
        <v>4</v>
      </c>
      <c r="R965">
        <v>0</v>
      </c>
      <c r="S965">
        <v>0</v>
      </c>
      <c r="T965" t="s">
        <v>60</v>
      </c>
      <c r="U965" t="s">
        <v>62</v>
      </c>
      <c r="V965" t="s">
        <v>62</v>
      </c>
      <c r="W965" t="s">
        <v>62</v>
      </c>
      <c r="X965">
        <v>0</v>
      </c>
      <c r="Y965">
        <v>0</v>
      </c>
      <c r="Z965">
        <v>1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3</v>
      </c>
      <c r="AM965">
        <v>1</v>
      </c>
      <c r="AN965">
        <v>15</v>
      </c>
      <c r="AO965">
        <v>0</v>
      </c>
      <c r="AP965">
        <v>2</v>
      </c>
      <c r="AQ965">
        <v>1</v>
      </c>
      <c r="AR965" t="s">
        <v>64</v>
      </c>
      <c r="AS965" t="s">
        <v>3417</v>
      </c>
      <c r="AT965">
        <v>0</v>
      </c>
      <c r="AU965" t="s">
        <v>65</v>
      </c>
      <c r="AV965">
        <v>17</v>
      </c>
      <c r="AW965">
        <v>1</v>
      </c>
      <c r="AX965" t="s">
        <v>3418</v>
      </c>
      <c r="AY965" t="s">
        <v>3419</v>
      </c>
      <c r="AZ965" t="s">
        <v>3420</v>
      </c>
      <c r="BA965">
        <v>2.001E-2</v>
      </c>
      <c r="BB965">
        <v>1</v>
      </c>
      <c r="BC965" t="s">
        <v>69</v>
      </c>
      <c r="BD965">
        <v>-0.33100000000000002</v>
      </c>
      <c r="BE965">
        <v>-0.33100000000000002</v>
      </c>
    </row>
    <row r="966" spans="1:57">
      <c r="A966">
        <v>0</v>
      </c>
      <c r="B966">
        <v>0</v>
      </c>
      <c r="C966">
        <v>0</v>
      </c>
      <c r="D966">
        <v>2562</v>
      </c>
      <c r="E966" t="s">
        <v>3421</v>
      </c>
      <c r="F966" t="s">
        <v>5761</v>
      </c>
      <c r="G966" t="s">
        <v>57</v>
      </c>
      <c r="H966">
        <v>2552446</v>
      </c>
      <c r="I966">
        <v>2552616</v>
      </c>
      <c r="J966" t="s">
        <v>3422</v>
      </c>
      <c r="K966">
        <v>57</v>
      </c>
      <c r="L966" t="s">
        <v>59</v>
      </c>
      <c r="M966">
        <v>5</v>
      </c>
      <c r="N966" t="str">
        <f>HYPERLINK("Gene2562-zp_tree_all.dnd", "Gene2562-tree")</f>
        <v>Gene2562-tree</v>
      </c>
    </row>
    <row r="967" spans="1:57">
      <c r="A967">
        <v>0</v>
      </c>
      <c r="B967">
        <v>0</v>
      </c>
      <c r="C967">
        <v>0</v>
      </c>
      <c r="D967">
        <v>2563</v>
      </c>
      <c r="E967" t="s">
        <v>3423</v>
      </c>
      <c r="F967" t="s">
        <v>5761</v>
      </c>
      <c r="G967" t="s">
        <v>57</v>
      </c>
      <c r="H967">
        <v>2552653</v>
      </c>
      <c r="I967">
        <v>2552985</v>
      </c>
      <c r="J967" t="s">
        <v>3424</v>
      </c>
      <c r="K967">
        <v>111</v>
      </c>
      <c r="L967" t="s">
        <v>59</v>
      </c>
      <c r="M967">
        <v>5</v>
      </c>
      <c r="N967" t="str">
        <f>HYPERLINK("Gene2563-zp_tree_all.dnd", "Gene2563-tree")</f>
        <v>Gene2563-tree</v>
      </c>
    </row>
    <row r="968" spans="1:57">
      <c r="A968">
        <v>0</v>
      </c>
      <c r="B968">
        <v>0</v>
      </c>
      <c r="C968">
        <v>0</v>
      </c>
      <c r="D968">
        <v>2580</v>
      </c>
      <c r="E968" t="s">
        <v>3432</v>
      </c>
      <c r="F968" t="s">
        <v>5761</v>
      </c>
      <c r="G968" t="s">
        <v>57</v>
      </c>
      <c r="H968">
        <v>2564638</v>
      </c>
      <c r="I968">
        <v>2564880</v>
      </c>
      <c r="J968" t="s">
        <v>118</v>
      </c>
      <c r="K968">
        <v>81</v>
      </c>
      <c r="L968" t="s">
        <v>59</v>
      </c>
      <c r="M968">
        <v>5</v>
      </c>
      <c r="N968" t="str">
        <f>HYPERLINK("Gene2580-zp_tree_all.dnd", "Gene2580-tree")</f>
        <v>Gene2580-tree</v>
      </c>
      <c r="O968">
        <v>5</v>
      </c>
      <c r="P968">
        <v>0</v>
      </c>
      <c r="Q968">
        <v>5</v>
      </c>
      <c r="R968">
        <v>0</v>
      </c>
      <c r="S968">
        <v>0</v>
      </c>
      <c r="T968" t="s">
        <v>98</v>
      </c>
      <c r="U968" t="s">
        <v>62</v>
      </c>
      <c r="V968" t="s">
        <v>62</v>
      </c>
      <c r="W968" t="s">
        <v>62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5</v>
      </c>
      <c r="AM968">
        <v>2</v>
      </c>
      <c r="AN968">
        <v>6</v>
      </c>
      <c r="AO968">
        <v>0</v>
      </c>
      <c r="AP968">
        <v>3</v>
      </c>
      <c r="AQ968">
        <v>0</v>
      </c>
      <c r="AR968" t="s">
        <v>64</v>
      </c>
      <c r="AS968" t="s">
        <v>64</v>
      </c>
      <c r="AT968">
        <v>0</v>
      </c>
      <c r="AU968" t="s">
        <v>65</v>
      </c>
      <c r="AV968">
        <v>9</v>
      </c>
      <c r="AW968">
        <v>0</v>
      </c>
      <c r="AX968" t="s">
        <v>3433</v>
      </c>
      <c r="AY968" t="s">
        <v>3434</v>
      </c>
      <c r="AZ968" t="s">
        <v>64</v>
      </c>
      <c r="BA968">
        <v>0</v>
      </c>
      <c r="BB968">
        <v>1</v>
      </c>
      <c r="BC968" t="s">
        <v>69</v>
      </c>
      <c r="BD968">
        <v>0.29399999999999998</v>
      </c>
      <c r="BE968">
        <v>-0.44</v>
      </c>
    </row>
    <row r="969" spans="1:57">
      <c r="A969">
        <v>0</v>
      </c>
      <c r="B969">
        <v>0</v>
      </c>
      <c r="C969">
        <v>0</v>
      </c>
      <c r="D969">
        <v>2595</v>
      </c>
      <c r="E969" t="s">
        <v>3436</v>
      </c>
      <c r="F969" t="s">
        <v>5761</v>
      </c>
      <c r="G969" t="s">
        <v>57</v>
      </c>
      <c r="H969">
        <v>2576367</v>
      </c>
      <c r="I969">
        <v>2576717</v>
      </c>
      <c r="J969" t="s">
        <v>118</v>
      </c>
      <c r="K969">
        <v>117</v>
      </c>
      <c r="L969" t="s">
        <v>59</v>
      </c>
      <c r="M969">
        <v>5</v>
      </c>
      <c r="N969" t="str">
        <f>HYPERLINK("Gene2595-zp_tree_all.dnd", "Gene2595-tree")</f>
        <v>Gene2595-tree</v>
      </c>
      <c r="O969">
        <v>5</v>
      </c>
      <c r="P969">
        <v>0</v>
      </c>
      <c r="Q969">
        <v>5</v>
      </c>
      <c r="R969">
        <v>0</v>
      </c>
      <c r="S969">
        <v>0</v>
      </c>
      <c r="T969" t="s">
        <v>98</v>
      </c>
      <c r="U969" t="s">
        <v>62</v>
      </c>
      <c r="V969" t="s">
        <v>62</v>
      </c>
      <c r="W969" t="s">
        <v>62</v>
      </c>
      <c r="X969">
        <v>0</v>
      </c>
      <c r="Y969">
        <v>0</v>
      </c>
      <c r="Z969">
        <v>2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5</v>
      </c>
      <c r="AM969">
        <v>2</v>
      </c>
      <c r="AN969">
        <v>6</v>
      </c>
      <c r="AO969">
        <v>0</v>
      </c>
      <c r="AP969">
        <v>7</v>
      </c>
      <c r="AQ969">
        <v>2</v>
      </c>
      <c r="AR969" t="s">
        <v>64</v>
      </c>
      <c r="AS969" t="s">
        <v>3437</v>
      </c>
      <c r="AT969">
        <v>1.4139999999999999</v>
      </c>
      <c r="AU969" t="s">
        <v>65</v>
      </c>
      <c r="AV969">
        <v>13</v>
      </c>
      <c r="AW969">
        <v>2</v>
      </c>
      <c r="AX969" t="s">
        <v>3438</v>
      </c>
      <c r="AY969" t="s">
        <v>3439</v>
      </c>
      <c r="AZ969" t="s">
        <v>3440</v>
      </c>
      <c r="BA969">
        <v>4.6199999999999998E-2</v>
      </c>
      <c r="BB969">
        <v>1</v>
      </c>
      <c r="BC969" t="s">
        <v>69</v>
      </c>
      <c r="BD969">
        <v>0.60899999999999999</v>
      </c>
      <c r="BE969">
        <v>0.60899999999999999</v>
      </c>
    </row>
    <row r="970" spans="1:57">
      <c r="A970">
        <v>0</v>
      </c>
      <c r="B970">
        <v>0</v>
      </c>
      <c r="C970">
        <v>0</v>
      </c>
      <c r="D970">
        <v>2609</v>
      </c>
      <c r="E970" t="s">
        <v>3455</v>
      </c>
      <c r="F970" t="s">
        <v>5761</v>
      </c>
      <c r="G970" t="s">
        <v>57</v>
      </c>
      <c r="H970">
        <v>2589123</v>
      </c>
      <c r="I970">
        <v>2590253</v>
      </c>
      <c r="J970" t="s">
        <v>3456</v>
      </c>
      <c r="K970">
        <v>377</v>
      </c>
      <c r="L970" t="s">
        <v>59</v>
      </c>
      <c r="M970">
        <v>5</v>
      </c>
      <c r="N970" t="str">
        <f>HYPERLINK("Gene2609-zp_tree_all.dnd", "Gene2609-tree")</f>
        <v>Gene2609-tree</v>
      </c>
      <c r="O970">
        <v>4</v>
      </c>
      <c r="P970">
        <v>1</v>
      </c>
      <c r="Q970">
        <v>4</v>
      </c>
      <c r="R970">
        <v>1</v>
      </c>
      <c r="S970">
        <v>0.2</v>
      </c>
      <c r="T970" t="s">
        <v>60</v>
      </c>
      <c r="U970" t="s">
        <v>61</v>
      </c>
      <c r="V970" t="s">
        <v>62</v>
      </c>
      <c r="W970" t="s">
        <v>62</v>
      </c>
      <c r="X970">
        <v>0</v>
      </c>
      <c r="Y970">
        <v>0</v>
      </c>
      <c r="Z970">
        <v>5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3</v>
      </c>
      <c r="AK970">
        <v>0</v>
      </c>
      <c r="AL970">
        <v>5</v>
      </c>
      <c r="AM970">
        <v>2</v>
      </c>
      <c r="AN970">
        <v>36</v>
      </c>
      <c r="AO970">
        <v>3</v>
      </c>
      <c r="AP970">
        <v>38</v>
      </c>
      <c r="AQ970">
        <v>3</v>
      </c>
      <c r="AR970" t="s">
        <v>3457</v>
      </c>
      <c r="AS970" t="s">
        <v>3458</v>
      </c>
      <c r="AT970">
        <v>4.9000000000000002E-2</v>
      </c>
      <c r="AU970" t="s">
        <v>65</v>
      </c>
      <c r="AV970">
        <v>74</v>
      </c>
      <c r="AW970">
        <v>6</v>
      </c>
      <c r="AX970" t="s">
        <v>3459</v>
      </c>
      <c r="AY970" t="s">
        <v>3460</v>
      </c>
      <c r="AZ970" t="s">
        <v>3461</v>
      </c>
      <c r="BA970">
        <v>2.257E-2</v>
      </c>
      <c r="BB970">
        <v>1</v>
      </c>
      <c r="BC970" t="s">
        <v>69</v>
      </c>
      <c r="BD970">
        <v>0.501</v>
      </c>
      <c r="BE970">
        <v>0.21299999999999999</v>
      </c>
    </row>
    <row r="971" spans="1:57">
      <c r="A971">
        <v>0</v>
      </c>
      <c r="B971">
        <v>0</v>
      </c>
      <c r="C971">
        <v>0</v>
      </c>
      <c r="D971">
        <v>2624</v>
      </c>
      <c r="E971" t="s">
        <v>3473</v>
      </c>
      <c r="F971" t="s">
        <v>5761</v>
      </c>
      <c r="G971" t="s">
        <v>57</v>
      </c>
      <c r="H971">
        <v>2602979</v>
      </c>
      <c r="I971">
        <v>2603272</v>
      </c>
      <c r="J971" t="s">
        <v>1082</v>
      </c>
      <c r="K971">
        <v>98</v>
      </c>
      <c r="L971" t="s">
        <v>59</v>
      </c>
      <c r="M971">
        <v>5</v>
      </c>
      <c r="N971" t="str">
        <f>HYPERLINK("Gene2624-zp_tree_all.dnd", "Gene2624-tree")</f>
        <v>Gene2624-tree</v>
      </c>
      <c r="O971">
        <v>2</v>
      </c>
      <c r="P971">
        <v>3</v>
      </c>
      <c r="Q971">
        <v>2</v>
      </c>
      <c r="R971">
        <v>3</v>
      </c>
      <c r="S971">
        <v>0.6</v>
      </c>
      <c r="T971" t="s">
        <v>135</v>
      </c>
      <c r="U971" t="s">
        <v>84</v>
      </c>
      <c r="V971" t="s">
        <v>62</v>
      </c>
      <c r="W971" t="s">
        <v>62</v>
      </c>
      <c r="X971">
        <v>0</v>
      </c>
      <c r="Y971">
        <v>0</v>
      </c>
      <c r="Z971">
        <v>7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6</v>
      </c>
      <c r="AK971">
        <v>0</v>
      </c>
      <c r="AL971">
        <v>4</v>
      </c>
      <c r="AM971">
        <v>1</v>
      </c>
      <c r="AN971">
        <v>1</v>
      </c>
      <c r="AO971">
        <v>6</v>
      </c>
      <c r="AP971">
        <v>0</v>
      </c>
      <c r="AQ971">
        <v>1</v>
      </c>
      <c r="AR971" t="s">
        <v>3474</v>
      </c>
      <c r="AS971" t="s">
        <v>64</v>
      </c>
      <c r="AT971">
        <v>0.6</v>
      </c>
      <c r="AU971" t="s">
        <v>65</v>
      </c>
      <c r="AV971">
        <v>1</v>
      </c>
      <c r="AW971">
        <v>7</v>
      </c>
      <c r="AX971" t="s">
        <v>3475</v>
      </c>
      <c r="AY971" t="s">
        <v>3476</v>
      </c>
      <c r="AZ971" t="s">
        <v>3477</v>
      </c>
      <c r="BA971">
        <v>2.09653</v>
      </c>
      <c r="BB971">
        <v>5.6000000000000001E-2</v>
      </c>
      <c r="BC971" t="s">
        <v>793</v>
      </c>
      <c r="BD971">
        <v>-0.80700000000000005</v>
      </c>
      <c r="BE971">
        <v>-0.80700000000000005</v>
      </c>
    </row>
    <row r="972" spans="1:57">
      <c r="A972">
        <v>0</v>
      </c>
      <c r="B972">
        <v>0</v>
      </c>
      <c r="C972">
        <v>0</v>
      </c>
      <c r="D972">
        <v>2658</v>
      </c>
      <c r="E972" t="s">
        <v>3574</v>
      </c>
      <c r="F972" t="s">
        <v>5761</v>
      </c>
      <c r="G972" t="s">
        <v>57</v>
      </c>
      <c r="H972">
        <v>2635815</v>
      </c>
      <c r="I972">
        <v>2636078</v>
      </c>
      <c r="J972" t="s">
        <v>3575</v>
      </c>
      <c r="K972">
        <v>88</v>
      </c>
      <c r="L972" t="s">
        <v>59</v>
      </c>
      <c r="M972">
        <v>5</v>
      </c>
      <c r="N972" t="str">
        <f>HYPERLINK("Gene2658-zp_tree_all.dnd", "Gene2658-tree")</f>
        <v>Gene2658-tree</v>
      </c>
    </row>
    <row r="973" spans="1:57">
      <c r="A973">
        <v>0</v>
      </c>
      <c r="B973">
        <v>0</v>
      </c>
      <c r="C973">
        <v>0</v>
      </c>
      <c r="D973">
        <v>2664</v>
      </c>
      <c r="E973" t="s">
        <v>3585</v>
      </c>
      <c r="F973" t="s">
        <v>5761</v>
      </c>
      <c r="G973" t="s">
        <v>57</v>
      </c>
      <c r="H973">
        <v>2641214</v>
      </c>
      <c r="I973">
        <v>2642032</v>
      </c>
      <c r="J973" t="s">
        <v>3586</v>
      </c>
      <c r="K973">
        <v>273</v>
      </c>
      <c r="L973" t="s">
        <v>83</v>
      </c>
      <c r="M973">
        <v>4</v>
      </c>
      <c r="N973" t="str">
        <f>HYPERLINK("Gene2664-zp_tree_all.dnd", "Gene2664-tree")</f>
        <v>Gene2664-tree</v>
      </c>
      <c r="O973">
        <v>1</v>
      </c>
      <c r="P973">
        <v>3</v>
      </c>
      <c r="Q973">
        <v>1</v>
      </c>
      <c r="R973">
        <v>3</v>
      </c>
      <c r="S973">
        <v>0.75</v>
      </c>
      <c r="T973" t="s">
        <v>61</v>
      </c>
      <c r="U973" t="s">
        <v>84</v>
      </c>
      <c r="V973" t="s">
        <v>62</v>
      </c>
      <c r="W973" t="s">
        <v>62</v>
      </c>
      <c r="X973">
        <v>0</v>
      </c>
      <c r="Y973">
        <v>0</v>
      </c>
      <c r="Z973">
        <v>7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7</v>
      </c>
      <c r="AK973">
        <v>0</v>
      </c>
      <c r="AL973">
        <v>3</v>
      </c>
      <c r="AM973">
        <v>1</v>
      </c>
      <c r="AN973">
        <v>47</v>
      </c>
      <c r="AO973">
        <v>7</v>
      </c>
      <c r="AP973">
        <v>1</v>
      </c>
      <c r="AQ973">
        <v>0</v>
      </c>
      <c r="AR973" t="s">
        <v>3587</v>
      </c>
      <c r="AS973" t="s">
        <v>64</v>
      </c>
      <c r="AT973">
        <v>1.5069999999999999</v>
      </c>
      <c r="AU973" t="s">
        <v>65</v>
      </c>
      <c r="AV973">
        <v>48</v>
      </c>
      <c r="AW973">
        <v>7</v>
      </c>
      <c r="AX973" t="s">
        <v>3588</v>
      </c>
      <c r="AY973" t="s">
        <v>3589</v>
      </c>
      <c r="AZ973" t="s">
        <v>3590</v>
      </c>
      <c r="BA973">
        <v>3.7139999999999999E-2</v>
      </c>
      <c r="BB973">
        <v>1</v>
      </c>
      <c r="BC973" t="s">
        <v>69</v>
      </c>
      <c r="BD973">
        <v>-0.69099999999999995</v>
      </c>
      <c r="BE973">
        <v>-0.86799999999999999</v>
      </c>
    </row>
    <row r="974" spans="1:57">
      <c r="A974">
        <v>0</v>
      </c>
      <c r="B974">
        <v>0</v>
      </c>
      <c r="C974">
        <v>0</v>
      </c>
      <c r="D974">
        <v>2673</v>
      </c>
      <c r="E974" t="s">
        <v>3608</v>
      </c>
      <c r="F974" t="s">
        <v>5761</v>
      </c>
      <c r="G974" t="s">
        <v>57</v>
      </c>
      <c r="H974">
        <v>2647456</v>
      </c>
      <c r="I974">
        <v>2647611</v>
      </c>
      <c r="J974" t="s">
        <v>3609</v>
      </c>
      <c r="K974">
        <v>52</v>
      </c>
      <c r="L974" t="s">
        <v>59</v>
      </c>
      <c r="M974">
        <v>5</v>
      </c>
      <c r="N974" t="str">
        <f>HYPERLINK("Gene2673-zp_tree_all.dnd", "Gene2673-tree")</f>
        <v>Gene2673-tree</v>
      </c>
    </row>
    <row r="975" spans="1:57">
      <c r="A975">
        <v>0</v>
      </c>
      <c r="B975">
        <v>0</v>
      </c>
      <c r="C975">
        <v>0</v>
      </c>
      <c r="D975">
        <v>2688</v>
      </c>
      <c r="E975" t="s">
        <v>3610</v>
      </c>
      <c r="F975" t="s">
        <v>5761</v>
      </c>
      <c r="G975" t="s">
        <v>57</v>
      </c>
      <c r="H975">
        <v>2660330</v>
      </c>
      <c r="I975">
        <v>2660461</v>
      </c>
      <c r="J975" t="s">
        <v>3611</v>
      </c>
      <c r="K975">
        <v>44</v>
      </c>
      <c r="L975" t="s">
        <v>83</v>
      </c>
      <c r="M975">
        <v>4</v>
      </c>
      <c r="N975" t="str">
        <f>HYPERLINK("Gene2688-zp_tree_all.dnd", "Gene2688-tree")</f>
        <v>Gene2688-tree</v>
      </c>
    </row>
    <row r="976" spans="1:57">
      <c r="A976">
        <v>0</v>
      </c>
      <c r="B976">
        <v>0</v>
      </c>
      <c r="C976">
        <v>0</v>
      </c>
      <c r="D976">
        <v>2796</v>
      </c>
      <c r="E976" t="s">
        <v>3612</v>
      </c>
      <c r="F976" t="s">
        <v>5761</v>
      </c>
      <c r="G976" t="s">
        <v>57</v>
      </c>
      <c r="H976">
        <v>2742909</v>
      </c>
      <c r="I976">
        <v>2743886</v>
      </c>
      <c r="J976" t="s">
        <v>3613</v>
      </c>
      <c r="K976">
        <v>326</v>
      </c>
      <c r="L976" t="s">
        <v>83</v>
      </c>
      <c r="M976">
        <v>4</v>
      </c>
      <c r="N976" t="str">
        <f>HYPERLINK("Gene2796-zp_tree_all.dnd", "Gene2796-tree")</f>
        <v>Gene2796-tree</v>
      </c>
      <c r="O976">
        <v>1</v>
      </c>
      <c r="P976">
        <v>3</v>
      </c>
      <c r="Q976">
        <v>1</v>
      </c>
      <c r="R976">
        <v>3</v>
      </c>
      <c r="S976">
        <v>0.75</v>
      </c>
      <c r="T976" t="s">
        <v>61</v>
      </c>
      <c r="U976" t="s">
        <v>84</v>
      </c>
      <c r="V976" t="s">
        <v>62</v>
      </c>
      <c r="W976" t="s">
        <v>62</v>
      </c>
      <c r="X976">
        <v>0</v>
      </c>
      <c r="Y976">
        <v>0</v>
      </c>
      <c r="Z976">
        <v>12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12</v>
      </c>
      <c r="AK976">
        <v>0</v>
      </c>
      <c r="AL976">
        <v>4</v>
      </c>
      <c r="AM976">
        <v>1</v>
      </c>
      <c r="AN976">
        <v>44</v>
      </c>
      <c r="AO976">
        <v>12</v>
      </c>
      <c r="AP976">
        <v>1</v>
      </c>
      <c r="AQ976">
        <v>0</v>
      </c>
      <c r="AR976" t="s">
        <v>3614</v>
      </c>
      <c r="AS976" t="s">
        <v>64</v>
      </c>
      <c r="AT976">
        <v>0.74299999999999999</v>
      </c>
      <c r="AU976" t="s">
        <v>65</v>
      </c>
      <c r="AV976">
        <v>45</v>
      </c>
      <c r="AW976">
        <v>12</v>
      </c>
      <c r="AX976" t="s">
        <v>3615</v>
      </c>
      <c r="AY976" t="s">
        <v>3616</v>
      </c>
      <c r="AZ976" t="s">
        <v>3617</v>
      </c>
      <c r="BA976">
        <v>7.2510000000000005E-2</v>
      </c>
      <c r="BB976">
        <v>1</v>
      </c>
      <c r="BC976" t="s">
        <v>69</v>
      </c>
      <c r="BD976">
        <v>-0.755</v>
      </c>
      <c r="BE976">
        <v>-0.755</v>
      </c>
    </row>
    <row r="977" spans="1:57">
      <c r="A977">
        <v>0</v>
      </c>
      <c r="B977">
        <v>0</v>
      </c>
      <c r="C977">
        <v>2</v>
      </c>
      <c r="D977">
        <v>2801</v>
      </c>
      <c r="E977" t="s">
        <v>3618</v>
      </c>
      <c r="F977" t="s">
        <v>5761</v>
      </c>
      <c r="G977" t="s">
        <v>57</v>
      </c>
      <c r="H977">
        <v>2749260</v>
      </c>
      <c r="I977">
        <v>2749520</v>
      </c>
      <c r="J977" t="s">
        <v>118</v>
      </c>
      <c r="K977">
        <v>87</v>
      </c>
      <c r="L977" t="s">
        <v>83</v>
      </c>
      <c r="M977">
        <v>4</v>
      </c>
      <c r="N977" t="str">
        <f>HYPERLINK("Gene2801-zp_tree_all.dnd", "Gene2801-tree")</f>
        <v>Gene2801-tree</v>
      </c>
      <c r="O977">
        <v>0</v>
      </c>
      <c r="P977">
        <v>4</v>
      </c>
      <c r="Q977">
        <v>0</v>
      </c>
      <c r="R977">
        <v>4</v>
      </c>
      <c r="S977">
        <v>1</v>
      </c>
      <c r="T977" t="s">
        <v>62</v>
      </c>
      <c r="U977" t="s">
        <v>60</v>
      </c>
      <c r="V977" t="s">
        <v>62</v>
      </c>
      <c r="W977" t="s">
        <v>62</v>
      </c>
      <c r="X977">
        <v>1</v>
      </c>
      <c r="Y977">
        <v>2</v>
      </c>
      <c r="Z977">
        <v>8</v>
      </c>
      <c r="AA977">
        <v>0.2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2</v>
      </c>
      <c r="AI977">
        <v>2</v>
      </c>
      <c r="AJ977">
        <v>8</v>
      </c>
      <c r="AK977">
        <v>0.2</v>
      </c>
      <c r="AL977">
        <v>3</v>
      </c>
      <c r="AM977">
        <v>1</v>
      </c>
      <c r="AN977">
        <v>2</v>
      </c>
      <c r="AO977">
        <v>10</v>
      </c>
      <c r="AP977">
        <v>1</v>
      </c>
      <c r="AQ977">
        <v>1</v>
      </c>
      <c r="AR977" t="s">
        <v>3619</v>
      </c>
      <c r="AS977" t="s">
        <v>3620</v>
      </c>
      <c r="AT977">
        <v>2.1589999999999998</v>
      </c>
      <c r="AU977" t="s">
        <v>286</v>
      </c>
      <c r="AV977">
        <v>3</v>
      </c>
      <c r="AW977">
        <v>11</v>
      </c>
      <c r="AX977" t="s">
        <v>3621</v>
      </c>
      <c r="AY977" t="s">
        <v>3622</v>
      </c>
      <c r="AZ977" t="s">
        <v>3623</v>
      </c>
      <c r="BA977">
        <v>0.98065999999999998</v>
      </c>
      <c r="BB977">
        <v>0.56399999999999995</v>
      </c>
      <c r="BC977" t="s">
        <v>793</v>
      </c>
      <c r="BD977">
        <v>-0.40300000000000002</v>
      </c>
      <c r="BE977">
        <v>-0.40300000000000002</v>
      </c>
    </row>
    <row r="978" spans="1:57">
      <c r="A978">
        <v>0</v>
      </c>
      <c r="B978">
        <v>0</v>
      </c>
      <c r="C978">
        <v>2</v>
      </c>
      <c r="D978">
        <v>2824</v>
      </c>
      <c r="E978" t="s">
        <v>3631</v>
      </c>
      <c r="F978" t="s">
        <v>5761</v>
      </c>
      <c r="G978" t="s">
        <v>57</v>
      </c>
      <c r="H978">
        <v>2769850</v>
      </c>
      <c r="I978">
        <v>2770347</v>
      </c>
      <c r="J978" t="s">
        <v>3632</v>
      </c>
      <c r="K978">
        <v>166</v>
      </c>
      <c r="L978" t="s">
        <v>3633</v>
      </c>
      <c r="M978">
        <v>4</v>
      </c>
      <c r="N978" t="str">
        <f>HYPERLINK("Gene2824-zp_tree_all.dnd", "Gene2824-tree")</f>
        <v>Gene2824-tree</v>
      </c>
      <c r="O978">
        <v>2</v>
      </c>
      <c r="P978">
        <v>2</v>
      </c>
      <c r="Q978">
        <v>2</v>
      </c>
      <c r="R978">
        <v>2</v>
      </c>
      <c r="S978">
        <v>0.5</v>
      </c>
      <c r="T978" t="s">
        <v>135</v>
      </c>
      <c r="U978" t="s">
        <v>135</v>
      </c>
      <c r="V978" t="s">
        <v>62</v>
      </c>
      <c r="W978" t="s">
        <v>62</v>
      </c>
      <c r="X978">
        <v>1</v>
      </c>
      <c r="Y978">
        <v>2</v>
      </c>
      <c r="Z978">
        <v>4</v>
      </c>
      <c r="AA978">
        <v>0.33333000000000002</v>
      </c>
      <c r="AB978">
        <v>0</v>
      </c>
      <c r="AC978">
        <v>0</v>
      </c>
      <c r="AD978">
        <v>0</v>
      </c>
      <c r="AE978">
        <v>2</v>
      </c>
      <c r="AF978">
        <v>0</v>
      </c>
      <c r="AG978">
        <v>0</v>
      </c>
      <c r="AH978">
        <v>2</v>
      </c>
      <c r="AI978">
        <v>2</v>
      </c>
      <c r="AJ978">
        <v>2</v>
      </c>
      <c r="AK978">
        <v>0.5</v>
      </c>
      <c r="AL978">
        <v>4</v>
      </c>
      <c r="AM978">
        <v>1</v>
      </c>
      <c r="AN978">
        <v>6</v>
      </c>
      <c r="AO978">
        <v>4</v>
      </c>
      <c r="AP978">
        <v>8</v>
      </c>
      <c r="AQ978">
        <v>2</v>
      </c>
      <c r="AR978" t="s">
        <v>3634</v>
      </c>
      <c r="AS978" t="s">
        <v>3635</v>
      </c>
      <c r="AT978">
        <v>1.151</v>
      </c>
      <c r="AU978" t="s">
        <v>65</v>
      </c>
      <c r="AV978">
        <v>14</v>
      </c>
      <c r="AW978">
        <v>6</v>
      </c>
      <c r="AX978" t="s">
        <v>3636</v>
      </c>
      <c r="AY978" t="s">
        <v>3637</v>
      </c>
      <c r="AZ978" t="s">
        <v>3638</v>
      </c>
      <c r="BA978">
        <v>9.3640000000000001E-2</v>
      </c>
      <c r="BB978">
        <v>1</v>
      </c>
      <c r="BC978" t="s">
        <v>69</v>
      </c>
      <c r="BD978">
        <v>1.123</v>
      </c>
      <c r="BE978">
        <v>0.629</v>
      </c>
    </row>
    <row r="979" spans="1:57">
      <c r="A979">
        <v>0</v>
      </c>
      <c r="B979">
        <v>0</v>
      </c>
      <c r="C979">
        <v>0</v>
      </c>
      <c r="D979">
        <v>2841</v>
      </c>
      <c r="E979" t="s">
        <v>3646</v>
      </c>
      <c r="F979" t="s">
        <v>5761</v>
      </c>
      <c r="G979" t="s">
        <v>57</v>
      </c>
      <c r="H979">
        <v>2788680</v>
      </c>
      <c r="I979">
        <v>2788880</v>
      </c>
      <c r="J979" t="s">
        <v>118</v>
      </c>
      <c r="K979">
        <v>67</v>
      </c>
      <c r="L979" t="s">
        <v>59</v>
      </c>
      <c r="M979">
        <v>5</v>
      </c>
      <c r="N979" t="str">
        <f>HYPERLINK("Gene2841-zp_tree_all.dnd", "Gene2841-tree")</f>
        <v>Gene2841-tree</v>
      </c>
      <c r="O979">
        <v>4</v>
      </c>
      <c r="P979">
        <v>1</v>
      </c>
      <c r="Q979">
        <v>4</v>
      </c>
      <c r="R979">
        <v>1</v>
      </c>
      <c r="S979">
        <v>0.2</v>
      </c>
      <c r="T979" t="s">
        <v>60</v>
      </c>
      <c r="U979" t="s">
        <v>61</v>
      </c>
      <c r="V979" t="s">
        <v>62</v>
      </c>
      <c r="W979" t="s">
        <v>62</v>
      </c>
      <c r="X979">
        <v>0</v>
      </c>
      <c r="Y979">
        <v>0</v>
      </c>
      <c r="Z979">
        <v>3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2</v>
      </c>
      <c r="AK979">
        <v>0</v>
      </c>
      <c r="AL979">
        <v>4</v>
      </c>
      <c r="AM979">
        <v>2</v>
      </c>
      <c r="AN979">
        <v>4</v>
      </c>
      <c r="AO979">
        <v>3</v>
      </c>
      <c r="AP979">
        <v>4</v>
      </c>
      <c r="AQ979">
        <v>1</v>
      </c>
      <c r="AR979" t="s">
        <v>3647</v>
      </c>
      <c r="AS979" t="s">
        <v>3648</v>
      </c>
      <c r="AT979">
        <v>0.38</v>
      </c>
      <c r="AU979" t="s">
        <v>65</v>
      </c>
      <c r="AV979">
        <v>8</v>
      </c>
      <c r="AW979">
        <v>4</v>
      </c>
      <c r="AX979" t="s">
        <v>3649</v>
      </c>
      <c r="AY979" t="s">
        <v>3650</v>
      </c>
      <c r="AZ979" t="s">
        <v>3651</v>
      </c>
      <c r="BA979">
        <v>0.11024</v>
      </c>
      <c r="BB979">
        <v>1</v>
      </c>
      <c r="BC979" t="s">
        <v>69</v>
      </c>
      <c r="BD979">
        <v>0.05</v>
      </c>
      <c r="BE979">
        <v>0.05</v>
      </c>
    </row>
    <row r="980" spans="1:57">
      <c r="A980">
        <v>0</v>
      </c>
      <c r="B980">
        <v>0</v>
      </c>
      <c r="C980">
        <v>0</v>
      </c>
      <c r="D980">
        <v>2893</v>
      </c>
      <c r="E980" t="s">
        <v>3774</v>
      </c>
      <c r="F980" t="s">
        <v>5761</v>
      </c>
      <c r="G980" t="s">
        <v>57</v>
      </c>
      <c r="H980">
        <v>2840110</v>
      </c>
      <c r="I980">
        <v>2840754</v>
      </c>
      <c r="J980" t="s">
        <v>3775</v>
      </c>
      <c r="K980">
        <v>215</v>
      </c>
      <c r="L980" t="s">
        <v>112</v>
      </c>
      <c r="M980">
        <v>4</v>
      </c>
      <c r="N980" t="str">
        <f>HYPERLINK("Gene2893-zp_tree_all.dnd", "Gene2893-tree")</f>
        <v>Gene2893-tree</v>
      </c>
    </row>
    <row r="981" spans="1:57">
      <c r="A981">
        <v>0</v>
      </c>
      <c r="B981">
        <v>0</v>
      </c>
      <c r="C981">
        <v>0</v>
      </c>
      <c r="D981">
        <v>2910</v>
      </c>
      <c r="E981" t="s">
        <v>3799</v>
      </c>
      <c r="F981" t="s">
        <v>5761</v>
      </c>
      <c r="G981" t="s">
        <v>57</v>
      </c>
      <c r="H981">
        <v>2854637</v>
      </c>
      <c r="I981">
        <v>2854756</v>
      </c>
      <c r="J981" t="s">
        <v>3800</v>
      </c>
      <c r="K981">
        <v>40</v>
      </c>
      <c r="L981" t="s">
        <v>112</v>
      </c>
      <c r="M981">
        <v>4</v>
      </c>
      <c r="N981" t="str">
        <f>HYPERLINK("Gene2910-zp_tree_all.dnd", "Gene2910-tree")</f>
        <v>Gene2910-tree</v>
      </c>
    </row>
    <row r="982" spans="1:57">
      <c r="A982">
        <v>0</v>
      </c>
      <c r="B982">
        <v>0</v>
      </c>
      <c r="C982">
        <v>0</v>
      </c>
      <c r="D982">
        <v>2926</v>
      </c>
      <c r="E982" t="s">
        <v>3852</v>
      </c>
      <c r="F982" t="s">
        <v>5761</v>
      </c>
      <c r="G982" t="s">
        <v>57</v>
      </c>
      <c r="H982">
        <v>2869754</v>
      </c>
      <c r="I982">
        <v>2869942</v>
      </c>
      <c r="J982" t="s">
        <v>118</v>
      </c>
      <c r="K982">
        <v>63</v>
      </c>
      <c r="L982" t="s">
        <v>112</v>
      </c>
      <c r="M982">
        <v>4</v>
      </c>
      <c r="N982" t="str">
        <f>HYPERLINK("Gene2926-zp_tree_all.dnd", "Gene2926-tree")</f>
        <v>Gene2926-tree</v>
      </c>
    </row>
    <row r="983" spans="1:57">
      <c r="A983">
        <v>0</v>
      </c>
      <c r="B983">
        <v>0</v>
      </c>
      <c r="C983">
        <v>0</v>
      </c>
      <c r="D983">
        <v>2963</v>
      </c>
      <c r="E983" t="s">
        <v>3935</v>
      </c>
      <c r="F983" t="s">
        <v>5761</v>
      </c>
      <c r="G983" t="s">
        <v>57</v>
      </c>
      <c r="H983">
        <v>2909030</v>
      </c>
      <c r="I983">
        <v>2909473</v>
      </c>
      <c r="J983" t="s">
        <v>118</v>
      </c>
      <c r="K983">
        <v>148</v>
      </c>
      <c r="L983" t="s">
        <v>59</v>
      </c>
      <c r="M983">
        <v>5</v>
      </c>
      <c r="N983" t="str">
        <f>HYPERLINK("Gene2963-zp_tree_all.dnd", "Gene2963-tree")</f>
        <v>Gene2963-tree</v>
      </c>
      <c r="O983">
        <v>4</v>
      </c>
      <c r="P983">
        <v>1</v>
      </c>
      <c r="Q983">
        <v>4</v>
      </c>
      <c r="R983">
        <v>1</v>
      </c>
      <c r="S983">
        <v>0.2</v>
      </c>
      <c r="T983" t="s">
        <v>60</v>
      </c>
      <c r="U983" t="s">
        <v>61</v>
      </c>
      <c r="V983" t="s">
        <v>62</v>
      </c>
      <c r="W983" t="s">
        <v>62</v>
      </c>
      <c r="X983">
        <v>0</v>
      </c>
      <c r="Y983">
        <v>0</v>
      </c>
      <c r="Z983">
        <v>1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1</v>
      </c>
      <c r="AK983">
        <v>0</v>
      </c>
      <c r="AL983">
        <v>4</v>
      </c>
      <c r="AM983">
        <v>2</v>
      </c>
      <c r="AN983">
        <v>8</v>
      </c>
      <c r="AO983">
        <v>1</v>
      </c>
      <c r="AP983">
        <v>6</v>
      </c>
      <c r="AQ983">
        <v>0</v>
      </c>
      <c r="AR983" t="s">
        <v>3936</v>
      </c>
      <c r="AS983" t="s">
        <v>64</v>
      </c>
      <c r="AT983">
        <v>0.59</v>
      </c>
      <c r="AU983" t="s">
        <v>65</v>
      </c>
      <c r="AV983">
        <v>14</v>
      </c>
      <c r="AW983">
        <v>1</v>
      </c>
      <c r="AX983" t="s">
        <v>3937</v>
      </c>
      <c r="AY983" t="s">
        <v>3938</v>
      </c>
      <c r="AZ983" t="s">
        <v>3939</v>
      </c>
      <c r="BA983">
        <v>1.431E-2</v>
      </c>
      <c r="BB983">
        <v>1</v>
      </c>
      <c r="BC983" t="s">
        <v>69</v>
      </c>
      <c r="BD983">
        <v>0</v>
      </c>
      <c r="BE983">
        <v>0</v>
      </c>
    </row>
    <row r="984" spans="1:57">
      <c r="A984">
        <v>0</v>
      </c>
      <c r="B984">
        <v>0</v>
      </c>
      <c r="C984">
        <v>0</v>
      </c>
      <c r="D984">
        <v>2982</v>
      </c>
      <c r="E984" t="s">
        <v>3974</v>
      </c>
      <c r="F984" t="s">
        <v>5761</v>
      </c>
      <c r="G984" t="s">
        <v>57</v>
      </c>
      <c r="H984">
        <v>2930554</v>
      </c>
      <c r="I984">
        <v>2930757</v>
      </c>
      <c r="J984" t="s">
        <v>3975</v>
      </c>
      <c r="K984">
        <v>68</v>
      </c>
      <c r="L984" t="s">
        <v>59</v>
      </c>
      <c r="M984">
        <v>5</v>
      </c>
      <c r="N984" t="str">
        <f>HYPERLINK("Gene2982-zp_tree_all.dnd", "Gene2982-tree")</f>
        <v>Gene2982-tree</v>
      </c>
      <c r="O984">
        <v>0</v>
      </c>
      <c r="P984">
        <v>5</v>
      </c>
      <c r="Q984">
        <v>0</v>
      </c>
      <c r="R984">
        <v>5</v>
      </c>
      <c r="S984">
        <v>1</v>
      </c>
      <c r="T984" t="s">
        <v>62</v>
      </c>
      <c r="U984" t="s">
        <v>98</v>
      </c>
      <c r="V984" t="s">
        <v>62</v>
      </c>
      <c r="W984" t="s">
        <v>62</v>
      </c>
      <c r="X984">
        <v>0</v>
      </c>
      <c r="Y984">
        <v>0</v>
      </c>
      <c r="Z984">
        <v>4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4</v>
      </c>
      <c r="AK984">
        <v>0</v>
      </c>
      <c r="AL984">
        <v>3</v>
      </c>
      <c r="AM984">
        <v>1</v>
      </c>
      <c r="AN984">
        <v>1</v>
      </c>
      <c r="AO984">
        <v>3</v>
      </c>
      <c r="AP984">
        <v>0</v>
      </c>
      <c r="AQ984">
        <v>1</v>
      </c>
      <c r="AR984" t="s">
        <v>3976</v>
      </c>
      <c r="AS984" t="s">
        <v>64</v>
      </c>
      <c r="AT984">
        <v>0.86599999999999999</v>
      </c>
      <c r="AU984" t="s">
        <v>65</v>
      </c>
      <c r="AV984">
        <v>1</v>
      </c>
      <c r="AW984">
        <v>4</v>
      </c>
      <c r="AX984" t="s">
        <v>3977</v>
      </c>
      <c r="AY984" t="s">
        <v>3978</v>
      </c>
      <c r="AZ984" t="s">
        <v>3979</v>
      </c>
      <c r="BA984">
        <v>1.40164</v>
      </c>
      <c r="BB984">
        <v>0.16700000000000001</v>
      </c>
      <c r="BC984" t="s">
        <v>793</v>
      </c>
      <c r="BD984">
        <v>-0.504</v>
      </c>
      <c r="BE984">
        <v>-0.66800000000000004</v>
      </c>
    </row>
    <row r="985" spans="1:57">
      <c r="A985">
        <v>0</v>
      </c>
      <c r="B985">
        <v>0</v>
      </c>
      <c r="C985">
        <v>0</v>
      </c>
      <c r="D985">
        <v>2983</v>
      </c>
      <c r="E985" t="s">
        <v>3980</v>
      </c>
      <c r="F985" t="s">
        <v>5761</v>
      </c>
      <c r="G985" t="s">
        <v>57</v>
      </c>
      <c r="H985">
        <v>2931692</v>
      </c>
      <c r="I985">
        <v>2931904</v>
      </c>
      <c r="J985" t="s">
        <v>172</v>
      </c>
      <c r="K985">
        <v>71</v>
      </c>
      <c r="L985" t="s">
        <v>59</v>
      </c>
      <c r="M985">
        <v>5</v>
      </c>
      <c r="N985" t="str">
        <f>HYPERLINK("Gene2983-zp_tree_all.dnd", "Gene2983-tree")</f>
        <v>Gene2983-tree</v>
      </c>
      <c r="O985">
        <v>4</v>
      </c>
      <c r="P985">
        <v>0</v>
      </c>
      <c r="Q985">
        <v>4</v>
      </c>
      <c r="R985">
        <v>0</v>
      </c>
      <c r="S985">
        <v>0</v>
      </c>
      <c r="T985" t="s">
        <v>60</v>
      </c>
      <c r="U985" t="s">
        <v>62</v>
      </c>
      <c r="V985" t="s">
        <v>62</v>
      </c>
      <c r="W985" t="s">
        <v>62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3</v>
      </c>
      <c r="AM985">
        <v>1</v>
      </c>
      <c r="AN985">
        <v>7</v>
      </c>
      <c r="AO985">
        <v>0</v>
      </c>
      <c r="AP985">
        <v>6</v>
      </c>
      <c r="AQ985">
        <v>0</v>
      </c>
      <c r="AR985" t="s">
        <v>64</v>
      </c>
      <c r="AS985" t="s">
        <v>64</v>
      </c>
      <c r="AT985">
        <v>0</v>
      </c>
      <c r="AU985" t="s">
        <v>65</v>
      </c>
      <c r="AV985">
        <v>13</v>
      </c>
      <c r="AW985">
        <v>0</v>
      </c>
      <c r="AX985" t="s">
        <v>3981</v>
      </c>
      <c r="AY985" t="s">
        <v>3982</v>
      </c>
      <c r="AZ985" t="s">
        <v>64</v>
      </c>
      <c r="BA985">
        <v>0</v>
      </c>
      <c r="BB985">
        <v>1</v>
      </c>
      <c r="BC985" t="s">
        <v>69</v>
      </c>
      <c r="BD985">
        <v>0.186</v>
      </c>
      <c r="BE985">
        <v>0.186</v>
      </c>
    </row>
    <row r="986" spans="1:57">
      <c r="A986">
        <v>0</v>
      </c>
      <c r="B986">
        <v>0</v>
      </c>
      <c r="C986">
        <v>0</v>
      </c>
      <c r="D986">
        <v>3000</v>
      </c>
      <c r="E986" t="s">
        <v>3996</v>
      </c>
      <c r="F986" t="s">
        <v>5761</v>
      </c>
      <c r="G986" t="s">
        <v>57</v>
      </c>
      <c r="H986">
        <v>2951490</v>
      </c>
      <c r="I986">
        <v>2951879</v>
      </c>
      <c r="J986" t="s">
        <v>118</v>
      </c>
      <c r="K986">
        <v>130</v>
      </c>
      <c r="L986" t="s">
        <v>59</v>
      </c>
      <c r="M986">
        <v>5</v>
      </c>
      <c r="N986" t="str">
        <f>HYPERLINK("Gene3000-zp_tree_all.dnd", "Gene3000-tree")</f>
        <v>Gene3000-tree</v>
      </c>
      <c r="O986">
        <v>2</v>
      </c>
      <c r="P986">
        <v>2</v>
      </c>
      <c r="Q986">
        <v>2</v>
      </c>
      <c r="R986">
        <v>2</v>
      </c>
      <c r="S986">
        <v>0.5</v>
      </c>
      <c r="T986" t="s">
        <v>135</v>
      </c>
      <c r="U986" t="s">
        <v>135</v>
      </c>
      <c r="V986" t="s">
        <v>62</v>
      </c>
      <c r="W986" t="s">
        <v>62</v>
      </c>
      <c r="X986">
        <v>0</v>
      </c>
      <c r="Y986">
        <v>0</v>
      </c>
      <c r="Z986">
        <v>2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2</v>
      </c>
      <c r="AK986">
        <v>0</v>
      </c>
      <c r="AL986">
        <v>3</v>
      </c>
      <c r="AM986">
        <v>1</v>
      </c>
      <c r="AN986">
        <v>6</v>
      </c>
      <c r="AO986">
        <v>1</v>
      </c>
      <c r="AP986">
        <v>12</v>
      </c>
      <c r="AQ986">
        <v>1</v>
      </c>
      <c r="AR986" t="s">
        <v>3997</v>
      </c>
      <c r="AS986" t="s">
        <v>3998</v>
      </c>
      <c r="AT986">
        <v>0.432</v>
      </c>
      <c r="AU986" t="s">
        <v>65</v>
      </c>
      <c r="AV986">
        <v>18</v>
      </c>
      <c r="AW986">
        <v>2</v>
      </c>
      <c r="AX986" t="s">
        <v>3999</v>
      </c>
      <c r="AY986" t="s">
        <v>4000</v>
      </c>
      <c r="AZ986" t="s">
        <v>4001</v>
      </c>
      <c r="BA986">
        <v>2.5309999999999999E-2</v>
      </c>
      <c r="BB986">
        <v>1</v>
      </c>
      <c r="BC986" t="s">
        <v>69</v>
      </c>
      <c r="BD986">
        <v>0.77</v>
      </c>
      <c r="BE986">
        <v>0.77</v>
      </c>
    </row>
    <row r="987" spans="1:57">
      <c r="A987">
        <v>0</v>
      </c>
      <c r="B987">
        <v>0</v>
      </c>
      <c r="C987">
        <v>0</v>
      </c>
      <c r="D987">
        <v>3041</v>
      </c>
      <c r="E987" t="s">
        <v>4088</v>
      </c>
      <c r="F987" t="s">
        <v>5761</v>
      </c>
      <c r="G987" t="s">
        <v>57</v>
      </c>
      <c r="H987">
        <v>2995094</v>
      </c>
      <c r="I987">
        <v>2995594</v>
      </c>
      <c r="J987" t="s">
        <v>4089</v>
      </c>
      <c r="K987">
        <v>167</v>
      </c>
      <c r="L987" t="s">
        <v>59</v>
      </c>
      <c r="M987">
        <v>5</v>
      </c>
      <c r="N987" t="str">
        <f>HYPERLINK("Gene3041-zp_tree_all.dnd", "Gene3041-tree")</f>
        <v>Gene3041-tree</v>
      </c>
      <c r="O987">
        <v>5</v>
      </c>
      <c r="P987">
        <v>0</v>
      </c>
      <c r="Q987">
        <v>5</v>
      </c>
      <c r="R987">
        <v>0</v>
      </c>
      <c r="S987">
        <v>0</v>
      </c>
      <c r="T987" t="s">
        <v>98</v>
      </c>
      <c r="U987" t="s">
        <v>62</v>
      </c>
      <c r="V987" t="s">
        <v>62</v>
      </c>
      <c r="W987" t="s">
        <v>62</v>
      </c>
      <c r="X987">
        <v>0</v>
      </c>
      <c r="Y987">
        <v>0</v>
      </c>
      <c r="Z987">
        <v>2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5</v>
      </c>
      <c r="AM987">
        <v>2</v>
      </c>
      <c r="AN987">
        <v>7</v>
      </c>
      <c r="AO987">
        <v>0</v>
      </c>
      <c r="AP987">
        <v>18</v>
      </c>
      <c r="AQ987">
        <v>2</v>
      </c>
      <c r="AR987" t="s">
        <v>64</v>
      </c>
      <c r="AS987" t="s">
        <v>4090</v>
      </c>
      <c r="AT987">
        <v>1.4139999999999999</v>
      </c>
      <c r="AU987" t="s">
        <v>65</v>
      </c>
      <c r="AV987">
        <v>25</v>
      </c>
      <c r="AW987">
        <v>2</v>
      </c>
      <c r="AX987" t="s">
        <v>4091</v>
      </c>
      <c r="AY987" t="s">
        <v>4092</v>
      </c>
      <c r="AZ987" t="s">
        <v>4093</v>
      </c>
      <c r="BA987">
        <v>1.934E-2</v>
      </c>
      <c r="BB987">
        <v>1</v>
      </c>
      <c r="BC987" t="s">
        <v>69</v>
      </c>
      <c r="BD987">
        <v>1.0589999999999999</v>
      </c>
      <c r="BE987">
        <v>1.0589999999999999</v>
      </c>
    </row>
    <row r="988" spans="1:57">
      <c r="A988">
        <v>0</v>
      </c>
      <c r="B988">
        <v>0</v>
      </c>
      <c r="C988">
        <v>0</v>
      </c>
      <c r="D988">
        <v>3042</v>
      </c>
      <c r="E988" t="s">
        <v>4094</v>
      </c>
      <c r="F988" t="s">
        <v>5761</v>
      </c>
      <c r="G988" t="s">
        <v>57</v>
      </c>
      <c r="H988">
        <v>2995699</v>
      </c>
      <c r="I988">
        <v>2995887</v>
      </c>
      <c r="J988" t="s">
        <v>4095</v>
      </c>
      <c r="K988">
        <v>63</v>
      </c>
      <c r="L988" t="s">
        <v>59</v>
      </c>
      <c r="M988">
        <v>5</v>
      </c>
      <c r="N988" t="str">
        <f>HYPERLINK("Gene3042-zp_tree_all.dnd", "Gene3042-tree")</f>
        <v>Gene3042-tree</v>
      </c>
      <c r="O988">
        <v>4</v>
      </c>
      <c r="P988">
        <v>0</v>
      </c>
      <c r="Q988">
        <v>4</v>
      </c>
      <c r="R988">
        <v>0</v>
      </c>
      <c r="S988">
        <v>0</v>
      </c>
      <c r="T988" t="s">
        <v>60</v>
      </c>
      <c r="U988" t="s">
        <v>62</v>
      </c>
      <c r="V988" t="s">
        <v>62</v>
      </c>
      <c r="W988" t="s">
        <v>62</v>
      </c>
      <c r="X988">
        <v>0</v>
      </c>
      <c r="Y988">
        <v>0</v>
      </c>
      <c r="Z988">
        <v>1</v>
      </c>
      <c r="AA988">
        <v>0</v>
      </c>
      <c r="AB988">
        <v>0</v>
      </c>
      <c r="AC988">
        <v>0</v>
      </c>
      <c r="AD988">
        <v>0</v>
      </c>
      <c r="AE988">
        <v>1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2</v>
      </c>
      <c r="AM988">
        <v>1</v>
      </c>
      <c r="AN988">
        <v>2</v>
      </c>
      <c r="AO988">
        <v>0</v>
      </c>
      <c r="AP988">
        <v>4</v>
      </c>
      <c r="AQ988">
        <v>1</v>
      </c>
      <c r="AR988" t="s">
        <v>64</v>
      </c>
      <c r="AS988" t="s">
        <v>4096</v>
      </c>
      <c r="AT988">
        <v>0</v>
      </c>
      <c r="AU988" t="s">
        <v>65</v>
      </c>
      <c r="AV988">
        <v>6</v>
      </c>
      <c r="AW988">
        <v>1</v>
      </c>
      <c r="AX988" t="s">
        <v>4097</v>
      </c>
      <c r="AY988" t="s">
        <v>4098</v>
      </c>
      <c r="AZ988" t="s">
        <v>4099</v>
      </c>
      <c r="BA988">
        <v>4.7600000000000003E-2</v>
      </c>
      <c r="BB988">
        <v>1</v>
      </c>
      <c r="BC988" t="s">
        <v>69</v>
      </c>
      <c r="BD988">
        <v>0.91300000000000003</v>
      </c>
      <c r="BE988">
        <v>0.91300000000000003</v>
      </c>
    </row>
    <row r="989" spans="1:57">
      <c r="A989">
        <v>0</v>
      </c>
      <c r="B989">
        <v>0</v>
      </c>
      <c r="C989">
        <v>2</v>
      </c>
      <c r="D989">
        <v>3044</v>
      </c>
      <c r="E989" t="s">
        <v>4107</v>
      </c>
      <c r="F989" t="s">
        <v>5761</v>
      </c>
      <c r="G989" t="s">
        <v>57</v>
      </c>
      <c r="H989">
        <v>2996980</v>
      </c>
      <c r="I989">
        <v>2997279</v>
      </c>
      <c r="J989" t="s">
        <v>118</v>
      </c>
      <c r="K989">
        <v>100</v>
      </c>
      <c r="L989" t="s">
        <v>59</v>
      </c>
      <c r="M989">
        <v>5</v>
      </c>
      <c r="N989" t="str">
        <f>HYPERLINK("Gene3044-zp_tree_all.dnd", "Gene3044-tree")</f>
        <v>Gene3044-tree</v>
      </c>
      <c r="O989">
        <v>4</v>
      </c>
      <c r="P989">
        <v>1</v>
      </c>
      <c r="Q989">
        <v>3</v>
      </c>
      <c r="R989">
        <v>1</v>
      </c>
      <c r="S989">
        <v>0.25</v>
      </c>
      <c r="T989" t="s">
        <v>119</v>
      </c>
      <c r="U989" t="s">
        <v>61</v>
      </c>
      <c r="V989" t="s">
        <v>62</v>
      </c>
      <c r="W989" t="s">
        <v>62</v>
      </c>
      <c r="X989">
        <v>1</v>
      </c>
      <c r="Y989">
        <v>2</v>
      </c>
      <c r="Z989">
        <v>3</v>
      </c>
      <c r="AA989">
        <v>0.4</v>
      </c>
      <c r="AB989">
        <v>0</v>
      </c>
      <c r="AC989">
        <v>0</v>
      </c>
      <c r="AD989">
        <v>0</v>
      </c>
      <c r="AE989">
        <v>4</v>
      </c>
      <c r="AF989">
        <v>0</v>
      </c>
      <c r="AG989">
        <v>0</v>
      </c>
      <c r="AH989">
        <v>0</v>
      </c>
      <c r="AI989">
        <v>0</v>
      </c>
      <c r="AJ989">
        <v>1</v>
      </c>
      <c r="AK989">
        <v>0</v>
      </c>
      <c r="AL989">
        <v>3</v>
      </c>
      <c r="AM989">
        <v>1</v>
      </c>
      <c r="AN989">
        <v>2</v>
      </c>
      <c r="AO989">
        <v>1</v>
      </c>
      <c r="AP989">
        <v>8</v>
      </c>
      <c r="AQ989">
        <v>4</v>
      </c>
      <c r="AR989" t="s">
        <v>4108</v>
      </c>
      <c r="AS989" t="s">
        <v>4109</v>
      </c>
      <c r="AT989">
        <v>0.04</v>
      </c>
      <c r="AU989" t="s">
        <v>65</v>
      </c>
      <c r="AV989">
        <v>10</v>
      </c>
      <c r="AW989">
        <v>5</v>
      </c>
      <c r="AX989" t="s">
        <v>4110</v>
      </c>
      <c r="AY989" t="s">
        <v>4111</v>
      </c>
      <c r="AZ989" t="s">
        <v>4112</v>
      </c>
      <c r="BA989">
        <v>0.15057999999999999</v>
      </c>
      <c r="BB989">
        <v>1</v>
      </c>
      <c r="BC989" t="s">
        <v>69</v>
      </c>
      <c r="BD989">
        <v>1.4219999999999999</v>
      </c>
      <c r="BE989">
        <v>1.4219999999999999</v>
      </c>
    </row>
    <row r="990" spans="1:57">
      <c r="A990">
        <v>0</v>
      </c>
      <c r="B990">
        <v>0</v>
      </c>
      <c r="C990">
        <v>0</v>
      </c>
      <c r="D990">
        <v>3084</v>
      </c>
      <c r="E990" t="s">
        <v>4162</v>
      </c>
      <c r="F990" t="s">
        <v>5761</v>
      </c>
      <c r="G990" t="s">
        <v>57</v>
      </c>
      <c r="H990">
        <v>3035730</v>
      </c>
      <c r="I990">
        <v>3036329</v>
      </c>
      <c r="J990" t="s">
        <v>4163</v>
      </c>
      <c r="K990">
        <v>200</v>
      </c>
      <c r="L990" t="s">
        <v>59</v>
      </c>
      <c r="M990">
        <v>5</v>
      </c>
      <c r="N990" t="str">
        <f>HYPERLINK("Gene3084-zp_tree_all.dnd", "Gene3084-tree")</f>
        <v>Gene3084-tree</v>
      </c>
      <c r="O990">
        <v>5</v>
      </c>
      <c r="P990">
        <v>0</v>
      </c>
      <c r="Q990">
        <v>5</v>
      </c>
      <c r="R990">
        <v>0</v>
      </c>
      <c r="S990">
        <v>0</v>
      </c>
      <c r="T990" t="s">
        <v>98</v>
      </c>
      <c r="U990" t="s">
        <v>62</v>
      </c>
      <c r="V990" t="s">
        <v>62</v>
      </c>
      <c r="W990" t="s">
        <v>62</v>
      </c>
      <c r="X990">
        <v>0</v>
      </c>
      <c r="Y990">
        <v>0</v>
      </c>
      <c r="Z990">
        <v>1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4</v>
      </c>
      <c r="AM990">
        <v>2</v>
      </c>
      <c r="AN990">
        <v>4</v>
      </c>
      <c r="AO990">
        <v>0</v>
      </c>
      <c r="AP990">
        <v>3</v>
      </c>
      <c r="AQ990">
        <v>1</v>
      </c>
      <c r="AR990" t="s">
        <v>64</v>
      </c>
      <c r="AS990" t="s">
        <v>4164</v>
      </c>
      <c r="AT990">
        <v>1.2709999999999999</v>
      </c>
      <c r="AU990" t="s">
        <v>65</v>
      </c>
      <c r="AV990">
        <v>7</v>
      </c>
      <c r="AW990">
        <v>1</v>
      </c>
      <c r="AX990" t="s">
        <v>4165</v>
      </c>
      <c r="AY990" t="s">
        <v>4166</v>
      </c>
      <c r="AZ990" t="s">
        <v>4167</v>
      </c>
      <c r="BA990">
        <v>5.5750000000000001E-2</v>
      </c>
      <c r="BB990">
        <v>1</v>
      </c>
      <c r="BC990" t="s">
        <v>69</v>
      </c>
      <c r="BD990">
        <v>0.29399999999999998</v>
      </c>
      <c r="BE990">
        <v>0.29399999999999998</v>
      </c>
    </row>
    <row r="991" spans="1:57">
      <c r="A991">
        <v>0</v>
      </c>
      <c r="B991">
        <v>0</v>
      </c>
      <c r="C991">
        <v>0</v>
      </c>
      <c r="D991">
        <v>3087</v>
      </c>
      <c r="E991" t="s">
        <v>4168</v>
      </c>
      <c r="F991" t="s">
        <v>5761</v>
      </c>
      <c r="G991" t="s">
        <v>57</v>
      </c>
      <c r="H991">
        <v>3040092</v>
      </c>
      <c r="I991">
        <v>3040721</v>
      </c>
      <c r="J991" t="s">
        <v>4169</v>
      </c>
      <c r="K991">
        <v>210</v>
      </c>
      <c r="L991" t="s">
        <v>59</v>
      </c>
      <c r="M991">
        <v>5</v>
      </c>
      <c r="N991" t="str">
        <f>HYPERLINK("Gene3087-zp_tree_all.dnd", "Gene3087-tree")</f>
        <v>Gene3087-tree</v>
      </c>
      <c r="O991">
        <v>2</v>
      </c>
      <c r="P991">
        <v>3</v>
      </c>
      <c r="Q991">
        <v>2</v>
      </c>
      <c r="R991">
        <v>3</v>
      </c>
      <c r="S991">
        <v>0.6</v>
      </c>
      <c r="T991" t="s">
        <v>135</v>
      </c>
      <c r="U991" t="s">
        <v>84</v>
      </c>
      <c r="V991" t="s">
        <v>62</v>
      </c>
      <c r="W991" t="s">
        <v>62</v>
      </c>
      <c r="X991">
        <v>0</v>
      </c>
      <c r="Y991">
        <v>0</v>
      </c>
      <c r="Z991">
        <v>8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4</v>
      </c>
      <c r="AK991">
        <v>0</v>
      </c>
      <c r="AL991">
        <v>5</v>
      </c>
      <c r="AM991">
        <v>2</v>
      </c>
      <c r="AN991">
        <v>20</v>
      </c>
      <c r="AO991">
        <v>4</v>
      </c>
      <c r="AP991">
        <v>13</v>
      </c>
      <c r="AQ991">
        <v>4</v>
      </c>
      <c r="AR991" t="s">
        <v>4170</v>
      </c>
      <c r="AS991" t="s">
        <v>4171</v>
      </c>
      <c r="AT991">
        <v>0.25600000000000001</v>
      </c>
      <c r="AU991" t="s">
        <v>65</v>
      </c>
      <c r="AV991">
        <v>33</v>
      </c>
      <c r="AW991">
        <v>8</v>
      </c>
      <c r="AX991" t="s">
        <v>4172</v>
      </c>
      <c r="AY991" t="s">
        <v>4173</v>
      </c>
      <c r="AZ991" t="s">
        <v>4174</v>
      </c>
      <c r="BA991">
        <v>6.8669999999999995E-2</v>
      </c>
      <c r="BB991">
        <v>1</v>
      </c>
      <c r="BC991" t="s">
        <v>69</v>
      </c>
      <c r="BD991">
        <v>0.35399999999999998</v>
      </c>
      <c r="BE991">
        <v>0.14799999999999999</v>
      </c>
    </row>
    <row r="992" spans="1:57">
      <c r="A992">
        <v>0</v>
      </c>
      <c r="B992">
        <v>0</v>
      </c>
      <c r="C992">
        <v>0</v>
      </c>
      <c r="D992">
        <v>3088</v>
      </c>
      <c r="E992" t="s">
        <v>4175</v>
      </c>
      <c r="F992" t="s">
        <v>5761</v>
      </c>
      <c r="G992" t="s">
        <v>57</v>
      </c>
      <c r="H992">
        <v>3040751</v>
      </c>
      <c r="I992">
        <v>3041392</v>
      </c>
      <c r="J992" t="s">
        <v>4176</v>
      </c>
      <c r="K992">
        <v>214</v>
      </c>
      <c r="L992" t="s">
        <v>59</v>
      </c>
      <c r="M992">
        <v>5</v>
      </c>
      <c r="N992" t="str">
        <f>HYPERLINK("Gene3088-zp_tree_all.dnd", "Gene3088-tree")</f>
        <v>Gene3088-tree</v>
      </c>
      <c r="O992">
        <v>2</v>
      </c>
      <c r="P992">
        <v>3</v>
      </c>
      <c r="Q992">
        <v>2</v>
      </c>
      <c r="R992">
        <v>3</v>
      </c>
      <c r="S992">
        <v>0.6</v>
      </c>
      <c r="T992" t="s">
        <v>135</v>
      </c>
      <c r="U992" t="s">
        <v>84</v>
      </c>
      <c r="V992" t="s">
        <v>62</v>
      </c>
      <c r="W992" t="s">
        <v>62</v>
      </c>
      <c r="X992">
        <v>0</v>
      </c>
      <c r="Y992">
        <v>0</v>
      </c>
      <c r="Z992">
        <v>10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4</v>
      </c>
      <c r="AK992">
        <v>0</v>
      </c>
      <c r="AL992">
        <v>5</v>
      </c>
      <c r="AM992">
        <v>2</v>
      </c>
      <c r="AN992">
        <v>13</v>
      </c>
      <c r="AO992">
        <v>4</v>
      </c>
      <c r="AP992">
        <v>18</v>
      </c>
      <c r="AQ992">
        <v>6</v>
      </c>
      <c r="AR992" t="s">
        <v>4177</v>
      </c>
      <c r="AS992" t="s">
        <v>4178</v>
      </c>
      <c r="AT992">
        <v>1.4E-2</v>
      </c>
      <c r="AU992" t="s">
        <v>65</v>
      </c>
      <c r="AV992">
        <v>31</v>
      </c>
      <c r="AW992">
        <v>10</v>
      </c>
      <c r="AX992" t="s">
        <v>4179</v>
      </c>
      <c r="AY992" t="s">
        <v>4180</v>
      </c>
      <c r="AZ992" t="s">
        <v>4181</v>
      </c>
      <c r="BA992">
        <v>8.3690000000000001E-2</v>
      </c>
      <c r="BB992">
        <v>1</v>
      </c>
      <c r="BC992" t="s">
        <v>69</v>
      </c>
      <c r="BD992">
        <v>0.83499999999999996</v>
      </c>
      <c r="BE992">
        <v>0.67500000000000004</v>
      </c>
    </row>
    <row r="993" spans="1:57">
      <c r="A993">
        <v>0</v>
      </c>
      <c r="B993">
        <v>0</v>
      </c>
      <c r="C993">
        <v>0</v>
      </c>
      <c r="D993">
        <v>3104</v>
      </c>
      <c r="E993" t="s">
        <v>4223</v>
      </c>
      <c r="F993" t="s">
        <v>5761</v>
      </c>
      <c r="G993" t="s">
        <v>57</v>
      </c>
      <c r="H993">
        <v>3056479</v>
      </c>
      <c r="I993">
        <v>3056793</v>
      </c>
      <c r="J993" t="s">
        <v>118</v>
      </c>
      <c r="K993">
        <v>105</v>
      </c>
      <c r="L993" t="s">
        <v>112</v>
      </c>
      <c r="M993">
        <v>4</v>
      </c>
      <c r="N993" t="str">
        <f>HYPERLINK("Gene3104-zp_tree_all.dnd", "Gene3104-tree")</f>
        <v>Gene3104-tree</v>
      </c>
      <c r="O993">
        <v>3</v>
      </c>
      <c r="P993">
        <v>1</v>
      </c>
      <c r="Q993">
        <v>3</v>
      </c>
      <c r="R993">
        <v>1</v>
      </c>
      <c r="S993">
        <v>0.25</v>
      </c>
      <c r="T993" t="s">
        <v>84</v>
      </c>
      <c r="U993" t="s">
        <v>61</v>
      </c>
      <c r="V993" t="s">
        <v>62</v>
      </c>
      <c r="W993" t="s">
        <v>62</v>
      </c>
      <c r="X993">
        <v>0</v>
      </c>
      <c r="Y993">
        <v>0</v>
      </c>
      <c r="Z993">
        <v>2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1</v>
      </c>
      <c r="AK993">
        <v>0</v>
      </c>
      <c r="AL993">
        <v>3</v>
      </c>
      <c r="AM993">
        <v>1</v>
      </c>
      <c r="AN993">
        <v>13</v>
      </c>
      <c r="AO993">
        <v>1</v>
      </c>
      <c r="AP993">
        <v>0</v>
      </c>
      <c r="AQ993">
        <v>1</v>
      </c>
      <c r="AR993" t="s">
        <v>4224</v>
      </c>
      <c r="AS993" t="s">
        <v>64</v>
      </c>
      <c r="AT993">
        <v>0.53500000000000003</v>
      </c>
      <c r="AU993" t="s">
        <v>65</v>
      </c>
      <c r="AV993">
        <v>13</v>
      </c>
      <c r="AW993">
        <v>2</v>
      </c>
      <c r="AX993" t="s">
        <v>4225</v>
      </c>
      <c r="AY993" t="s">
        <v>4226</v>
      </c>
      <c r="AZ993" t="s">
        <v>4227</v>
      </c>
      <c r="BA993">
        <v>5.3280000000000001E-2</v>
      </c>
      <c r="BB993">
        <v>1</v>
      </c>
      <c r="BC993" t="s">
        <v>69</v>
      </c>
      <c r="BD993">
        <v>-0.64</v>
      </c>
      <c r="BE993">
        <v>-0.64</v>
      </c>
    </row>
    <row r="994" spans="1:57">
      <c r="A994">
        <v>0</v>
      </c>
      <c r="B994">
        <v>0</v>
      </c>
      <c r="C994">
        <v>0</v>
      </c>
      <c r="D994">
        <v>3108</v>
      </c>
      <c r="E994" t="s">
        <v>4235</v>
      </c>
      <c r="F994" t="s">
        <v>5761</v>
      </c>
      <c r="G994" t="s">
        <v>57</v>
      </c>
      <c r="H994">
        <v>3060395</v>
      </c>
      <c r="I994">
        <v>3060670</v>
      </c>
      <c r="J994" t="s">
        <v>118</v>
      </c>
      <c r="K994">
        <v>92</v>
      </c>
      <c r="L994" t="s">
        <v>59</v>
      </c>
      <c r="M994">
        <v>5</v>
      </c>
      <c r="N994" t="str">
        <f>HYPERLINK("Gene3108-zp_tree_all.dnd", "Gene3108-tree")</f>
        <v>Gene3108-tree</v>
      </c>
      <c r="O994">
        <v>3</v>
      </c>
      <c r="P994">
        <v>1</v>
      </c>
      <c r="Q994">
        <v>3</v>
      </c>
      <c r="R994">
        <v>1</v>
      </c>
      <c r="S994">
        <v>0.25</v>
      </c>
      <c r="T994" t="s">
        <v>84</v>
      </c>
      <c r="U994" t="s">
        <v>61</v>
      </c>
      <c r="V994" t="s">
        <v>62</v>
      </c>
      <c r="W994" t="s">
        <v>62</v>
      </c>
      <c r="X994">
        <v>0</v>
      </c>
      <c r="Y994">
        <v>0</v>
      </c>
      <c r="Z994">
        <v>1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1</v>
      </c>
      <c r="AK994">
        <v>0</v>
      </c>
      <c r="AL994">
        <v>3</v>
      </c>
      <c r="AM994">
        <v>1</v>
      </c>
      <c r="AN994">
        <v>6</v>
      </c>
      <c r="AO994">
        <v>1</v>
      </c>
      <c r="AP994">
        <v>4</v>
      </c>
      <c r="AQ994">
        <v>0</v>
      </c>
      <c r="AR994" t="s">
        <v>4236</v>
      </c>
      <c r="AS994" t="s">
        <v>64</v>
      </c>
      <c r="AT994">
        <v>0.79700000000000004</v>
      </c>
      <c r="AU994" t="s">
        <v>65</v>
      </c>
      <c r="AV994">
        <v>10</v>
      </c>
      <c r="AW994">
        <v>1</v>
      </c>
      <c r="AX994" t="s">
        <v>4237</v>
      </c>
      <c r="AY994" t="s">
        <v>4238</v>
      </c>
      <c r="AZ994" t="s">
        <v>4239</v>
      </c>
      <c r="BA994">
        <v>2.1409999999999998E-2</v>
      </c>
      <c r="BB994">
        <v>1</v>
      </c>
      <c r="BC994" t="s">
        <v>69</v>
      </c>
      <c r="BD994">
        <v>-0.109</v>
      </c>
      <c r="BE994">
        <v>-0.109</v>
      </c>
    </row>
    <row r="995" spans="1:57">
      <c r="A995">
        <v>0</v>
      </c>
      <c r="B995">
        <v>0</v>
      </c>
      <c r="C995">
        <v>0</v>
      </c>
      <c r="D995">
        <v>3119</v>
      </c>
      <c r="E995" t="s">
        <v>4246</v>
      </c>
      <c r="F995" t="s">
        <v>5761</v>
      </c>
      <c r="G995" t="s">
        <v>57</v>
      </c>
      <c r="H995">
        <v>3072401</v>
      </c>
      <c r="I995">
        <v>3072619</v>
      </c>
      <c r="J995" t="s">
        <v>4247</v>
      </c>
      <c r="K995">
        <v>73</v>
      </c>
      <c r="L995" t="s">
        <v>59</v>
      </c>
      <c r="M995">
        <v>5</v>
      </c>
      <c r="N995" t="str">
        <f>HYPERLINK("Gene3119-zp_tree_all.dnd", "Gene3119-tree")</f>
        <v>Gene3119-tree</v>
      </c>
    </row>
    <row r="996" spans="1:57">
      <c r="A996">
        <v>0</v>
      </c>
      <c r="B996">
        <v>0</v>
      </c>
      <c r="C996">
        <v>0</v>
      </c>
      <c r="D996">
        <v>3168</v>
      </c>
      <c r="E996" t="s">
        <v>4297</v>
      </c>
      <c r="F996" t="s">
        <v>5761</v>
      </c>
      <c r="G996" t="s">
        <v>57</v>
      </c>
      <c r="H996">
        <v>3123490</v>
      </c>
      <c r="I996">
        <v>3124002</v>
      </c>
      <c r="J996" t="s">
        <v>4298</v>
      </c>
      <c r="K996">
        <v>171</v>
      </c>
      <c r="L996" t="s">
        <v>112</v>
      </c>
      <c r="M996">
        <v>4</v>
      </c>
      <c r="N996" t="str">
        <f>HYPERLINK("Gene3168-zp_tree_all.dnd", "Gene3168-tree")</f>
        <v>Gene3168-tree</v>
      </c>
      <c r="O996">
        <v>1</v>
      </c>
      <c r="P996">
        <v>3</v>
      </c>
      <c r="Q996">
        <v>1</v>
      </c>
      <c r="R996">
        <v>3</v>
      </c>
      <c r="S996">
        <v>0.75</v>
      </c>
      <c r="T996" t="s">
        <v>61</v>
      </c>
      <c r="U996" t="s">
        <v>84</v>
      </c>
      <c r="V996" t="s">
        <v>62</v>
      </c>
      <c r="W996" t="s">
        <v>62</v>
      </c>
      <c r="X996">
        <v>0</v>
      </c>
      <c r="Y996">
        <v>0</v>
      </c>
      <c r="Z996">
        <v>8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8</v>
      </c>
      <c r="AK996">
        <v>0</v>
      </c>
      <c r="AL996">
        <v>3</v>
      </c>
      <c r="AM996">
        <v>1</v>
      </c>
      <c r="AN996">
        <v>20</v>
      </c>
      <c r="AO996">
        <v>8</v>
      </c>
      <c r="AP996">
        <v>2</v>
      </c>
      <c r="AQ996">
        <v>0</v>
      </c>
      <c r="AR996" t="s">
        <v>4299</v>
      </c>
      <c r="AS996" t="s">
        <v>64</v>
      </c>
      <c r="AT996">
        <v>0.84599999999999997</v>
      </c>
      <c r="AU996" t="s">
        <v>65</v>
      </c>
      <c r="AV996">
        <v>22</v>
      </c>
      <c r="AW996">
        <v>8</v>
      </c>
      <c r="AX996" t="s">
        <v>4300</v>
      </c>
      <c r="AY996" t="s">
        <v>4301</v>
      </c>
      <c r="AZ996" t="s">
        <v>4302</v>
      </c>
      <c r="BA996">
        <v>0.10453999999999999</v>
      </c>
      <c r="BB996">
        <v>1</v>
      </c>
      <c r="BC996" t="s">
        <v>69</v>
      </c>
      <c r="BD996">
        <v>-0.159</v>
      </c>
      <c r="BE996">
        <v>-1.21</v>
      </c>
    </row>
    <row r="997" spans="1:57">
      <c r="A997">
        <v>0</v>
      </c>
      <c r="B997">
        <v>0</v>
      </c>
      <c r="C997">
        <v>0</v>
      </c>
      <c r="D997">
        <v>3189</v>
      </c>
      <c r="E997" t="s">
        <v>4357</v>
      </c>
      <c r="F997" t="s">
        <v>5761</v>
      </c>
      <c r="G997" t="s">
        <v>57</v>
      </c>
      <c r="H997">
        <v>3141900</v>
      </c>
      <c r="I997">
        <v>3142055</v>
      </c>
      <c r="J997" t="s">
        <v>118</v>
      </c>
      <c r="K997">
        <v>52</v>
      </c>
      <c r="L997" t="s">
        <v>59</v>
      </c>
      <c r="M997">
        <v>5</v>
      </c>
      <c r="N997" t="str">
        <f>HYPERLINK("Gene3189-zp_tree_all.dnd", "Gene3189-tree")</f>
        <v>Gene3189-tree</v>
      </c>
    </row>
    <row r="998" spans="1:57">
      <c r="A998">
        <v>0</v>
      </c>
      <c r="B998">
        <v>0</v>
      </c>
      <c r="C998">
        <v>0</v>
      </c>
      <c r="D998">
        <v>3219</v>
      </c>
      <c r="E998" t="s">
        <v>4368</v>
      </c>
      <c r="F998" t="s">
        <v>5761</v>
      </c>
      <c r="G998" t="s">
        <v>57</v>
      </c>
      <c r="H998">
        <v>3182707</v>
      </c>
      <c r="I998">
        <v>3183192</v>
      </c>
      <c r="J998" t="s">
        <v>118</v>
      </c>
      <c r="K998">
        <v>162</v>
      </c>
      <c r="L998" t="s">
        <v>83</v>
      </c>
      <c r="M998">
        <v>4</v>
      </c>
      <c r="N998" t="str">
        <f>HYPERLINK("Gene3219-zp_tree_all.dnd", "Gene3219-tree")</f>
        <v>Gene3219-tree</v>
      </c>
      <c r="O998">
        <v>2</v>
      </c>
      <c r="P998">
        <v>2</v>
      </c>
      <c r="Q998">
        <v>2</v>
      </c>
      <c r="R998">
        <v>2</v>
      </c>
      <c r="S998">
        <v>0.5</v>
      </c>
      <c r="T998" t="s">
        <v>135</v>
      </c>
      <c r="U998" t="s">
        <v>135</v>
      </c>
      <c r="V998" t="s">
        <v>62</v>
      </c>
      <c r="W998" t="s">
        <v>62</v>
      </c>
      <c r="X998">
        <v>0</v>
      </c>
      <c r="Y998">
        <v>0</v>
      </c>
      <c r="Z998">
        <v>8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8</v>
      </c>
      <c r="AK998">
        <v>0</v>
      </c>
      <c r="AL998">
        <v>4</v>
      </c>
      <c r="AM998">
        <v>0</v>
      </c>
      <c r="AN998">
        <v>18</v>
      </c>
      <c r="AO998">
        <v>8</v>
      </c>
      <c r="AP998">
        <v>0</v>
      </c>
      <c r="AQ998">
        <v>0</v>
      </c>
      <c r="AR998" t="s">
        <v>4369</v>
      </c>
      <c r="AS998" t="s">
        <v>64</v>
      </c>
      <c r="AT998">
        <v>0.495</v>
      </c>
      <c r="AU998" t="s">
        <v>65</v>
      </c>
      <c r="AV998">
        <v>18</v>
      </c>
      <c r="AW998">
        <v>8</v>
      </c>
      <c r="AX998" t="s">
        <v>4370</v>
      </c>
      <c r="AY998" t="s">
        <v>4371</v>
      </c>
      <c r="AZ998" t="s">
        <v>4372</v>
      </c>
      <c r="BA998">
        <v>9.8199999999999996E-2</v>
      </c>
      <c r="BB998">
        <v>1</v>
      </c>
      <c r="BC998" t="s">
        <v>69</v>
      </c>
      <c r="BD998">
        <v>-0.85899999999999999</v>
      </c>
      <c r="BE998">
        <v>-0.85899999999999999</v>
      </c>
    </row>
    <row r="999" spans="1:57">
      <c r="A999">
        <v>0</v>
      </c>
      <c r="B999">
        <v>0</v>
      </c>
      <c r="C999">
        <v>0</v>
      </c>
      <c r="D999">
        <v>3250</v>
      </c>
      <c r="E999" t="s">
        <v>4383</v>
      </c>
      <c r="F999" t="s">
        <v>5761</v>
      </c>
      <c r="G999" t="s">
        <v>57</v>
      </c>
      <c r="H999">
        <v>3218525</v>
      </c>
      <c r="I999">
        <v>3218854</v>
      </c>
      <c r="J999" t="s">
        <v>4384</v>
      </c>
      <c r="K999">
        <v>110</v>
      </c>
      <c r="L999" t="s">
        <v>83</v>
      </c>
      <c r="M999">
        <v>4</v>
      </c>
      <c r="N999" t="str">
        <f>HYPERLINK("Gene3250-zp_tree_all.dnd", "Gene3250-tree")</f>
        <v>Gene3250-tree</v>
      </c>
      <c r="O999">
        <v>3</v>
      </c>
      <c r="P999">
        <v>1</v>
      </c>
      <c r="Q999">
        <v>3</v>
      </c>
      <c r="R999">
        <v>1</v>
      </c>
      <c r="S999">
        <v>0.25</v>
      </c>
      <c r="T999" t="s">
        <v>84</v>
      </c>
      <c r="U999" t="s">
        <v>61</v>
      </c>
      <c r="V999" t="s">
        <v>62</v>
      </c>
      <c r="W999" t="s">
        <v>62</v>
      </c>
      <c r="X999">
        <v>0</v>
      </c>
      <c r="Y999">
        <v>0</v>
      </c>
      <c r="Z999">
        <v>3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3</v>
      </c>
      <c r="AK999">
        <v>0</v>
      </c>
      <c r="AL999">
        <v>4</v>
      </c>
      <c r="AM999">
        <v>0</v>
      </c>
      <c r="AN999">
        <v>11</v>
      </c>
      <c r="AO999">
        <v>3</v>
      </c>
      <c r="AP999">
        <v>0</v>
      </c>
      <c r="AQ999">
        <v>0</v>
      </c>
      <c r="AR999" t="s">
        <v>4385</v>
      </c>
      <c r="AS999" t="s">
        <v>64</v>
      </c>
      <c r="AT999">
        <v>0.46600000000000003</v>
      </c>
      <c r="AU999" t="s">
        <v>65</v>
      </c>
      <c r="AV999">
        <v>11</v>
      </c>
      <c r="AW999">
        <v>3</v>
      </c>
      <c r="AX999" t="s">
        <v>4386</v>
      </c>
      <c r="AY999" t="s">
        <v>4387</v>
      </c>
      <c r="AZ999" t="s">
        <v>4388</v>
      </c>
      <c r="BA999">
        <v>6.1800000000000001E-2</v>
      </c>
      <c r="BB999">
        <v>1</v>
      </c>
      <c r="BC999" t="s">
        <v>69</v>
      </c>
      <c r="BD999">
        <v>-0.36699999999999999</v>
      </c>
      <c r="BE999">
        <v>-1.081</v>
      </c>
    </row>
    <row r="1000" spans="1:57">
      <c r="A1000">
        <v>0</v>
      </c>
      <c r="B1000">
        <v>0</v>
      </c>
      <c r="C1000">
        <v>0</v>
      </c>
      <c r="D1000">
        <v>3257</v>
      </c>
      <c r="E1000" t="s">
        <v>4395</v>
      </c>
      <c r="F1000" t="s">
        <v>5761</v>
      </c>
      <c r="G1000" t="s">
        <v>57</v>
      </c>
      <c r="H1000">
        <v>3224864</v>
      </c>
      <c r="I1000">
        <v>3225097</v>
      </c>
      <c r="J1000" t="s">
        <v>118</v>
      </c>
      <c r="K1000">
        <v>78</v>
      </c>
      <c r="L1000" t="s">
        <v>59</v>
      </c>
      <c r="M1000">
        <v>5</v>
      </c>
      <c r="N1000" t="str">
        <f>HYPERLINK("Gene3257-zp_tree_all.dnd", "Gene3257-tree")</f>
        <v>Gene3257-tree</v>
      </c>
    </row>
    <row r="1001" spans="1:57">
      <c r="A1001">
        <v>0</v>
      </c>
      <c r="B1001">
        <v>0</v>
      </c>
      <c r="C1001">
        <v>2</v>
      </c>
      <c r="D1001">
        <v>3267</v>
      </c>
      <c r="E1001" t="s">
        <v>4419</v>
      </c>
      <c r="F1001" t="s">
        <v>5761</v>
      </c>
      <c r="G1001" t="s">
        <v>57</v>
      </c>
      <c r="H1001">
        <v>3232640</v>
      </c>
      <c r="I1001">
        <v>3233815</v>
      </c>
      <c r="J1001" t="s">
        <v>4420</v>
      </c>
      <c r="K1001">
        <v>392</v>
      </c>
      <c r="L1001" t="s">
        <v>59</v>
      </c>
      <c r="M1001">
        <v>5</v>
      </c>
      <c r="N1001" t="str">
        <f>HYPERLINK("Gene3267-zp_tree_all.dnd", "Gene3267-tree")</f>
        <v>Gene3267-tree</v>
      </c>
      <c r="O1001">
        <v>0</v>
      </c>
      <c r="P1001">
        <v>5</v>
      </c>
      <c r="Q1001">
        <v>0</v>
      </c>
      <c r="R1001">
        <v>5</v>
      </c>
      <c r="S1001">
        <v>1</v>
      </c>
      <c r="T1001" t="s">
        <v>62</v>
      </c>
      <c r="U1001" t="s">
        <v>98</v>
      </c>
      <c r="V1001" t="s">
        <v>62</v>
      </c>
      <c r="W1001" t="s">
        <v>62</v>
      </c>
      <c r="X1001">
        <v>1</v>
      </c>
      <c r="Y1001">
        <v>2</v>
      </c>
      <c r="Z1001">
        <v>14</v>
      </c>
      <c r="AA1001">
        <v>0.125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2</v>
      </c>
      <c r="AI1001">
        <v>2</v>
      </c>
      <c r="AJ1001">
        <v>5</v>
      </c>
      <c r="AK1001">
        <v>0.28571000000000002</v>
      </c>
      <c r="AL1001">
        <v>5</v>
      </c>
      <c r="AM1001">
        <v>2</v>
      </c>
      <c r="AN1001">
        <v>28</v>
      </c>
      <c r="AO1001">
        <v>8</v>
      </c>
      <c r="AP1001">
        <v>27</v>
      </c>
      <c r="AQ1001">
        <v>9</v>
      </c>
      <c r="AR1001" t="s">
        <v>4421</v>
      </c>
      <c r="AS1001" t="s">
        <v>4422</v>
      </c>
      <c r="AT1001">
        <v>0.16600000000000001</v>
      </c>
      <c r="AU1001" t="s">
        <v>65</v>
      </c>
      <c r="AV1001">
        <v>55</v>
      </c>
      <c r="AW1001">
        <v>17</v>
      </c>
      <c r="AX1001" t="s">
        <v>4423</v>
      </c>
      <c r="AY1001" t="s">
        <v>4424</v>
      </c>
      <c r="AZ1001" t="s">
        <v>4425</v>
      </c>
      <c r="BA1001">
        <v>9.5780000000000004E-2</v>
      </c>
      <c r="BB1001">
        <v>1</v>
      </c>
      <c r="BC1001" t="s">
        <v>69</v>
      </c>
      <c r="BD1001">
        <v>0.43</v>
      </c>
      <c r="BE1001">
        <v>0.33900000000000002</v>
      </c>
    </row>
    <row r="1002" spans="1:57">
      <c r="A1002">
        <v>0</v>
      </c>
      <c r="B1002">
        <v>0</v>
      </c>
      <c r="C1002">
        <v>0</v>
      </c>
      <c r="D1002">
        <v>3268</v>
      </c>
      <c r="E1002" t="s">
        <v>4426</v>
      </c>
      <c r="F1002" t="s">
        <v>5761</v>
      </c>
      <c r="G1002" t="s">
        <v>57</v>
      </c>
      <c r="H1002">
        <v>3233911</v>
      </c>
      <c r="I1002">
        <v>3235782</v>
      </c>
      <c r="J1002" t="s">
        <v>4427</v>
      </c>
      <c r="K1002">
        <v>624</v>
      </c>
      <c r="L1002" t="s">
        <v>83</v>
      </c>
      <c r="M1002">
        <v>4</v>
      </c>
      <c r="N1002" t="str">
        <f>HYPERLINK("Gene3268-zp_tree_all.dnd", "Gene3268-tree")</f>
        <v>Gene3268-tree</v>
      </c>
      <c r="O1002">
        <v>3</v>
      </c>
      <c r="P1002">
        <v>1</v>
      </c>
      <c r="Q1002">
        <v>3</v>
      </c>
      <c r="R1002">
        <v>1</v>
      </c>
      <c r="S1002">
        <v>0.25</v>
      </c>
      <c r="T1002" t="s">
        <v>84</v>
      </c>
      <c r="U1002" t="s">
        <v>61</v>
      </c>
      <c r="V1002" t="s">
        <v>62</v>
      </c>
      <c r="W1002" t="s">
        <v>62</v>
      </c>
      <c r="X1002">
        <v>0</v>
      </c>
      <c r="Y1002">
        <v>0</v>
      </c>
      <c r="Z1002">
        <v>13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10</v>
      </c>
      <c r="AK1002">
        <v>0</v>
      </c>
      <c r="AL1002">
        <v>4</v>
      </c>
      <c r="AM1002">
        <v>1</v>
      </c>
      <c r="AN1002">
        <v>84</v>
      </c>
      <c r="AO1002">
        <v>12</v>
      </c>
      <c r="AP1002">
        <v>14</v>
      </c>
      <c r="AQ1002">
        <v>3</v>
      </c>
      <c r="AR1002" t="s">
        <v>4428</v>
      </c>
      <c r="AS1002" t="s">
        <v>4429</v>
      </c>
      <c r="AT1002">
        <v>0.26700000000000002</v>
      </c>
      <c r="AU1002" t="s">
        <v>65</v>
      </c>
      <c r="AV1002">
        <v>98</v>
      </c>
      <c r="AW1002">
        <v>15</v>
      </c>
      <c r="AX1002" t="s">
        <v>4430</v>
      </c>
      <c r="AY1002" t="s">
        <v>4431</v>
      </c>
      <c r="AZ1002" t="s">
        <v>4432</v>
      </c>
      <c r="BA1002">
        <v>4.1739999999999999E-2</v>
      </c>
      <c r="BB1002">
        <v>1</v>
      </c>
      <c r="BC1002" t="s">
        <v>69</v>
      </c>
      <c r="BD1002">
        <v>-0.32500000000000001</v>
      </c>
      <c r="BE1002">
        <v>-0.498</v>
      </c>
    </row>
    <row r="1003" spans="1:57">
      <c r="A1003">
        <v>0</v>
      </c>
      <c r="B1003">
        <v>0</v>
      </c>
      <c r="C1003">
        <v>2</v>
      </c>
      <c r="D1003">
        <v>3269</v>
      </c>
      <c r="E1003" t="s">
        <v>4433</v>
      </c>
      <c r="F1003" t="s">
        <v>5761</v>
      </c>
      <c r="G1003" t="s">
        <v>57</v>
      </c>
      <c r="H1003">
        <v>3235806</v>
      </c>
      <c r="I1003">
        <v>3236216</v>
      </c>
      <c r="J1003" t="s">
        <v>4434</v>
      </c>
      <c r="K1003">
        <v>137</v>
      </c>
      <c r="L1003" t="s">
        <v>112</v>
      </c>
      <c r="M1003">
        <v>4</v>
      </c>
      <c r="N1003" t="str">
        <f>HYPERLINK("Gene3269-zp_tree_all.dnd", "Gene3269-tree")</f>
        <v>Gene3269-tree</v>
      </c>
      <c r="O1003">
        <v>2</v>
      </c>
      <c r="P1003">
        <v>2</v>
      </c>
      <c r="Q1003">
        <v>2</v>
      </c>
      <c r="R1003">
        <v>2</v>
      </c>
      <c r="S1003">
        <v>0.5</v>
      </c>
      <c r="T1003" t="s">
        <v>135</v>
      </c>
      <c r="U1003" t="s">
        <v>135</v>
      </c>
      <c r="V1003" t="s">
        <v>62</v>
      </c>
      <c r="W1003" t="s">
        <v>62</v>
      </c>
      <c r="X1003">
        <v>1</v>
      </c>
      <c r="Y1003">
        <v>2</v>
      </c>
      <c r="Z1003">
        <v>4</v>
      </c>
      <c r="AA1003">
        <v>0.33333000000000002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2</v>
      </c>
      <c r="AI1003">
        <v>2</v>
      </c>
      <c r="AJ1003">
        <v>3</v>
      </c>
      <c r="AK1003">
        <v>0.4</v>
      </c>
      <c r="AL1003">
        <v>3</v>
      </c>
      <c r="AM1003">
        <v>1</v>
      </c>
      <c r="AN1003">
        <v>15</v>
      </c>
      <c r="AO1003">
        <v>5</v>
      </c>
      <c r="AP1003">
        <v>4</v>
      </c>
      <c r="AQ1003">
        <v>1</v>
      </c>
      <c r="AR1003" t="s">
        <v>4435</v>
      </c>
      <c r="AS1003" t="s">
        <v>4436</v>
      </c>
      <c r="AT1003">
        <v>0.28599999999999998</v>
      </c>
      <c r="AU1003" t="s">
        <v>65</v>
      </c>
      <c r="AV1003">
        <v>19</v>
      </c>
      <c r="AW1003">
        <v>6</v>
      </c>
      <c r="AX1003" t="s">
        <v>4437</v>
      </c>
      <c r="AY1003" t="s">
        <v>4438</v>
      </c>
      <c r="AZ1003" t="s">
        <v>4439</v>
      </c>
      <c r="BA1003">
        <v>9.3049999999999994E-2</v>
      </c>
      <c r="BB1003">
        <v>1</v>
      </c>
      <c r="BC1003" t="s">
        <v>69</v>
      </c>
      <c r="BD1003">
        <v>0.28499999999999998</v>
      </c>
      <c r="BE1003">
        <v>-0.57099999999999995</v>
      </c>
    </row>
    <row r="1004" spans="1:57">
      <c r="A1004">
        <v>0</v>
      </c>
      <c r="B1004">
        <v>0</v>
      </c>
      <c r="C1004">
        <v>0</v>
      </c>
      <c r="D1004">
        <v>3280</v>
      </c>
      <c r="E1004" t="s">
        <v>4446</v>
      </c>
      <c r="F1004" t="s">
        <v>5761</v>
      </c>
      <c r="G1004" t="s">
        <v>57</v>
      </c>
      <c r="H1004">
        <v>3248996</v>
      </c>
      <c r="I1004">
        <v>3249424</v>
      </c>
      <c r="J1004" t="s">
        <v>4447</v>
      </c>
      <c r="K1004">
        <v>143</v>
      </c>
      <c r="L1004" t="s">
        <v>59</v>
      </c>
      <c r="M1004">
        <v>5</v>
      </c>
      <c r="N1004" t="str">
        <f>HYPERLINK("Gene3280-zp_tree_all.dnd", "Gene3280-tree")</f>
        <v>Gene3280-tree</v>
      </c>
      <c r="O1004">
        <v>4</v>
      </c>
      <c r="P1004">
        <v>1</v>
      </c>
      <c r="Q1004">
        <v>4</v>
      </c>
      <c r="R1004">
        <v>1</v>
      </c>
      <c r="S1004">
        <v>0.2</v>
      </c>
      <c r="T1004" t="s">
        <v>60</v>
      </c>
      <c r="U1004" t="s">
        <v>61</v>
      </c>
      <c r="V1004" t="s">
        <v>62</v>
      </c>
      <c r="W1004" t="s">
        <v>62</v>
      </c>
      <c r="X1004">
        <v>0</v>
      </c>
      <c r="Y1004">
        <v>0</v>
      </c>
      <c r="Z1004">
        <v>4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1</v>
      </c>
      <c r="AK1004">
        <v>0</v>
      </c>
      <c r="AL1004">
        <v>5</v>
      </c>
      <c r="AM1004">
        <v>1</v>
      </c>
      <c r="AN1004">
        <v>11</v>
      </c>
      <c r="AO1004">
        <v>1</v>
      </c>
      <c r="AP1004">
        <v>8</v>
      </c>
      <c r="AQ1004">
        <v>3</v>
      </c>
      <c r="AR1004" t="s">
        <v>4448</v>
      </c>
      <c r="AS1004" t="s">
        <v>4449</v>
      </c>
      <c r="AT1004">
        <v>1.57</v>
      </c>
      <c r="AU1004" t="s">
        <v>65</v>
      </c>
      <c r="AV1004">
        <v>19</v>
      </c>
      <c r="AW1004">
        <v>4</v>
      </c>
      <c r="AX1004" t="s">
        <v>4450</v>
      </c>
      <c r="AY1004" t="s">
        <v>4451</v>
      </c>
      <c r="AZ1004" t="s">
        <v>4452</v>
      </c>
      <c r="BA1004">
        <v>8.6059999999999998E-2</v>
      </c>
      <c r="BB1004">
        <v>1</v>
      </c>
      <c r="BC1004" t="s">
        <v>69</v>
      </c>
      <c r="BD1004">
        <v>0.52900000000000003</v>
      </c>
      <c r="BE1004">
        <v>-0.20599999999999999</v>
      </c>
    </row>
    <row r="1005" spans="1:57">
      <c r="A1005">
        <v>0</v>
      </c>
      <c r="B1005">
        <v>0</v>
      </c>
      <c r="C1005">
        <v>0</v>
      </c>
      <c r="D1005">
        <v>3281</v>
      </c>
      <c r="E1005" t="s">
        <v>4453</v>
      </c>
      <c r="F1005" t="s">
        <v>5761</v>
      </c>
      <c r="G1005" t="s">
        <v>57</v>
      </c>
      <c r="H1005">
        <v>3249427</v>
      </c>
      <c r="I1005">
        <v>3249765</v>
      </c>
      <c r="J1005" t="s">
        <v>4454</v>
      </c>
      <c r="K1005">
        <v>113</v>
      </c>
      <c r="L1005" t="s">
        <v>59</v>
      </c>
      <c r="M1005">
        <v>5</v>
      </c>
      <c r="N1005" t="str">
        <f>HYPERLINK("Gene3281-zp_tree_all.dnd", "Gene3281-tree")</f>
        <v>Gene3281-tree</v>
      </c>
      <c r="O1005">
        <v>4</v>
      </c>
      <c r="P1005">
        <v>0</v>
      </c>
      <c r="Q1005">
        <v>4</v>
      </c>
      <c r="R1005">
        <v>0</v>
      </c>
      <c r="S1005">
        <v>0</v>
      </c>
      <c r="T1005" t="s">
        <v>60</v>
      </c>
      <c r="U1005" t="s">
        <v>62</v>
      </c>
      <c r="V1005" t="s">
        <v>62</v>
      </c>
      <c r="W1005" t="s">
        <v>62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3</v>
      </c>
      <c r="AM1005">
        <v>1</v>
      </c>
      <c r="AN1005">
        <v>7</v>
      </c>
      <c r="AO1005">
        <v>0</v>
      </c>
      <c r="AP1005">
        <v>2</v>
      </c>
      <c r="AQ1005">
        <v>0</v>
      </c>
      <c r="AR1005" t="s">
        <v>64</v>
      </c>
      <c r="AS1005" t="s">
        <v>64</v>
      </c>
      <c r="AT1005">
        <v>0</v>
      </c>
      <c r="AU1005" t="s">
        <v>65</v>
      </c>
      <c r="AV1005">
        <v>9</v>
      </c>
      <c r="AW1005">
        <v>0</v>
      </c>
      <c r="AX1005" t="s">
        <v>4455</v>
      </c>
      <c r="AY1005" t="s">
        <v>4456</v>
      </c>
      <c r="AZ1005" t="s">
        <v>64</v>
      </c>
      <c r="BA1005">
        <v>0</v>
      </c>
      <c r="BB1005">
        <v>1</v>
      </c>
      <c r="BC1005" t="s">
        <v>69</v>
      </c>
      <c r="BD1005">
        <v>0.66100000000000003</v>
      </c>
      <c r="BE1005">
        <v>-7.2999999999999995E-2</v>
      </c>
    </row>
    <row r="1006" spans="1:57">
      <c r="A1006">
        <v>0</v>
      </c>
      <c r="B1006">
        <v>0</v>
      </c>
      <c r="C1006">
        <v>0</v>
      </c>
      <c r="D1006">
        <v>3284</v>
      </c>
      <c r="E1006" t="s">
        <v>4457</v>
      </c>
      <c r="F1006" t="s">
        <v>5761</v>
      </c>
      <c r="G1006" t="s">
        <v>57</v>
      </c>
      <c r="H1006">
        <v>3251724</v>
      </c>
      <c r="I1006">
        <v>3252005</v>
      </c>
      <c r="J1006" t="s">
        <v>4458</v>
      </c>
      <c r="K1006">
        <v>94</v>
      </c>
      <c r="L1006" t="s">
        <v>59</v>
      </c>
      <c r="M1006">
        <v>5</v>
      </c>
      <c r="N1006" t="str">
        <f>HYPERLINK("Gene3284-zp_tree_all.dnd", "Gene3284-tree")</f>
        <v>Gene3284-tree</v>
      </c>
      <c r="O1006">
        <v>3</v>
      </c>
      <c r="P1006">
        <v>2</v>
      </c>
      <c r="Q1006">
        <v>3</v>
      </c>
      <c r="R1006">
        <v>2</v>
      </c>
      <c r="S1006">
        <v>0.4</v>
      </c>
      <c r="T1006" t="s">
        <v>84</v>
      </c>
      <c r="U1006" t="s">
        <v>135</v>
      </c>
      <c r="V1006" t="s">
        <v>62</v>
      </c>
      <c r="W1006" t="s">
        <v>62</v>
      </c>
      <c r="X1006">
        <v>0</v>
      </c>
      <c r="Y1006">
        <v>0</v>
      </c>
      <c r="Z1006">
        <v>2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2</v>
      </c>
      <c r="AK1006">
        <v>0</v>
      </c>
      <c r="AL1006">
        <v>3</v>
      </c>
      <c r="AM1006">
        <v>2</v>
      </c>
      <c r="AN1006">
        <v>6</v>
      </c>
      <c r="AO1006">
        <v>1</v>
      </c>
      <c r="AP1006">
        <v>7</v>
      </c>
      <c r="AQ1006">
        <v>1</v>
      </c>
      <c r="AR1006" t="s">
        <v>4459</v>
      </c>
      <c r="AS1006" t="s">
        <v>4460</v>
      </c>
      <c r="AT1006">
        <v>9.4E-2</v>
      </c>
      <c r="AU1006" t="s">
        <v>65</v>
      </c>
      <c r="AV1006">
        <v>13</v>
      </c>
      <c r="AW1006">
        <v>2</v>
      </c>
      <c r="AX1006" t="s">
        <v>4461</v>
      </c>
      <c r="AY1006" t="s">
        <v>4462</v>
      </c>
      <c r="AZ1006" t="s">
        <v>4463</v>
      </c>
      <c r="BA1006">
        <v>4.854E-2</v>
      </c>
      <c r="BB1006">
        <v>1</v>
      </c>
      <c r="BC1006" t="s">
        <v>69</v>
      </c>
      <c r="BD1006">
        <v>0.40600000000000003</v>
      </c>
      <c r="BE1006">
        <v>0.40600000000000003</v>
      </c>
    </row>
    <row r="1007" spans="1:57">
      <c r="A1007">
        <v>0</v>
      </c>
      <c r="B1007">
        <v>0</v>
      </c>
      <c r="C1007">
        <v>0</v>
      </c>
      <c r="D1007">
        <v>3292</v>
      </c>
      <c r="E1007" t="s">
        <v>4470</v>
      </c>
      <c r="F1007" t="s">
        <v>5761</v>
      </c>
      <c r="G1007" t="s">
        <v>57</v>
      </c>
      <c r="H1007">
        <v>3257454</v>
      </c>
      <c r="I1007">
        <v>3257576</v>
      </c>
      <c r="J1007" t="s">
        <v>4471</v>
      </c>
      <c r="K1007">
        <v>41</v>
      </c>
      <c r="L1007" t="s">
        <v>83</v>
      </c>
      <c r="M1007">
        <v>4</v>
      </c>
      <c r="N1007" t="str">
        <f>HYPERLINK("Gene3292-zp_tree_all.dnd", "Gene3292-tree")</f>
        <v>Gene3292-tree</v>
      </c>
      <c r="O1007">
        <v>2</v>
      </c>
      <c r="P1007">
        <v>2</v>
      </c>
      <c r="Q1007">
        <v>2</v>
      </c>
      <c r="R1007">
        <v>2</v>
      </c>
      <c r="S1007">
        <v>0.5</v>
      </c>
      <c r="T1007" t="s">
        <v>135</v>
      </c>
      <c r="U1007" t="s">
        <v>135</v>
      </c>
      <c r="V1007" t="s">
        <v>62</v>
      </c>
      <c r="W1007" t="s">
        <v>62</v>
      </c>
      <c r="X1007">
        <v>0</v>
      </c>
      <c r="Y1007">
        <v>0</v>
      </c>
      <c r="Z1007">
        <v>6</v>
      </c>
      <c r="AA1007">
        <v>0</v>
      </c>
      <c r="AB1007">
        <v>0</v>
      </c>
      <c r="AC1007">
        <v>0</v>
      </c>
      <c r="AD1007">
        <v>0</v>
      </c>
      <c r="AE1007">
        <v>2</v>
      </c>
      <c r="AF1007">
        <v>0</v>
      </c>
      <c r="AG1007">
        <v>0</v>
      </c>
      <c r="AH1007">
        <v>0</v>
      </c>
      <c r="AI1007">
        <v>0</v>
      </c>
      <c r="AJ1007">
        <v>4</v>
      </c>
      <c r="AK1007">
        <v>0</v>
      </c>
      <c r="AL1007">
        <v>4</v>
      </c>
      <c r="AM1007">
        <v>1</v>
      </c>
      <c r="AN1007">
        <v>5</v>
      </c>
      <c r="AO1007">
        <v>4</v>
      </c>
      <c r="AP1007">
        <v>0</v>
      </c>
      <c r="AQ1007">
        <v>3</v>
      </c>
      <c r="AR1007" t="s">
        <v>4472</v>
      </c>
      <c r="AS1007" t="s">
        <v>64</v>
      </c>
      <c r="AT1007">
        <v>1.2190000000000001</v>
      </c>
      <c r="AU1007" t="s">
        <v>65</v>
      </c>
      <c r="AV1007">
        <v>5</v>
      </c>
      <c r="AW1007">
        <v>7</v>
      </c>
      <c r="AX1007" t="s">
        <v>4473</v>
      </c>
      <c r="AY1007" t="s">
        <v>4474</v>
      </c>
      <c r="AZ1007" t="s">
        <v>4475</v>
      </c>
      <c r="BA1007">
        <v>0.52495000000000003</v>
      </c>
      <c r="BB1007">
        <v>0.81299999999999994</v>
      </c>
      <c r="BC1007" t="s">
        <v>793</v>
      </c>
      <c r="BD1007">
        <v>0.27900000000000003</v>
      </c>
      <c r="BE1007">
        <v>0.27900000000000003</v>
      </c>
    </row>
    <row r="1008" spans="1:57">
      <c r="A1008">
        <v>0</v>
      </c>
      <c r="B1008">
        <v>0</v>
      </c>
      <c r="C1008">
        <v>0</v>
      </c>
      <c r="D1008">
        <v>3329</v>
      </c>
      <c r="E1008" t="s">
        <v>4521</v>
      </c>
      <c r="F1008" t="s">
        <v>5761</v>
      </c>
      <c r="G1008" t="s">
        <v>57</v>
      </c>
      <c r="H1008">
        <v>3301586</v>
      </c>
      <c r="I1008">
        <v>3302581</v>
      </c>
      <c r="J1008" t="s">
        <v>4522</v>
      </c>
      <c r="K1008">
        <v>332</v>
      </c>
      <c r="L1008" t="s">
        <v>83</v>
      </c>
      <c r="M1008">
        <v>4</v>
      </c>
      <c r="N1008" t="str">
        <f>HYPERLINK("Gene3329-zp_tree_all.dnd", "Gene3329-tree")</f>
        <v>Gene3329-tree</v>
      </c>
      <c r="O1008">
        <v>2</v>
      </c>
      <c r="P1008">
        <v>2</v>
      </c>
      <c r="Q1008">
        <v>2</v>
      </c>
      <c r="R1008">
        <v>2</v>
      </c>
      <c r="S1008">
        <v>0.5</v>
      </c>
      <c r="T1008" t="s">
        <v>135</v>
      </c>
      <c r="U1008" t="s">
        <v>135</v>
      </c>
      <c r="V1008" t="s">
        <v>62</v>
      </c>
      <c r="W1008" t="s">
        <v>62</v>
      </c>
      <c r="X1008">
        <v>0</v>
      </c>
      <c r="Y1008">
        <v>0</v>
      </c>
      <c r="Z1008">
        <v>2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2</v>
      </c>
      <c r="AK1008">
        <v>0</v>
      </c>
      <c r="AL1008">
        <v>4</v>
      </c>
      <c r="AM1008">
        <v>1</v>
      </c>
      <c r="AN1008">
        <v>49</v>
      </c>
      <c r="AO1008">
        <v>2</v>
      </c>
      <c r="AP1008">
        <v>4</v>
      </c>
      <c r="AQ1008">
        <v>0</v>
      </c>
      <c r="AR1008" t="s">
        <v>4523</v>
      </c>
      <c r="AS1008" t="s">
        <v>64</v>
      </c>
      <c r="AT1008">
        <v>0.80500000000000005</v>
      </c>
      <c r="AU1008" t="s">
        <v>65</v>
      </c>
      <c r="AV1008">
        <v>53</v>
      </c>
      <c r="AW1008">
        <v>2</v>
      </c>
      <c r="AX1008" t="s">
        <v>4524</v>
      </c>
      <c r="AY1008" t="s">
        <v>4525</v>
      </c>
      <c r="AZ1008" t="s">
        <v>4526</v>
      </c>
      <c r="BA1008">
        <v>1.025E-2</v>
      </c>
      <c r="BB1008">
        <v>1</v>
      </c>
      <c r="BC1008" t="s">
        <v>69</v>
      </c>
      <c r="BD1008">
        <v>-0.30599999999999999</v>
      </c>
      <c r="BE1008">
        <v>-0.68</v>
      </c>
    </row>
    <row r="1009" spans="1:57">
      <c r="A1009">
        <v>0</v>
      </c>
      <c r="B1009">
        <v>2</v>
      </c>
      <c r="C1009">
        <v>2</v>
      </c>
      <c r="D1009">
        <v>3331</v>
      </c>
      <c r="E1009" t="s">
        <v>4527</v>
      </c>
      <c r="F1009" t="s">
        <v>5761</v>
      </c>
      <c r="G1009" t="s">
        <v>57</v>
      </c>
      <c r="H1009">
        <v>3303042</v>
      </c>
      <c r="I1009">
        <v>3304019</v>
      </c>
      <c r="J1009" t="s">
        <v>4528</v>
      </c>
      <c r="K1009">
        <v>326</v>
      </c>
      <c r="L1009" t="s">
        <v>83</v>
      </c>
      <c r="M1009">
        <v>4</v>
      </c>
      <c r="N1009" t="str">
        <f>HYPERLINK("Gene3331-zp_tree_all.dnd", "Gene3331-tree")</f>
        <v>Gene3331-tree</v>
      </c>
      <c r="O1009">
        <v>1</v>
      </c>
      <c r="P1009">
        <v>3</v>
      </c>
      <c r="Q1009">
        <v>1</v>
      </c>
      <c r="R1009">
        <v>3</v>
      </c>
      <c r="S1009">
        <v>0.75</v>
      </c>
      <c r="T1009" t="s">
        <v>61</v>
      </c>
      <c r="U1009" t="s">
        <v>84</v>
      </c>
      <c r="V1009" t="s">
        <v>62</v>
      </c>
      <c r="W1009" t="s">
        <v>62</v>
      </c>
      <c r="X1009">
        <v>2</v>
      </c>
      <c r="Y1009">
        <v>4</v>
      </c>
      <c r="Z1009">
        <v>4</v>
      </c>
      <c r="AA1009">
        <v>0.5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2</v>
      </c>
      <c r="AH1009">
        <v>2</v>
      </c>
      <c r="AI1009">
        <v>4</v>
      </c>
      <c r="AJ1009">
        <v>4</v>
      </c>
      <c r="AK1009">
        <v>0.5</v>
      </c>
      <c r="AL1009">
        <v>4</v>
      </c>
      <c r="AM1009">
        <v>1</v>
      </c>
      <c r="AN1009">
        <v>54</v>
      </c>
      <c r="AO1009">
        <v>9</v>
      </c>
      <c r="AP1009">
        <v>6</v>
      </c>
      <c r="AQ1009">
        <v>0</v>
      </c>
      <c r="AR1009" t="s">
        <v>4529</v>
      </c>
      <c r="AS1009" t="s">
        <v>64</v>
      </c>
      <c r="AT1009">
        <v>1.87</v>
      </c>
      <c r="AU1009" t="s">
        <v>65</v>
      </c>
      <c r="AV1009">
        <v>60</v>
      </c>
      <c r="AW1009">
        <v>9</v>
      </c>
      <c r="AX1009" t="s">
        <v>4530</v>
      </c>
      <c r="AY1009" t="s">
        <v>4531</v>
      </c>
      <c r="AZ1009" t="s">
        <v>4532</v>
      </c>
      <c r="BA1009">
        <v>3.8629999999999998E-2</v>
      </c>
      <c r="BB1009">
        <v>1</v>
      </c>
      <c r="BC1009" t="s">
        <v>69</v>
      </c>
      <c r="BD1009">
        <v>-5.6000000000000001E-2</v>
      </c>
      <c r="BE1009">
        <v>-0.39900000000000002</v>
      </c>
    </row>
    <row r="1010" spans="1:57">
      <c r="A1010">
        <v>0</v>
      </c>
      <c r="B1010">
        <v>0</v>
      </c>
      <c r="C1010">
        <v>0</v>
      </c>
      <c r="D1010">
        <v>3338</v>
      </c>
      <c r="E1010" t="s">
        <v>4550</v>
      </c>
      <c r="F1010" t="s">
        <v>5761</v>
      </c>
      <c r="G1010" t="s">
        <v>57</v>
      </c>
      <c r="H1010">
        <v>3308867</v>
      </c>
      <c r="I1010">
        <v>3309931</v>
      </c>
      <c r="J1010" t="s">
        <v>4551</v>
      </c>
      <c r="K1010">
        <v>355</v>
      </c>
      <c r="L1010" t="s">
        <v>59</v>
      </c>
      <c r="M1010">
        <v>5</v>
      </c>
      <c r="N1010" t="str">
        <f>HYPERLINK("Gene3338-zp_tree_all.dnd", "Gene3338-tree")</f>
        <v>Gene3338-tree</v>
      </c>
      <c r="O1010">
        <v>1</v>
      </c>
      <c r="P1010">
        <v>4</v>
      </c>
      <c r="Q1010">
        <v>1</v>
      </c>
      <c r="R1010">
        <v>4</v>
      </c>
      <c r="S1010">
        <v>0.8</v>
      </c>
      <c r="T1010" t="s">
        <v>61</v>
      </c>
      <c r="U1010" t="s">
        <v>60</v>
      </c>
      <c r="V1010" t="s">
        <v>62</v>
      </c>
      <c r="W1010" t="s">
        <v>62</v>
      </c>
      <c r="X1010">
        <v>0</v>
      </c>
      <c r="Y1010">
        <v>0</v>
      </c>
      <c r="Z1010">
        <v>9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4</v>
      </c>
      <c r="AK1010">
        <v>0</v>
      </c>
      <c r="AL1010">
        <v>5</v>
      </c>
      <c r="AM1010">
        <v>2</v>
      </c>
      <c r="AN1010">
        <v>25</v>
      </c>
      <c r="AO1010">
        <v>5</v>
      </c>
      <c r="AP1010">
        <v>24</v>
      </c>
      <c r="AQ1010">
        <v>5</v>
      </c>
      <c r="AR1010" t="s">
        <v>4552</v>
      </c>
      <c r="AS1010" t="s">
        <v>4553</v>
      </c>
      <c r="AT1010">
        <v>5.0000000000000001E-3</v>
      </c>
      <c r="AU1010" t="s">
        <v>65</v>
      </c>
      <c r="AV1010">
        <v>49</v>
      </c>
      <c r="AW1010">
        <v>10</v>
      </c>
      <c r="AX1010" t="s">
        <v>4554</v>
      </c>
      <c r="AY1010" t="s">
        <v>4555</v>
      </c>
      <c r="AZ1010" t="s">
        <v>4556</v>
      </c>
      <c r="BA1010">
        <v>5.7919999999999999E-2</v>
      </c>
      <c r="BB1010">
        <v>1</v>
      </c>
      <c r="BC1010" t="s">
        <v>69</v>
      </c>
      <c r="BD1010">
        <v>0.34200000000000003</v>
      </c>
      <c r="BE1010">
        <v>0.20599999999999999</v>
      </c>
    </row>
    <row r="1011" spans="1:57">
      <c r="A1011">
        <v>0</v>
      </c>
      <c r="B1011">
        <v>0</v>
      </c>
      <c r="C1011">
        <v>0</v>
      </c>
      <c r="D1011">
        <v>3340</v>
      </c>
      <c r="E1011" t="s">
        <v>4564</v>
      </c>
      <c r="F1011" t="s">
        <v>5761</v>
      </c>
      <c r="G1011" t="s">
        <v>57</v>
      </c>
      <c r="H1011">
        <v>3310386</v>
      </c>
      <c r="I1011">
        <v>3310718</v>
      </c>
      <c r="J1011" t="s">
        <v>4565</v>
      </c>
      <c r="K1011">
        <v>111</v>
      </c>
      <c r="L1011" t="s">
        <v>59</v>
      </c>
      <c r="M1011">
        <v>5</v>
      </c>
      <c r="N1011" t="str">
        <f>HYPERLINK("Gene3340-zp_tree_all.dnd", "Gene3340-tree")</f>
        <v>Gene3340-tree</v>
      </c>
    </row>
    <row r="1012" spans="1:57">
      <c r="A1012">
        <v>0</v>
      </c>
      <c r="B1012">
        <v>0</v>
      </c>
      <c r="C1012">
        <v>2</v>
      </c>
      <c r="D1012">
        <v>3346</v>
      </c>
      <c r="E1012" t="s">
        <v>4568</v>
      </c>
      <c r="F1012" t="s">
        <v>5761</v>
      </c>
      <c r="G1012" t="s">
        <v>57</v>
      </c>
      <c r="H1012">
        <v>3317502</v>
      </c>
      <c r="I1012">
        <v>3317999</v>
      </c>
      <c r="J1012" t="s">
        <v>4569</v>
      </c>
      <c r="K1012">
        <v>166</v>
      </c>
      <c r="L1012" t="s">
        <v>59</v>
      </c>
      <c r="M1012">
        <v>5</v>
      </c>
      <c r="N1012" t="str">
        <f>HYPERLINK("Gene3346-zp_tree_all.dnd", "Gene3346-tree")</f>
        <v>Gene3346-tree</v>
      </c>
      <c r="O1012">
        <v>3</v>
      </c>
      <c r="P1012">
        <v>2</v>
      </c>
      <c r="Q1012">
        <v>3</v>
      </c>
      <c r="R1012">
        <v>2</v>
      </c>
      <c r="S1012">
        <v>0.4</v>
      </c>
      <c r="T1012" t="s">
        <v>84</v>
      </c>
      <c r="U1012" t="s">
        <v>135</v>
      </c>
      <c r="V1012" t="s">
        <v>62</v>
      </c>
      <c r="W1012" t="s">
        <v>62</v>
      </c>
      <c r="X1012">
        <v>1</v>
      </c>
      <c r="Y1012">
        <v>2</v>
      </c>
      <c r="Z1012">
        <v>5</v>
      </c>
      <c r="AA1012">
        <v>0.28571000000000002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2</v>
      </c>
      <c r="AI1012">
        <v>2</v>
      </c>
      <c r="AJ1012">
        <v>2</v>
      </c>
      <c r="AK1012">
        <v>0.5</v>
      </c>
      <c r="AL1012">
        <v>4</v>
      </c>
      <c r="AM1012">
        <v>2</v>
      </c>
      <c r="AN1012">
        <v>11</v>
      </c>
      <c r="AO1012">
        <v>4</v>
      </c>
      <c r="AP1012">
        <v>15</v>
      </c>
      <c r="AQ1012">
        <v>3</v>
      </c>
      <c r="AR1012" t="s">
        <v>4570</v>
      </c>
      <c r="AS1012" t="s">
        <v>4571</v>
      </c>
      <c r="AT1012">
        <v>0.58399999999999996</v>
      </c>
      <c r="AU1012" t="s">
        <v>65</v>
      </c>
      <c r="AV1012">
        <v>26</v>
      </c>
      <c r="AW1012">
        <v>7</v>
      </c>
      <c r="AX1012" t="s">
        <v>4572</v>
      </c>
      <c r="AY1012" t="s">
        <v>4573</v>
      </c>
      <c r="AZ1012" t="s">
        <v>4574</v>
      </c>
      <c r="BA1012">
        <v>6.9120000000000001E-2</v>
      </c>
      <c r="BB1012">
        <v>1</v>
      </c>
      <c r="BC1012" t="s">
        <v>69</v>
      </c>
      <c r="BD1012">
        <v>0.55600000000000005</v>
      </c>
      <c r="BE1012">
        <v>0.312</v>
      </c>
    </row>
    <row r="1013" spans="1:57">
      <c r="A1013">
        <v>0</v>
      </c>
      <c r="B1013">
        <v>0</v>
      </c>
      <c r="C1013">
        <v>0</v>
      </c>
      <c r="D1013">
        <v>3406</v>
      </c>
      <c r="E1013" t="s">
        <v>4671</v>
      </c>
      <c r="F1013" t="s">
        <v>5761</v>
      </c>
      <c r="G1013" t="s">
        <v>57</v>
      </c>
      <c r="H1013">
        <v>3372569</v>
      </c>
      <c r="I1013">
        <v>3372712</v>
      </c>
      <c r="J1013" t="s">
        <v>118</v>
      </c>
      <c r="K1013">
        <v>48</v>
      </c>
      <c r="L1013" t="s">
        <v>59</v>
      </c>
      <c r="M1013">
        <v>5</v>
      </c>
      <c r="N1013" t="str">
        <f>HYPERLINK("Gene3406-zp_tree_all.dnd", "Gene3406-tree")</f>
        <v>Gene3406-tree</v>
      </c>
      <c r="O1013">
        <v>3</v>
      </c>
      <c r="P1013">
        <v>2</v>
      </c>
      <c r="Q1013">
        <v>3</v>
      </c>
      <c r="R1013">
        <v>2</v>
      </c>
      <c r="S1013">
        <v>0.4</v>
      </c>
      <c r="T1013" t="s">
        <v>84</v>
      </c>
      <c r="U1013" t="s">
        <v>135</v>
      </c>
      <c r="V1013" t="s">
        <v>62</v>
      </c>
      <c r="W1013" t="s">
        <v>62</v>
      </c>
      <c r="X1013">
        <v>0</v>
      </c>
      <c r="Y1013">
        <v>0</v>
      </c>
      <c r="Z1013">
        <v>2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2</v>
      </c>
      <c r="AK1013">
        <v>0</v>
      </c>
      <c r="AL1013">
        <v>3</v>
      </c>
      <c r="AM1013">
        <v>1</v>
      </c>
      <c r="AN1013">
        <v>1</v>
      </c>
      <c r="AO1013">
        <v>3</v>
      </c>
      <c r="AP1013">
        <v>1</v>
      </c>
      <c r="AQ1013">
        <v>0</v>
      </c>
      <c r="AR1013" t="s">
        <v>4672</v>
      </c>
      <c r="AS1013" t="s">
        <v>64</v>
      </c>
      <c r="AT1013">
        <v>0.64900000000000002</v>
      </c>
      <c r="AU1013" t="s">
        <v>65</v>
      </c>
      <c r="AV1013">
        <v>2</v>
      </c>
      <c r="AW1013">
        <v>3</v>
      </c>
      <c r="AX1013" t="s">
        <v>4673</v>
      </c>
      <c r="AY1013" t="s">
        <v>4674</v>
      </c>
      <c r="AZ1013" t="s">
        <v>4675</v>
      </c>
      <c r="BA1013">
        <v>0.32752999999999999</v>
      </c>
      <c r="BB1013">
        <v>0.71799999999999997</v>
      </c>
      <c r="BC1013" t="s">
        <v>793</v>
      </c>
      <c r="BD1013">
        <v>-0.56200000000000006</v>
      </c>
      <c r="BE1013">
        <v>-0.56200000000000006</v>
      </c>
    </row>
    <row r="1014" spans="1:57">
      <c r="A1014">
        <v>0</v>
      </c>
      <c r="B1014">
        <v>0</v>
      </c>
      <c r="C1014">
        <v>0</v>
      </c>
      <c r="D1014">
        <v>3408</v>
      </c>
      <c r="E1014" t="s">
        <v>4676</v>
      </c>
      <c r="F1014" t="s">
        <v>5761</v>
      </c>
      <c r="G1014" t="s">
        <v>57</v>
      </c>
      <c r="H1014">
        <v>3373743</v>
      </c>
      <c r="I1014">
        <v>3373985</v>
      </c>
      <c r="J1014" t="s">
        <v>118</v>
      </c>
      <c r="K1014">
        <v>81</v>
      </c>
      <c r="L1014" t="s">
        <v>59</v>
      </c>
      <c r="M1014">
        <v>5</v>
      </c>
      <c r="N1014" t="str">
        <f>HYPERLINK("Gene3408-zp_tree_all.dnd", "Gene3408-tree")</f>
        <v>Gene3408-tree</v>
      </c>
      <c r="O1014">
        <v>3</v>
      </c>
      <c r="P1014">
        <v>1</v>
      </c>
      <c r="Q1014">
        <v>3</v>
      </c>
      <c r="R1014">
        <v>1</v>
      </c>
      <c r="S1014">
        <v>0.25</v>
      </c>
      <c r="T1014" t="s">
        <v>84</v>
      </c>
      <c r="U1014" t="s">
        <v>61</v>
      </c>
      <c r="V1014" t="s">
        <v>62</v>
      </c>
      <c r="W1014" t="s">
        <v>62</v>
      </c>
      <c r="X1014">
        <v>0</v>
      </c>
      <c r="Y1014">
        <v>0</v>
      </c>
      <c r="Z1014">
        <v>2</v>
      </c>
      <c r="AA1014">
        <v>0</v>
      </c>
      <c r="AB1014">
        <v>0</v>
      </c>
      <c r="AC1014">
        <v>0</v>
      </c>
      <c r="AD1014">
        <v>0</v>
      </c>
      <c r="AE1014">
        <v>1</v>
      </c>
      <c r="AF1014">
        <v>0</v>
      </c>
      <c r="AG1014">
        <v>0</v>
      </c>
      <c r="AH1014">
        <v>0</v>
      </c>
      <c r="AI1014">
        <v>0</v>
      </c>
      <c r="AJ1014">
        <v>1</v>
      </c>
      <c r="AK1014">
        <v>0</v>
      </c>
      <c r="AL1014">
        <v>3</v>
      </c>
      <c r="AM1014">
        <v>1</v>
      </c>
      <c r="AN1014">
        <v>3</v>
      </c>
      <c r="AO1014">
        <v>1</v>
      </c>
      <c r="AP1014">
        <v>2</v>
      </c>
      <c r="AQ1014">
        <v>1</v>
      </c>
      <c r="AR1014" t="s">
        <v>4677</v>
      </c>
      <c r="AS1014" t="s">
        <v>4678</v>
      </c>
      <c r="AT1014">
        <v>0.31900000000000001</v>
      </c>
      <c r="AU1014" t="s">
        <v>65</v>
      </c>
      <c r="AV1014">
        <v>5</v>
      </c>
      <c r="AW1014">
        <v>2</v>
      </c>
      <c r="AX1014" t="s">
        <v>4679</v>
      </c>
      <c r="AY1014" t="s">
        <v>4680</v>
      </c>
      <c r="AZ1014" t="s">
        <v>4681</v>
      </c>
      <c r="BA1014">
        <v>9.5979999999999996E-2</v>
      </c>
      <c r="BB1014">
        <v>0.98799999999999999</v>
      </c>
      <c r="BC1014" t="s">
        <v>69</v>
      </c>
      <c r="BD1014">
        <v>1.002</v>
      </c>
      <c r="BE1014">
        <v>-0.191</v>
      </c>
    </row>
    <row r="1015" spans="1:57">
      <c r="A1015">
        <v>0</v>
      </c>
      <c r="B1015">
        <v>0</v>
      </c>
      <c r="C1015">
        <v>2</v>
      </c>
      <c r="D1015">
        <v>3409</v>
      </c>
      <c r="E1015" t="s">
        <v>4682</v>
      </c>
      <c r="F1015" t="s">
        <v>5761</v>
      </c>
      <c r="G1015" t="s">
        <v>57</v>
      </c>
      <c r="H1015">
        <v>3374001</v>
      </c>
      <c r="I1015">
        <v>3374330</v>
      </c>
      <c r="J1015" t="s">
        <v>4683</v>
      </c>
      <c r="K1015">
        <v>110</v>
      </c>
      <c r="L1015" t="s">
        <v>59</v>
      </c>
      <c r="M1015">
        <v>5</v>
      </c>
      <c r="N1015" t="str">
        <f>HYPERLINK("Gene3409-zp_tree_all.dnd", "Gene3409-tree")</f>
        <v>Gene3409-tree</v>
      </c>
      <c r="O1015">
        <v>3</v>
      </c>
      <c r="P1015">
        <v>2</v>
      </c>
      <c r="Q1015">
        <v>3</v>
      </c>
      <c r="R1015">
        <v>2</v>
      </c>
      <c r="S1015">
        <v>0.4</v>
      </c>
      <c r="T1015" t="s">
        <v>84</v>
      </c>
      <c r="U1015" t="s">
        <v>135</v>
      </c>
      <c r="V1015" t="s">
        <v>62</v>
      </c>
      <c r="W1015" t="s">
        <v>62</v>
      </c>
      <c r="X1015">
        <v>1</v>
      </c>
      <c r="Y1015">
        <v>2</v>
      </c>
      <c r="Z1015">
        <v>0</v>
      </c>
      <c r="AA1015">
        <v>1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2</v>
      </c>
      <c r="AI1015">
        <v>2</v>
      </c>
      <c r="AJ1015">
        <v>0</v>
      </c>
      <c r="AK1015">
        <v>1</v>
      </c>
      <c r="AL1015">
        <v>4</v>
      </c>
      <c r="AM1015">
        <v>2</v>
      </c>
      <c r="AN1015">
        <v>5</v>
      </c>
      <c r="AO1015">
        <v>2</v>
      </c>
      <c r="AP1015">
        <v>9</v>
      </c>
      <c r="AQ1015">
        <v>0</v>
      </c>
      <c r="AR1015" t="s">
        <v>4684</v>
      </c>
      <c r="AS1015" t="s">
        <v>64</v>
      </c>
      <c r="AT1015">
        <v>0.72899999999999998</v>
      </c>
      <c r="AU1015" t="s">
        <v>65</v>
      </c>
      <c r="AV1015">
        <v>14</v>
      </c>
      <c r="AW1015">
        <v>2</v>
      </c>
      <c r="AX1015" t="s">
        <v>4685</v>
      </c>
      <c r="AY1015" t="s">
        <v>4686</v>
      </c>
      <c r="AZ1015" t="s">
        <v>4687</v>
      </c>
      <c r="BA1015">
        <v>2.147E-2</v>
      </c>
      <c r="BB1015">
        <v>1</v>
      </c>
      <c r="BC1015" t="s">
        <v>69</v>
      </c>
      <c r="BD1015">
        <v>0.91400000000000003</v>
      </c>
      <c r="BE1015">
        <v>0.40600000000000003</v>
      </c>
    </row>
    <row r="1016" spans="1:57">
      <c r="A1016">
        <v>0</v>
      </c>
      <c r="B1016">
        <v>0</v>
      </c>
      <c r="C1016">
        <v>0</v>
      </c>
      <c r="D1016">
        <v>3422</v>
      </c>
      <c r="E1016" t="s">
        <v>4701</v>
      </c>
      <c r="F1016" t="s">
        <v>5761</v>
      </c>
      <c r="G1016" t="s">
        <v>57</v>
      </c>
      <c r="H1016">
        <v>3383565</v>
      </c>
      <c r="I1016">
        <v>3384023</v>
      </c>
      <c r="J1016" t="s">
        <v>4702</v>
      </c>
      <c r="K1016">
        <v>153</v>
      </c>
      <c r="L1016" t="s">
        <v>59</v>
      </c>
      <c r="M1016">
        <v>5</v>
      </c>
      <c r="N1016" t="str">
        <f>HYPERLINK("Gene3422-zp_tree_all.dnd", "Gene3422-tree")</f>
        <v>Gene3422-tree</v>
      </c>
      <c r="O1016">
        <v>3</v>
      </c>
      <c r="P1016">
        <v>2</v>
      </c>
      <c r="Q1016">
        <v>3</v>
      </c>
      <c r="R1016">
        <v>2</v>
      </c>
      <c r="S1016">
        <v>0.4</v>
      </c>
      <c r="T1016" t="s">
        <v>84</v>
      </c>
      <c r="U1016" t="s">
        <v>135</v>
      </c>
      <c r="V1016" t="s">
        <v>62</v>
      </c>
      <c r="W1016" t="s">
        <v>62</v>
      </c>
      <c r="X1016">
        <v>0</v>
      </c>
      <c r="Y1016">
        <v>0</v>
      </c>
      <c r="Z1016">
        <v>7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3</v>
      </c>
      <c r="AK1016">
        <v>0</v>
      </c>
      <c r="AL1016">
        <v>5</v>
      </c>
      <c r="AM1016">
        <v>2</v>
      </c>
      <c r="AN1016">
        <v>10</v>
      </c>
      <c r="AO1016">
        <v>3</v>
      </c>
      <c r="AP1016">
        <v>11</v>
      </c>
      <c r="AQ1016">
        <v>4</v>
      </c>
      <c r="AR1016" t="s">
        <v>4703</v>
      </c>
      <c r="AS1016" t="s">
        <v>4704</v>
      </c>
      <c r="AT1016">
        <v>0.104</v>
      </c>
      <c r="AU1016" t="s">
        <v>65</v>
      </c>
      <c r="AV1016">
        <v>21</v>
      </c>
      <c r="AW1016">
        <v>7</v>
      </c>
      <c r="AX1016" t="s">
        <v>4705</v>
      </c>
      <c r="AY1016" t="s">
        <v>4706</v>
      </c>
      <c r="AZ1016" t="s">
        <v>4707</v>
      </c>
      <c r="BA1016">
        <v>9.2189999999999994E-2</v>
      </c>
      <c r="BB1016">
        <v>1</v>
      </c>
      <c r="BC1016" t="s">
        <v>69</v>
      </c>
      <c r="BD1016">
        <v>0.99199999999999999</v>
      </c>
      <c r="BE1016">
        <v>0.74399999999999999</v>
      </c>
    </row>
    <row r="1017" spans="1:57">
      <c r="A1017">
        <v>0</v>
      </c>
      <c r="B1017">
        <v>0</v>
      </c>
      <c r="C1017">
        <v>0</v>
      </c>
      <c r="D1017">
        <v>3424</v>
      </c>
      <c r="E1017" t="s">
        <v>4708</v>
      </c>
      <c r="F1017" t="s">
        <v>5761</v>
      </c>
      <c r="G1017" t="s">
        <v>57</v>
      </c>
      <c r="H1017">
        <v>3385724</v>
      </c>
      <c r="I1017">
        <v>3386398</v>
      </c>
      <c r="J1017" t="s">
        <v>4709</v>
      </c>
      <c r="K1017">
        <v>225</v>
      </c>
      <c r="L1017" t="s">
        <v>112</v>
      </c>
      <c r="M1017">
        <v>4</v>
      </c>
      <c r="N1017" t="str">
        <f>HYPERLINK("Gene3424-zp_tree_all.dnd", "Gene3424-tree")</f>
        <v>Gene3424-tree</v>
      </c>
      <c r="O1017">
        <v>3</v>
      </c>
      <c r="P1017">
        <v>1</v>
      </c>
      <c r="Q1017">
        <v>3</v>
      </c>
      <c r="R1017">
        <v>1</v>
      </c>
      <c r="S1017">
        <v>0.25</v>
      </c>
      <c r="T1017" t="s">
        <v>84</v>
      </c>
      <c r="U1017" t="s">
        <v>61</v>
      </c>
      <c r="V1017" t="s">
        <v>62</v>
      </c>
      <c r="W1017" t="s">
        <v>62</v>
      </c>
      <c r="X1017">
        <v>0</v>
      </c>
      <c r="Y1017">
        <v>0</v>
      </c>
      <c r="Z1017">
        <v>3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3</v>
      </c>
      <c r="AK1017">
        <v>0</v>
      </c>
      <c r="AL1017">
        <v>4</v>
      </c>
      <c r="AM1017">
        <v>1</v>
      </c>
      <c r="AN1017">
        <v>26</v>
      </c>
      <c r="AO1017">
        <v>3</v>
      </c>
      <c r="AP1017">
        <v>3</v>
      </c>
      <c r="AQ1017">
        <v>0</v>
      </c>
      <c r="AR1017" t="s">
        <v>4710</v>
      </c>
      <c r="AS1017" t="s">
        <v>64</v>
      </c>
      <c r="AT1017">
        <v>0.42199999999999999</v>
      </c>
      <c r="AU1017" t="s">
        <v>65</v>
      </c>
      <c r="AV1017">
        <v>29</v>
      </c>
      <c r="AW1017">
        <v>3</v>
      </c>
      <c r="AX1017" t="s">
        <v>4711</v>
      </c>
      <c r="AY1017" t="s">
        <v>4712</v>
      </c>
      <c r="AZ1017" t="s">
        <v>4713</v>
      </c>
      <c r="BA1017">
        <v>2.8740000000000002E-2</v>
      </c>
      <c r="BB1017">
        <v>1</v>
      </c>
      <c r="BC1017" t="s">
        <v>69</v>
      </c>
      <c r="BD1017">
        <v>-0.45400000000000001</v>
      </c>
      <c r="BE1017">
        <v>-0.76</v>
      </c>
    </row>
    <row r="1018" spans="1:57">
      <c r="A1018">
        <v>0</v>
      </c>
      <c r="B1018">
        <v>0</v>
      </c>
      <c r="C1018">
        <v>0</v>
      </c>
      <c r="D1018">
        <v>3427</v>
      </c>
      <c r="E1018" t="s">
        <v>4716</v>
      </c>
      <c r="F1018" t="s">
        <v>5761</v>
      </c>
      <c r="G1018" t="s">
        <v>57</v>
      </c>
      <c r="H1018">
        <v>3388113</v>
      </c>
      <c r="I1018">
        <v>3388985</v>
      </c>
      <c r="J1018" t="s">
        <v>291</v>
      </c>
      <c r="K1018">
        <v>291</v>
      </c>
      <c r="L1018" t="s">
        <v>59</v>
      </c>
      <c r="M1018">
        <v>5</v>
      </c>
      <c r="N1018" t="str">
        <f>HYPERLINK("Gene3427-zp_tree_all.dnd", "Gene3427-tree")</f>
        <v>Gene3427-tree</v>
      </c>
      <c r="O1018">
        <v>2</v>
      </c>
      <c r="P1018">
        <v>3</v>
      </c>
      <c r="Q1018">
        <v>2</v>
      </c>
      <c r="R1018">
        <v>3</v>
      </c>
      <c r="S1018">
        <v>0.6</v>
      </c>
      <c r="T1018" t="s">
        <v>135</v>
      </c>
      <c r="U1018" t="s">
        <v>84</v>
      </c>
      <c r="V1018" t="s">
        <v>62</v>
      </c>
      <c r="W1018" t="s">
        <v>62</v>
      </c>
      <c r="X1018">
        <v>0</v>
      </c>
      <c r="Y1018">
        <v>0</v>
      </c>
      <c r="Z1018">
        <v>10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4</v>
      </c>
      <c r="AK1018">
        <v>0</v>
      </c>
      <c r="AL1018">
        <v>5</v>
      </c>
      <c r="AM1018">
        <v>2</v>
      </c>
      <c r="AN1018">
        <v>9</v>
      </c>
      <c r="AO1018">
        <v>4</v>
      </c>
      <c r="AP1018">
        <v>24</v>
      </c>
      <c r="AQ1018">
        <v>7</v>
      </c>
      <c r="AR1018" t="s">
        <v>4717</v>
      </c>
      <c r="AS1018" t="s">
        <v>4718</v>
      </c>
      <c r="AT1018">
        <v>0.48699999999999999</v>
      </c>
      <c r="AU1018" t="s">
        <v>65</v>
      </c>
      <c r="AV1018">
        <v>33</v>
      </c>
      <c r="AW1018">
        <v>11</v>
      </c>
      <c r="AX1018" t="s">
        <v>4719</v>
      </c>
      <c r="AY1018" t="s">
        <v>4720</v>
      </c>
      <c r="AZ1018" t="s">
        <v>4721</v>
      </c>
      <c r="BA1018">
        <v>8.3309999999999995E-2</v>
      </c>
      <c r="BB1018">
        <v>1</v>
      </c>
      <c r="BC1018" t="s">
        <v>69</v>
      </c>
      <c r="BD1018">
        <v>0.95599999999999996</v>
      </c>
      <c r="BE1018">
        <v>0.95599999999999996</v>
      </c>
    </row>
    <row r="1019" spans="1:57">
      <c r="A1019">
        <v>0</v>
      </c>
      <c r="B1019">
        <v>0</v>
      </c>
      <c r="C1019">
        <v>2</v>
      </c>
      <c r="D1019">
        <v>3468</v>
      </c>
      <c r="E1019" t="s">
        <v>4743</v>
      </c>
      <c r="F1019" t="s">
        <v>5761</v>
      </c>
      <c r="G1019" t="s">
        <v>57</v>
      </c>
      <c r="H1019">
        <v>3427802</v>
      </c>
      <c r="I1019">
        <v>3428284</v>
      </c>
      <c r="J1019" t="s">
        <v>4744</v>
      </c>
      <c r="K1019">
        <v>161</v>
      </c>
      <c r="L1019" t="s">
        <v>83</v>
      </c>
      <c r="M1019">
        <v>4</v>
      </c>
      <c r="N1019" t="str">
        <f>HYPERLINK("Gene3468-zp_tree_all.dnd", "Gene3468-tree")</f>
        <v>Gene3468-tree</v>
      </c>
      <c r="O1019">
        <v>2</v>
      </c>
      <c r="P1019">
        <v>2</v>
      </c>
      <c r="Q1019">
        <v>2</v>
      </c>
      <c r="R1019">
        <v>2</v>
      </c>
      <c r="S1019">
        <v>0.5</v>
      </c>
      <c r="T1019" t="s">
        <v>135</v>
      </c>
      <c r="U1019" t="s">
        <v>135</v>
      </c>
      <c r="V1019" t="s">
        <v>62</v>
      </c>
      <c r="W1019" t="s">
        <v>62</v>
      </c>
      <c r="X1019">
        <v>1</v>
      </c>
      <c r="Y1019">
        <v>2</v>
      </c>
      <c r="Z1019">
        <v>5</v>
      </c>
      <c r="AA1019">
        <v>0.28571000000000002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6</v>
      </c>
      <c r="AK1019">
        <v>0</v>
      </c>
      <c r="AL1019">
        <v>3</v>
      </c>
      <c r="AM1019">
        <v>1</v>
      </c>
      <c r="AN1019">
        <v>18</v>
      </c>
      <c r="AO1019">
        <v>6</v>
      </c>
      <c r="AP1019">
        <v>2</v>
      </c>
      <c r="AQ1019">
        <v>1</v>
      </c>
      <c r="AR1019" t="s">
        <v>4745</v>
      </c>
      <c r="AS1019" t="s">
        <v>4746</v>
      </c>
      <c r="AT1019">
        <v>0.622</v>
      </c>
      <c r="AU1019" t="s">
        <v>65</v>
      </c>
      <c r="AV1019">
        <v>20</v>
      </c>
      <c r="AW1019">
        <v>7</v>
      </c>
      <c r="AX1019" t="s">
        <v>4747</v>
      </c>
      <c r="AY1019" t="s">
        <v>4748</v>
      </c>
      <c r="AZ1019" t="s">
        <v>4749</v>
      </c>
      <c r="BA1019">
        <v>8.6669999999999997E-2</v>
      </c>
      <c r="BB1019">
        <v>1</v>
      </c>
      <c r="BC1019" t="s">
        <v>69</v>
      </c>
      <c r="BD1019">
        <v>-0.51</v>
      </c>
      <c r="BE1019">
        <v>-0.51</v>
      </c>
    </row>
    <row r="1020" spans="1:57">
      <c r="A1020">
        <v>0</v>
      </c>
      <c r="B1020">
        <v>0</v>
      </c>
      <c r="C1020">
        <v>0</v>
      </c>
      <c r="D1020">
        <v>3493</v>
      </c>
      <c r="E1020" t="s">
        <v>4796</v>
      </c>
      <c r="F1020" t="s">
        <v>5761</v>
      </c>
      <c r="G1020" t="s">
        <v>57</v>
      </c>
      <c r="H1020">
        <v>3456667</v>
      </c>
      <c r="I1020">
        <v>3457071</v>
      </c>
      <c r="J1020" t="s">
        <v>2869</v>
      </c>
      <c r="K1020">
        <v>135</v>
      </c>
      <c r="L1020" t="s">
        <v>3633</v>
      </c>
      <c r="M1020">
        <v>4</v>
      </c>
      <c r="N1020" t="str">
        <f>HYPERLINK("Gene3493-zp_tree_all.dnd", "Gene3493-tree")</f>
        <v>Gene3493-tree</v>
      </c>
      <c r="O1020">
        <v>3</v>
      </c>
      <c r="P1020">
        <v>1</v>
      </c>
      <c r="Q1020">
        <v>3</v>
      </c>
      <c r="R1020">
        <v>1</v>
      </c>
      <c r="S1020">
        <v>0.25</v>
      </c>
      <c r="T1020" t="s">
        <v>84</v>
      </c>
      <c r="U1020" t="s">
        <v>61</v>
      </c>
      <c r="V1020" t="s">
        <v>62</v>
      </c>
      <c r="W1020" t="s">
        <v>62</v>
      </c>
      <c r="X1020">
        <v>0</v>
      </c>
      <c r="Y1020">
        <v>0</v>
      </c>
      <c r="Z1020">
        <v>1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1</v>
      </c>
      <c r="AK1020">
        <v>0</v>
      </c>
      <c r="AL1020">
        <v>4</v>
      </c>
      <c r="AM1020">
        <v>1</v>
      </c>
      <c r="AN1020">
        <v>13</v>
      </c>
      <c r="AO1020">
        <v>1</v>
      </c>
      <c r="AP1020">
        <v>11</v>
      </c>
      <c r="AQ1020">
        <v>0</v>
      </c>
      <c r="AR1020" t="s">
        <v>4797</v>
      </c>
      <c r="AS1020" t="s">
        <v>64</v>
      </c>
      <c r="AT1020">
        <v>0.60399999999999998</v>
      </c>
      <c r="AU1020" t="s">
        <v>65</v>
      </c>
      <c r="AV1020">
        <v>24</v>
      </c>
      <c r="AW1020">
        <v>1</v>
      </c>
      <c r="AX1020" t="s">
        <v>4798</v>
      </c>
      <c r="AY1020" t="s">
        <v>4799</v>
      </c>
      <c r="AZ1020" t="s">
        <v>4800</v>
      </c>
      <c r="BA1020">
        <v>9.6100000000000005E-3</v>
      </c>
      <c r="BB1020">
        <v>1</v>
      </c>
      <c r="BC1020" t="s">
        <v>69</v>
      </c>
      <c r="BD1020">
        <v>1.1919999999999999</v>
      </c>
      <c r="BE1020">
        <v>0.373</v>
      </c>
    </row>
    <row r="1021" spans="1:57">
      <c r="A1021">
        <v>0</v>
      </c>
      <c r="B1021">
        <v>0</v>
      </c>
      <c r="C1021">
        <v>0</v>
      </c>
      <c r="D1021">
        <v>3495</v>
      </c>
      <c r="E1021" t="s">
        <v>4801</v>
      </c>
      <c r="F1021" t="s">
        <v>5761</v>
      </c>
      <c r="G1021" t="s">
        <v>57</v>
      </c>
      <c r="H1021">
        <v>3457615</v>
      </c>
      <c r="I1021">
        <v>3457938</v>
      </c>
      <c r="J1021" t="s">
        <v>4802</v>
      </c>
      <c r="K1021">
        <v>108</v>
      </c>
      <c r="L1021" t="s">
        <v>3633</v>
      </c>
      <c r="M1021">
        <v>4</v>
      </c>
      <c r="N1021" t="str">
        <f>HYPERLINK("Gene3495-zp_tree_all.dnd", "Gene3495-tree")</f>
        <v>Gene3495-tree</v>
      </c>
      <c r="O1021">
        <v>4</v>
      </c>
      <c r="P1021">
        <v>0</v>
      </c>
      <c r="Q1021">
        <v>4</v>
      </c>
      <c r="R1021">
        <v>0</v>
      </c>
      <c r="S1021">
        <v>0</v>
      </c>
      <c r="T1021" t="s">
        <v>60</v>
      </c>
      <c r="U1021" t="s">
        <v>62</v>
      </c>
      <c r="V1021" t="s">
        <v>62</v>
      </c>
      <c r="W1021" t="s">
        <v>62</v>
      </c>
      <c r="X1021">
        <v>0</v>
      </c>
      <c r="Y1021">
        <v>0</v>
      </c>
      <c r="Z1021">
        <v>1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3</v>
      </c>
      <c r="AM1021">
        <v>1</v>
      </c>
      <c r="AN1021">
        <v>11</v>
      </c>
      <c r="AO1021">
        <v>0</v>
      </c>
      <c r="AP1021">
        <v>4</v>
      </c>
      <c r="AQ1021">
        <v>1</v>
      </c>
      <c r="AR1021" t="s">
        <v>64</v>
      </c>
      <c r="AS1021" t="s">
        <v>4803</v>
      </c>
      <c r="AT1021">
        <v>0</v>
      </c>
      <c r="AU1021" t="s">
        <v>65</v>
      </c>
      <c r="AV1021">
        <v>15</v>
      </c>
      <c r="AW1021">
        <v>1</v>
      </c>
      <c r="AX1021" t="s">
        <v>4804</v>
      </c>
      <c r="AY1021" t="s">
        <v>4805</v>
      </c>
      <c r="AZ1021" t="s">
        <v>4806</v>
      </c>
      <c r="BA1021">
        <v>2.2419999999999999E-2</v>
      </c>
      <c r="BB1021">
        <v>1</v>
      </c>
      <c r="BC1021" t="s">
        <v>69</v>
      </c>
      <c r="BD1021">
        <v>0.60299999999999998</v>
      </c>
      <c r="BE1021">
        <v>-1.9E-2</v>
      </c>
    </row>
    <row r="1022" spans="1:57">
      <c r="A1022">
        <v>0</v>
      </c>
      <c r="B1022">
        <v>0</v>
      </c>
      <c r="C1022">
        <v>0</v>
      </c>
      <c r="D1022">
        <v>3511</v>
      </c>
      <c r="E1022" t="s">
        <v>4807</v>
      </c>
      <c r="F1022" t="s">
        <v>5761</v>
      </c>
      <c r="G1022" t="s">
        <v>57</v>
      </c>
      <c r="H1022">
        <v>3471266</v>
      </c>
      <c r="I1022">
        <v>3471820</v>
      </c>
      <c r="J1022" t="s">
        <v>4808</v>
      </c>
      <c r="K1022">
        <v>185</v>
      </c>
      <c r="L1022" t="s">
        <v>83</v>
      </c>
      <c r="M1022">
        <v>4</v>
      </c>
      <c r="N1022" t="str">
        <f>HYPERLINK("Gene3511-zp_tree_all.dnd", "Gene3511-tree")</f>
        <v>Gene3511-tree</v>
      </c>
      <c r="O1022">
        <v>2</v>
      </c>
      <c r="P1022">
        <v>2</v>
      </c>
      <c r="Q1022">
        <v>2</v>
      </c>
      <c r="R1022">
        <v>2</v>
      </c>
      <c r="S1022">
        <v>0.5</v>
      </c>
      <c r="T1022" t="s">
        <v>135</v>
      </c>
      <c r="U1022" t="s">
        <v>135</v>
      </c>
      <c r="V1022" t="s">
        <v>62</v>
      </c>
      <c r="W1022" t="s">
        <v>62</v>
      </c>
      <c r="X1022">
        <v>0</v>
      </c>
      <c r="Y1022">
        <v>0</v>
      </c>
      <c r="Z1022">
        <v>6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6</v>
      </c>
      <c r="AK1022">
        <v>0</v>
      </c>
      <c r="AL1022">
        <v>4</v>
      </c>
      <c r="AM1022">
        <v>1</v>
      </c>
      <c r="AN1022">
        <v>18</v>
      </c>
      <c r="AO1022">
        <v>6</v>
      </c>
      <c r="AP1022">
        <v>1</v>
      </c>
      <c r="AQ1022">
        <v>0</v>
      </c>
      <c r="AR1022" t="s">
        <v>4809</v>
      </c>
      <c r="AS1022" t="s">
        <v>64</v>
      </c>
      <c r="AT1022">
        <v>0.68899999999999995</v>
      </c>
      <c r="AU1022" t="s">
        <v>65</v>
      </c>
      <c r="AV1022">
        <v>19</v>
      </c>
      <c r="AW1022">
        <v>6</v>
      </c>
      <c r="AX1022" t="s">
        <v>4810</v>
      </c>
      <c r="AY1022" t="s">
        <v>4811</v>
      </c>
      <c r="AZ1022" t="s">
        <v>4812</v>
      </c>
      <c r="BA1022">
        <v>7.671E-2</v>
      </c>
      <c r="BB1022">
        <v>1</v>
      </c>
      <c r="BC1022" t="s">
        <v>69</v>
      </c>
      <c r="BD1022">
        <v>-0.73299999999999998</v>
      </c>
      <c r="BE1022">
        <v>-0.73299999999999998</v>
      </c>
    </row>
    <row r="1023" spans="1:57">
      <c r="A1023">
        <v>0</v>
      </c>
      <c r="B1023">
        <v>0</v>
      </c>
      <c r="C1023">
        <v>0</v>
      </c>
      <c r="D1023">
        <v>3548</v>
      </c>
      <c r="E1023" t="s">
        <v>4851</v>
      </c>
      <c r="F1023" t="s">
        <v>5761</v>
      </c>
      <c r="G1023" t="s">
        <v>57</v>
      </c>
      <c r="H1023">
        <v>3513887</v>
      </c>
      <c r="I1023">
        <v>3514102</v>
      </c>
      <c r="J1023" t="s">
        <v>118</v>
      </c>
      <c r="K1023">
        <v>72</v>
      </c>
      <c r="L1023" t="s">
        <v>59</v>
      </c>
      <c r="M1023">
        <v>5</v>
      </c>
      <c r="N1023" t="str">
        <f>HYPERLINK("Gene3548-zp_tree_all.dnd", "Gene3548-tree")</f>
        <v>Gene3548-tree</v>
      </c>
      <c r="O1023">
        <v>5</v>
      </c>
      <c r="P1023">
        <v>0</v>
      </c>
      <c r="Q1023">
        <v>5</v>
      </c>
      <c r="R1023">
        <v>0</v>
      </c>
      <c r="S1023">
        <v>0</v>
      </c>
      <c r="T1023" t="s">
        <v>98</v>
      </c>
      <c r="U1023" t="s">
        <v>62</v>
      </c>
      <c r="V1023" t="s">
        <v>62</v>
      </c>
      <c r="W1023" t="s">
        <v>62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4</v>
      </c>
      <c r="AM1023">
        <v>2</v>
      </c>
      <c r="AN1023">
        <v>11</v>
      </c>
      <c r="AO1023">
        <v>0</v>
      </c>
      <c r="AP1023">
        <v>5</v>
      </c>
      <c r="AQ1023">
        <v>0</v>
      </c>
      <c r="AR1023" t="s">
        <v>64</v>
      </c>
      <c r="AS1023" t="s">
        <v>64</v>
      </c>
      <c r="AT1023">
        <v>0</v>
      </c>
      <c r="AU1023" t="s">
        <v>65</v>
      </c>
      <c r="AV1023">
        <v>16</v>
      </c>
      <c r="AW1023">
        <v>0</v>
      </c>
      <c r="AX1023" t="s">
        <v>4852</v>
      </c>
      <c r="AY1023" t="s">
        <v>4853</v>
      </c>
      <c r="AZ1023" t="s">
        <v>64</v>
      </c>
      <c r="BA1023">
        <v>0</v>
      </c>
      <c r="BB1023">
        <v>1</v>
      </c>
      <c r="BC1023" t="s">
        <v>69</v>
      </c>
      <c r="BD1023">
        <v>8.6999999999999994E-2</v>
      </c>
      <c r="BE1023">
        <v>-0.34699999999999998</v>
      </c>
    </row>
    <row r="1024" spans="1:57">
      <c r="A1024">
        <v>0</v>
      </c>
      <c r="B1024">
        <v>0</v>
      </c>
      <c r="C1024">
        <v>2</v>
      </c>
      <c r="D1024">
        <v>3571</v>
      </c>
      <c r="E1024" t="s">
        <v>4870</v>
      </c>
      <c r="F1024" t="s">
        <v>5761</v>
      </c>
      <c r="G1024" t="s">
        <v>57</v>
      </c>
      <c r="H1024">
        <v>3536012</v>
      </c>
      <c r="I1024">
        <v>3537430</v>
      </c>
      <c r="J1024" t="s">
        <v>4871</v>
      </c>
      <c r="K1024">
        <v>473</v>
      </c>
      <c r="L1024" t="s">
        <v>59</v>
      </c>
      <c r="M1024">
        <v>5</v>
      </c>
      <c r="N1024" t="str">
        <f>HYPERLINK("Gene3571-zp_tree_all.dnd", "Gene3571-tree")</f>
        <v>Gene3571-tree</v>
      </c>
      <c r="O1024">
        <v>2</v>
      </c>
      <c r="P1024">
        <v>3</v>
      </c>
      <c r="Q1024">
        <v>2</v>
      </c>
      <c r="R1024">
        <v>3</v>
      </c>
      <c r="S1024">
        <v>0.6</v>
      </c>
      <c r="T1024" t="s">
        <v>135</v>
      </c>
      <c r="U1024" t="s">
        <v>84</v>
      </c>
      <c r="V1024" t="s">
        <v>62</v>
      </c>
      <c r="W1024" t="s">
        <v>62</v>
      </c>
      <c r="X1024">
        <v>1</v>
      </c>
      <c r="Y1024">
        <v>2</v>
      </c>
      <c r="Z1024">
        <v>11</v>
      </c>
      <c r="AA1024">
        <v>0.15384999999999999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9</v>
      </c>
      <c r="AK1024">
        <v>0</v>
      </c>
      <c r="AL1024">
        <v>5</v>
      </c>
      <c r="AM1024">
        <v>2</v>
      </c>
      <c r="AN1024">
        <v>76</v>
      </c>
      <c r="AO1024">
        <v>9</v>
      </c>
      <c r="AP1024">
        <v>33</v>
      </c>
      <c r="AQ1024">
        <v>4</v>
      </c>
      <c r="AR1024" t="s">
        <v>4872</v>
      </c>
      <c r="AS1024" t="s">
        <v>4873</v>
      </c>
      <c r="AT1024">
        <v>3.5999999999999997E-2</v>
      </c>
      <c r="AU1024" t="s">
        <v>65</v>
      </c>
      <c r="AV1024">
        <v>109</v>
      </c>
      <c r="AW1024">
        <v>13</v>
      </c>
      <c r="AX1024" t="s">
        <v>4874</v>
      </c>
      <c r="AY1024" t="s">
        <v>4875</v>
      </c>
      <c r="AZ1024" t="s">
        <v>4876</v>
      </c>
      <c r="BA1024">
        <v>3.4130000000000001E-2</v>
      </c>
      <c r="BB1024">
        <v>1</v>
      </c>
      <c r="BC1024" t="s">
        <v>69</v>
      </c>
      <c r="BD1024">
        <v>0.121</v>
      </c>
      <c r="BE1024">
        <v>-0.151</v>
      </c>
    </row>
    <row r="1025" spans="1:57">
      <c r="A1025">
        <v>0</v>
      </c>
      <c r="B1025">
        <v>0</v>
      </c>
      <c r="C1025">
        <v>0</v>
      </c>
      <c r="D1025">
        <v>3591</v>
      </c>
      <c r="E1025" t="s">
        <v>4877</v>
      </c>
      <c r="F1025" t="s">
        <v>5761</v>
      </c>
      <c r="G1025" t="s">
        <v>57</v>
      </c>
      <c r="H1025">
        <v>3559632</v>
      </c>
      <c r="I1025">
        <v>3559949</v>
      </c>
      <c r="J1025" t="s">
        <v>4878</v>
      </c>
      <c r="K1025">
        <v>106</v>
      </c>
      <c r="L1025" t="s">
        <v>59</v>
      </c>
      <c r="M1025">
        <v>5</v>
      </c>
      <c r="N1025" t="str">
        <f>HYPERLINK("Gene3591-zp_tree_all.dnd", "Gene3591-tree")</f>
        <v>Gene3591-tree</v>
      </c>
      <c r="O1025">
        <v>2</v>
      </c>
      <c r="P1025">
        <v>3</v>
      </c>
      <c r="Q1025">
        <v>2</v>
      </c>
      <c r="R1025">
        <v>3</v>
      </c>
      <c r="S1025">
        <v>0.6</v>
      </c>
      <c r="T1025" t="s">
        <v>135</v>
      </c>
      <c r="U1025" t="s">
        <v>84</v>
      </c>
      <c r="V1025" t="s">
        <v>62</v>
      </c>
      <c r="W1025" t="s">
        <v>62</v>
      </c>
      <c r="X1025">
        <v>0</v>
      </c>
      <c r="Y1025">
        <v>0</v>
      </c>
      <c r="Z1025">
        <v>4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3</v>
      </c>
      <c r="AK1025">
        <v>0</v>
      </c>
      <c r="AL1025">
        <v>4</v>
      </c>
      <c r="AM1025">
        <v>1</v>
      </c>
      <c r="AN1025">
        <v>12</v>
      </c>
      <c r="AO1025">
        <v>3</v>
      </c>
      <c r="AP1025">
        <v>9</v>
      </c>
      <c r="AQ1025">
        <v>1</v>
      </c>
      <c r="AR1025" t="s">
        <v>4879</v>
      </c>
      <c r="AS1025" t="s">
        <v>4880</v>
      </c>
      <c r="AT1025">
        <v>0.64300000000000002</v>
      </c>
      <c r="AU1025" t="s">
        <v>65</v>
      </c>
      <c r="AV1025">
        <v>21</v>
      </c>
      <c r="AW1025">
        <v>4</v>
      </c>
      <c r="AX1025" t="s">
        <v>4881</v>
      </c>
      <c r="AY1025" t="s">
        <v>4882</v>
      </c>
      <c r="AZ1025" t="s">
        <v>4883</v>
      </c>
      <c r="BA1025">
        <v>4.2189999999999998E-2</v>
      </c>
      <c r="BB1025">
        <v>1</v>
      </c>
      <c r="BC1025" t="s">
        <v>69</v>
      </c>
      <c r="BD1025">
        <v>0.11600000000000001</v>
      </c>
      <c r="BE1025">
        <v>-0.20699999999999999</v>
      </c>
    </row>
    <row r="1026" spans="1:57">
      <c r="A1026">
        <v>0</v>
      </c>
      <c r="B1026">
        <v>0</v>
      </c>
      <c r="C1026">
        <v>0</v>
      </c>
      <c r="D1026">
        <v>3599</v>
      </c>
      <c r="E1026" t="s">
        <v>4884</v>
      </c>
      <c r="F1026" t="s">
        <v>5761</v>
      </c>
      <c r="G1026" t="s">
        <v>57</v>
      </c>
      <c r="H1026">
        <v>3568282</v>
      </c>
      <c r="I1026">
        <v>3568488</v>
      </c>
      <c r="J1026" t="s">
        <v>1146</v>
      </c>
      <c r="K1026">
        <v>69</v>
      </c>
      <c r="L1026" t="s">
        <v>83</v>
      </c>
      <c r="M1026">
        <v>4</v>
      </c>
      <c r="N1026" t="str">
        <f>HYPERLINK("Gene3599-zp_tree_all.dnd", "Gene3599-tree")</f>
        <v>Gene3599-tree</v>
      </c>
      <c r="O1026">
        <v>1</v>
      </c>
      <c r="P1026">
        <v>3</v>
      </c>
      <c r="Q1026">
        <v>1</v>
      </c>
      <c r="R1026">
        <v>3</v>
      </c>
      <c r="S1026">
        <v>0.75</v>
      </c>
      <c r="T1026" t="s">
        <v>61</v>
      </c>
      <c r="U1026" t="s">
        <v>84</v>
      </c>
      <c r="V1026" t="s">
        <v>62</v>
      </c>
      <c r="W1026" t="s">
        <v>62</v>
      </c>
      <c r="X1026">
        <v>0</v>
      </c>
      <c r="Y1026">
        <v>0</v>
      </c>
      <c r="Z1026">
        <v>4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4</v>
      </c>
      <c r="AK1026">
        <v>0</v>
      </c>
      <c r="AL1026">
        <v>4</v>
      </c>
      <c r="AM1026">
        <v>1</v>
      </c>
      <c r="AN1026">
        <v>3</v>
      </c>
      <c r="AO1026">
        <v>4</v>
      </c>
      <c r="AP1026">
        <v>1</v>
      </c>
      <c r="AQ1026">
        <v>0</v>
      </c>
      <c r="AR1026" t="s">
        <v>4885</v>
      </c>
      <c r="AS1026" t="s">
        <v>64</v>
      </c>
      <c r="AT1026">
        <v>1.1539999999999999</v>
      </c>
      <c r="AU1026" t="s">
        <v>65</v>
      </c>
      <c r="AV1026">
        <v>4</v>
      </c>
      <c r="AW1026">
        <v>4</v>
      </c>
      <c r="AX1026" t="s">
        <v>4886</v>
      </c>
      <c r="AY1026" t="s">
        <v>4887</v>
      </c>
      <c r="AZ1026" t="s">
        <v>4888</v>
      </c>
      <c r="BA1026">
        <v>0.26752999999999999</v>
      </c>
      <c r="BB1026">
        <v>0.85199999999999998</v>
      </c>
      <c r="BC1026" t="s">
        <v>793</v>
      </c>
      <c r="BD1026">
        <v>-0.44600000000000001</v>
      </c>
      <c r="BE1026">
        <v>-0.44600000000000001</v>
      </c>
    </row>
    <row r="1027" spans="1:57">
      <c r="A1027">
        <v>0</v>
      </c>
      <c r="B1027">
        <v>0</v>
      </c>
      <c r="C1027">
        <v>0</v>
      </c>
      <c r="D1027">
        <v>3679</v>
      </c>
      <c r="E1027" t="s">
        <v>4990</v>
      </c>
      <c r="F1027" t="s">
        <v>5761</v>
      </c>
      <c r="G1027" t="s">
        <v>57</v>
      </c>
      <c r="H1027">
        <v>3646753</v>
      </c>
      <c r="I1027">
        <v>3647403</v>
      </c>
      <c r="J1027" t="s">
        <v>4991</v>
      </c>
      <c r="K1027">
        <v>217</v>
      </c>
      <c r="L1027" t="s">
        <v>112</v>
      </c>
      <c r="M1027">
        <v>4</v>
      </c>
      <c r="N1027" t="str">
        <f>HYPERLINK("Gene3679-zp_tree_all.dnd", "Gene3679-tree")</f>
        <v>Gene3679-tree</v>
      </c>
      <c r="O1027">
        <v>2</v>
      </c>
      <c r="P1027">
        <v>2</v>
      </c>
      <c r="Q1027">
        <v>2</v>
      </c>
      <c r="R1027">
        <v>2</v>
      </c>
      <c r="S1027">
        <v>0.5</v>
      </c>
      <c r="T1027" t="s">
        <v>135</v>
      </c>
      <c r="U1027" t="s">
        <v>135</v>
      </c>
      <c r="V1027" t="s">
        <v>62</v>
      </c>
      <c r="W1027" t="s">
        <v>62</v>
      </c>
      <c r="X1027">
        <v>0</v>
      </c>
      <c r="Y1027">
        <v>0</v>
      </c>
      <c r="Z1027">
        <v>6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6</v>
      </c>
      <c r="AK1027">
        <v>0</v>
      </c>
      <c r="AL1027">
        <v>4</v>
      </c>
      <c r="AM1027">
        <v>1</v>
      </c>
      <c r="AN1027">
        <v>28</v>
      </c>
      <c r="AO1027">
        <v>6</v>
      </c>
      <c r="AP1027">
        <v>4</v>
      </c>
      <c r="AQ1027">
        <v>0</v>
      </c>
      <c r="AR1027" t="s">
        <v>4992</v>
      </c>
      <c r="AS1027" t="s">
        <v>64</v>
      </c>
      <c r="AT1027">
        <v>0.63600000000000001</v>
      </c>
      <c r="AU1027" t="s">
        <v>65</v>
      </c>
      <c r="AV1027">
        <v>32</v>
      </c>
      <c r="AW1027">
        <v>6</v>
      </c>
      <c r="AX1027" t="s">
        <v>4993</v>
      </c>
      <c r="AY1027" t="s">
        <v>4994</v>
      </c>
      <c r="AZ1027" t="s">
        <v>4995</v>
      </c>
      <c r="BA1027">
        <v>4.6120000000000001E-2</v>
      </c>
      <c r="BB1027">
        <v>1</v>
      </c>
      <c r="BC1027" t="s">
        <v>69</v>
      </c>
      <c r="BD1027">
        <v>-0.33600000000000002</v>
      </c>
      <c r="BE1027">
        <v>-0.86399999999999999</v>
      </c>
    </row>
    <row r="1028" spans="1:57">
      <c r="A1028">
        <v>0</v>
      </c>
      <c r="B1028">
        <v>2</v>
      </c>
      <c r="C1028">
        <v>4</v>
      </c>
      <c r="D1028">
        <v>3717</v>
      </c>
      <c r="E1028" t="s">
        <v>4996</v>
      </c>
      <c r="F1028" t="s">
        <v>5761</v>
      </c>
      <c r="G1028" t="s">
        <v>57</v>
      </c>
      <c r="H1028">
        <v>3695363</v>
      </c>
      <c r="I1028">
        <v>3696220</v>
      </c>
      <c r="J1028" t="s">
        <v>4997</v>
      </c>
      <c r="K1028">
        <v>286</v>
      </c>
      <c r="L1028" t="s">
        <v>83</v>
      </c>
      <c r="M1028">
        <v>4</v>
      </c>
      <c r="N1028" t="str">
        <f>HYPERLINK("Gene3717-zp_tree_all.dnd", "Gene3717-tree")</f>
        <v>Gene3717-tree</v>
      </c>
      <c r="O1028">
        <v>0</v>
      </c>
      <c r="P1028">
        <v>4</v>
      </c>
      <c r="Q1028">
        <v>0</v>
      </c>
      <c r="R1028">
        <v>4</v>
      </c>
      <c r="S1028">
        <v>1</v>
      </c>
      <c r="T1028" t="s">
        <v>62</v>
      </c>
      <c r="U1028" t="s">
        <v>60</v>
      </c>
      <c r="V1028" t="s">
        <v>62</v>
      </c>
      <c r="W1028" t="s">
        <v>62</v>
      </c>
      <c r="X1028">
        <v>3</v>
      </c>
      <c r="Y1028">
        <v>6</v>
      </c>
      <c r="Z1028">
        <v>9</v>
      </c>
      <c r="AA1028">
        <v>0.4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2</v>
      </c>
      <c r="AH1028">
        <v>4</v>
      </c>
      <c r="AI1028">
        <v>6</v>
      </c>
      <c r="AJ1028">
        <v>9</v>
      </c>
      <c r="AK1028">
        <v>0.4</v>
      </c>
      <c r="AL1028">
        <v>4</v>
      </c>
      <c r="AM1028">
        <v>1</v>
      </c>
      <c r="AN1028">
        <v>43</v>
      </c>
      <c r="AO1028">
        <v>16</v>
      </c>
      <c r="AP1028">
        <v>3</v>
      </c>
      <c r="AQ1028">
        <v>0</v>
      </c>
      <c r="AR1028" t="s">
        <v>4998</v>
      </c>
      <c r="AS1028" t="s">
        <v>64</v>
      </c>
      <c r="AT1028">
        <v>1.1259999999999999</v>
      </c>
      <c r="AU1028" t="s">
        <v>65</v>
      </c>
      <c r="AV1028">
        <v>46</v>
      </c>
      <c r="AW1028">
        <v>16</v>
      </c>
      <c r="AX1028" t="s">
        <v>4999</v>
      </c>
      <c r="AY1028" t="s">
        <v>5000</v>
      </c>
      <c r="AZ1028" t="s">
        <v>5001</v>
      </c>
      <c r="BA1028">
        <v>9.128E-2</v>
      </c>
      <c r="BB1028">
        <v>1</v>
      </c>
      <c r="BC1028" t="s">
        <v>69</v>
      </c>
      <c r="BD1028">
        <v>-0.17399999999999999</v>
      </c>
      <c r="BE1028">
        <v>-1.042</v>
      </c>
    </row>
    <row r="1029" spans="1:57">
      <c r="A1029">
        <v>0</v>
      </c>
      <c r="B1029">
        <v>0</v>
      </c>
      <c r="C1029">
        <v>0</v>
      </c>
      <c r="D1029">
        <v>3766</v>
      </c>
      <c r="E1029" t="s">
        <v>5043</v>
      </c>
      <c r="F1029" t="s">
        <v>5761</v>
      </c>
      <c r="G1029" t="s">
        <v>57</v>
      </c>
      <c r="H1029">
        <v>3741182</v>
      </c>
      <c r="I1029">
        <v>3741589</v>
      </c>
      <c r="J1029" t="s">
        <v>118</v>
      </c>
      <c r="K1029">
        <v>136</v>
      </c>
      <c r="L1029" t="s">
        <v>59</v>
      </c>
      <c r="M1029">
        <v>5</v>
      </c>
      <c r="N1029" t="str">
        <f>HYPERLINK("Gene3766-zp_tree_all.dnd", "Gene3766-tree")</f>
        <v>Gene3766-tree</v>
      </c>
      <c r="O1029">
        <v>3</v>
      </c>
      <c r="P1029">
        <v>2</v>
      </c>
      <c r="Q1029">
        <v>3</v>
      </c>
      <c r="R1029">
        <v>2</v>
      </c>
      <c r="S1029">
        <v>0.4</v>
      </c>
      <c r="T1029" t="s">
        <v>84</v>
      </c>
      <c r="U1029" t="s">
        <v>135</v>
      </c>
      <c r="V1029" t="s">
        <v>62</v>
      </c>
      <c r="W1029" t="s">
        <v>62</v>
      </c>
      <c r="X1029">
        <v>0</v>
      </c>
      <c r="Y1029">
        <v>0</v>
      </c>
      <c r="Z1029">
        <v>9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6</v>
      </c>
      <c r="AK1029">
        <v>0</v>
      </c>
      <c r="AL1029">
        <v>4</v>
      </c>
      <c r="AM1029">
        <v>1</v>
      </c>
      <c r="AN1029">
        <v>12</v>
      </c>
      <c r="AO1029">
        <v>6</v>
      </c>
      <c r="AP1029">
        <v>5</v>
      </c>
      <c r="AQ1029">
        <v>4</v>
      </c>
      <c r="AR1029" t="s">
        <v>5044</v>
      </c>
      <c r="AS1029" t="s">
        <v>5045</v>
      </c>
      <c r="AT1029">
        <v>0.51100000000000001</v>
      </c>
      <c r="AU1029" t="s">
        <v>65</v>
      </c>
      <c r="AV1029">
        <v>17</v>
      </c>
      <c r="AW1029">
        <v>10</v>
      </c>
      <c r="AX1029" t="s">
        <v>5046</v>
      </c>
      <c r="AY1029" t="s">
        <v>5047</v>
      </c>
      <c r="AZ1029" t="s">
        <v>5048</v>
      </c>
      <c r="BA1029">
        <v>0.16411000000000001</v>
      </c>
      <c r="BB1029">
        <v>1</v>
      </c>
      <c r="BC1029" t="s">
        <v>69</v>
      </c>
      <c r="BD1029">
        <v>-4.8000000000000001E-2</v>
      </c>
      <c r="BE1029">
        <v>-0.28699999999999998</v>
      </c>
    </row>
    <row r="1030" spans="1:57">
      <c r="A1030">
        <v>0</v>
      </c>
      <c r="B1030">
        <v>0</v>
      </c>
      <c r="C1030">
        <v>0</v>
      </c>
      <c r="D1030">
        <v>3777</v>
      </c>
      <c r="E1030" t="s">
        <v>5067</v>
      </c>
      <c r="F1030" t="s">
        <v>5761</v>
      </c>
      <c r="G1030" t="s">
        <v>57</v>
      </c>
      <c r="H1030">
        <v>3749052</v>
      </c>
      <c r="I1030">
        <v>3749462</v>
      </c>
      <c r="J1030" t="s">
        <v>1014</v>
      </c>
      <c r="K1030">
        <v>137</v>
      </c>
      <c r="L1030" t="s">
        <v>59</v>
      </c>
      <c r="M1030">
        <v>5</v>
      </c>
      <c r="N1030" t="str">
        <f>HYPERLINK("Gene3777-zp_tree_all.dnd", "Gene3777-tree")</f>
        <v>Gene3777-tree</v>
      </c>
      <c r="O1030">
        <v>4</v>
      </c>
      <c r="P1030">
        <v>1</v>
      </c>
      <c r="Q1030">
        <v>4</v>
      </c>
      <c r="R1030">
        <v>1</v>
      </c>
      <c r="S1030">
        <v>0.2</v>
      </c>
      <c r="T1030" t="s">
        <v>60</v>
      </c>
      <c r="U1030" t="s">
        <v>61</v>
      </c>
      <c r="V1030" t="s">
        <v>62</v>
      </c>
      <c r="W1030" t="s">
        <v>62</v>
      </c>
      <c r="X1030">
        <v>0</v>
      </c>
      <c r="Y1030">
        <v>0</v>
      </c>
      <c r="Z1030">
        <v>2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1</v>
      </c>
      <c r="AK1030">
        <v>0</v>
      </c>
      <c r="AL1030">
        <v>5</v>
      </c>
      <c r="AM1030">
        <v>2</v>
      </c>
      <c r="AN1030">
        <v>11</v>
      </c>
      <c r="AO1030">
        <v>1</v>
      </c>
      <c r="AP1030">
        <v>6</v>
      </c>
      <c r="AQ1030">
        <v>1</v>
      </c>
      <c r="AR1030" t="s">
        <v>5068</v>
      </c>
      <c r="AS1030" t="s">
        <v>5069</v>
      </c>
      <c r="AT1030">
        <v>0.30299999999999999</v>
      </c>
      <c r="AU1030" t="s">
        <v>65</v>
      </c>
      <c r="AV1030">
        <v>17</v>
      </c>
      <c r="AW1030">
        <v>2</v>
      </c>
      <c r="AX1030" t="s">
        <v>5070</v>
      </c>
      <c r="AY1030" t="s">
        <v>5071</v>
      </c>
      <c r="AZ1030" t="s">
        <v>5072</v>
      </c>
      <c r="BA1030">
        <v>3.236E-2</v>
      </c>
      <c r="BB1030">
        <v>1</v>
      </c>
      <c r="BC1030" t="s">
        <v>69</v>
      </c>
      <c r="BD1030">
        <v>0.13600000000000001</v>
      </c>
      <c r="BE1030">
        <v>0.13600000000000001</v>
      </c>
    </row>
    <row r="1031" spans="1:57">
      <c r="A1031">
        <v>0</v>
      </c>
      <c r="B1031">
        <v>0</v>
      </c>
      <c r="C1031">
        <v>0</v>
      </c>
      <c r="D1031">
        <v>3786</v>
      </c>
      <c r="E1031" t="s">
        <v>5073</v>
      </c>
      <c r="F1031" t="s">
        <v>5761</v>
      </c>
      <c r="G1031" t="s">
        <v>57</v>
      </c>
      <c r="H1031">
        <v>3758016</v>
      </c>
      <c r="I1031">
        <v>3758363</v>
      </c>
      <c r="J1031" t="s">
        <v>5074</v>
      </c>
      <c r="K1031">
        <v>116</v>
      </c>
      <c r="L1031" t="s">
        <v>83</v>
      </c>
      <c r="M1031">
        <v>4</v>
      </c>
      <c r="N1031" t="str">
        <f>HYPERLINK("Gene3786-zp_tree_all.dnd", "Gene3786-tree")</f>
        <v>Gene3786-tree</v>
      </c>
      <c r="O1031">
        <v>4</v>
      </c>
      <c r="P1031">
        <v>0</v>
      </c>
      <c r="Q1031">
        <v>4</v>
      </c>
      <c r="R1031">
        <v>0</v>
      </c>
      <c r="S1031">
        <v>0</v>
      </c>
      <c r="T1031" t="s">
        <v>60</v>
      </c>
      <c r="U1031" t="s">
        <v>62</v>
      </c>
      <c r="V1031" t="s">
        <v>62</v>
      </c>
      <c r="W1031" t="s">
        <v>62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3</v>
      </c>
      <c r="AM1031">
        <v>1</v>
      </c>
      <c r="AN1031">
        <v>17</v>
      </c>
      <c r="AO1031">
        <v>0</v>
      </c>
      <c r="AP1031">
        <v>1</v>
      </c>
      <c r="AQ1031">
        <v>0</v>
      </c>
      <c r="AR1031" t="s">
        <v>64</v>
      </c>
      <c r="AS1031" t="s">
        <v>64</v>
      </c>
      <c r="AT1031">
        <v>0</v>
      </c>
      <c r="AU1031" t="s">
        <v>65</v>
      </c>
      <c r="AV1031">
        <v>18</v>
      </c>
      <c r="AW1031">
        <v>0</v>
      </c>
      <c r="AX1031" t="s">
        <v>5075</v>
      </c>
      <c r="AY1031" t="s">
        <v>5076</v>
      </c>
      <c r="AZ1031" t="s">
        <v>64</v>
      </c>
      <c r="BA1031">
        <v>0</v>
      </c>
      <c r="BB1031">
        <v>1</v>
      </c>
      <c r="BC1031" t="s">
        <v>69</v>
      </c>
      <c r="BD1031">
        <v>-0.67800000000000005</v>
      </c>
      <c r="BE1031">
        <v>-0.67800000000000005</v>
      </c>
    </row>
    <row r="1032" spans="1:57">
      <c r="A1032">
        <v>0</v>
      </c>
      <c r="B1032">
        <v>0</v>
      </c>
      <c r="C1032">
        <v>0</v>
      </c>
      <c r="D1032">
        <v>3795</v>
      </c>
      <c r="E1032" t="s">
        <v>5077</v>
      </c>
      <c r="F1032" t="s">
        <v>5761</v>
      </c>
      <c r="G1032" t="s">
        <v>57</v>
      </c>
      <c r="H1032">
        <v>3765051</v>
      </c>
      <c r="I1032">
        <v>3765431</v>
      </c>
      <c r="J1032" t="s">
        <v>2782</v>
      </c>
      <c r="K1032">
        <v>127</v>
      </c>
      <c r="L1032" t="s">
        <v>112</v>
      </c>
      <c r="M1032">
        <v>4</v>
      </c>
      <c r="N1032" t="str">
        <f>HYPERLINK("Gene3795-zp_tree_all.dnd", "Gene3795-tree")</f>
        <v>Gene3795-tree</v>
      </c>
      <c r="O1032">
        <v>2</v>
      </c>
      <c r="P1032">
        <v>2</v>
      </c>
      <c r="Q1032">
        <v>2</v>
      </c>
      <c r="R1032">
        <v>2</v>
      </c>
      <c r="S1032">
        <v>0.5</v>
      </c>
      <c r="T1032" t="s">
        <v>135</v>
      </c>
      <c r="U1032" t="s">
        <v>135</v>
      </c>
      <c r="V1032" t="s">
        <v>62</v>
      </c>
      <c r="W1032" t="s">
        <v>62</v>
      </c>
      <c r="X1032">
        <v>0</v>
      </c>
      <c r="Y1032">
        <v>0</v>
      </c>
      <c r="Z1032">
        <v>4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4</v>
      </c>
      <c r="AK1032">
        <v>0</v>
      </c>
      <c r="AL1032">
        <v>2</v>
      </c>
      <c r="AM1032">
        <v>1</v>
      </c>
      <c r="AN1032">
        <v>13</v>
      </c>
      <c r="AO1032">
        <v>5</v>
      </c>
      <c r="AP1032">
        <v>1</v>
      </c>
      <c r="AQ1032">
        <v>0</v>
      </c>
      <c r="AR1032" t="s">
        <v>5078</v>
      </c>
      <c r="AS1032" t="s">
        <v>64</v>
      </c>
      <c r="AT1032">
        <v>1.038</v>
      </c>
      <c r="AU1032" t="s">
        <v>65</v>
      </c>
      <c r="AV1032">
        <v>14</v>
      </c>
      <c r="AW1032">
        <v>5</v>
      </c>
      <c r="AX1032" t="s">
        <v>5079</v>
      </c>
      <c r="AY1032" t="s">
        <v>5080</v>
      </c>
      <c r="AZ1032" t="s">
        <v>5081</v>
      </c>
      <c r="BA1032">
        <v>8.9940000000000006E-2</v>
      </c>
      <c r="BB1032">
        <v>1</v>
      </c>
      <c r="BC1032" t="s">
        <v>69</v>
      </c>
      <c r="BD1032">
        <v>-0.68899999999999995</v>
      </c>
      <c r="BE1032">
        <v>-0.68899999999999995</v>
      </c>
    </row>
    <row r="1033" spans="1:57">
      <c r="A1033">
        <v>0</v>
      </c>
      <c r="B1033">
        <v>0</v>
      </c>
      <c r="C1033">
        <v>0</v>
      </c>
      <c r="D1033">
        <v>3850</v>
      </c>
      <c r="E1033" t="s">
        <v>5223</v>
      </c>
      <c r="F1033" t="s">
        <v>5761</v>
      </c>
      <c r="G1033" t="s">
        <v>57</v>
      </c>
      <c r="H1033">
        <v>3810090</v>
      </c>
      <c r="I1033">
        <v>3810608</v>
      </c>
      <c r="J1033" t="s">
        <v>118</v>
      </c>
      <c r="K1033">
        <v>173</v>
      </c>
      <c r="L1033" t="s">
        <v>112</v>
      </c>
      <c r="M1033">
        <v>4</v>
      </c>
      <c r="N1033" t="str">
        <f>HYPERLINK("Gene3850-zp_tree_all.dnd", "Gene3850-tree")</f>
        <v>Gene3850-tree</v>
      </c>
      <c r="O1033">
        <v>0</v>
      </c>
      <c r="P1033">
        <v>4</v>
      </c>
      <c r="Q1033">
        <v>0</v>
      </c>
      <c r="R1033">
        <v>4</v>
      </c>
      <c r="S1033">
        <v>1</v>
      </c>
      <c r="T1033" t="s">
        <v>62</v>
      </c>
      <c r="U1033" t="s">
        <v>60</v>
      </c>
      <c r="V1033" t="s">
        <v>62</v>
      </c>
      <c r="W1033" t="s">
        <v>62</v>
      </c>
      <c r="X1033">
        <v>0</v>
      </c>
      <c r="Y1033">
        <v>0</v>
      </c>
      <c r="Z1033">
        <v>8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8</v>
      </c>
      <c r="AK1033">
        <v>0</v>
      </c>
      <c r="AL1033">
        <v>4</v>
      </c>
      <c r="AM1033">
        <v>0</v>
      </c>
      <c r="AN1033">
        <v>21</v>
      </c>
      <c r="AO1033">
        <v>9</v>
      </c>
      <c r="AP1033">
        <v>0</v>
      </c>
      <c r="AQ1033">
        <v>0</v>
      </c>
      <c r="AR1033" t="s">
        <v>5224</v>
      </c>
      <c r="AS1033" t="s">
        <v>64</v>
      </c>
      <c r="AT1033">
        <v>1.3140000000000001</v>
      </c>
      <c r="AU1033" t="s">
        <v>65</v>
      </c>
      <c r="AV1033">
        <v>21</v>
      </c>
      <c r="AW1033">
        <v>9</v>
      </c>
      <c r="AX1033" t="s">
        <v>5225</v>
      </c>
      <c r="AY1033" t="s">
        <v>5226</v>
      </c>
      <c r="AZ1033" t="s">
        <v>5227</v>
      </c>
      <c r="BA1033">
        <v>0.1217</v>
      </c>
      <c r="BB1033">
        <v>1</v>
      </c>
      <c r="BC1033" t="s">
        <v>69</v>
      </c>
      <c r="BD1033">
        <v>-0.86099999999999999</v>
      </c>
      <c r="BE1033">
        <v>-0.86099999999999999</v>
      </c>
    </row>
    <row r="1034" spans="1:57">
      <c r="A1034">
        <v>0</v>
      </c>
      <c r="B1034">
        <v>0</v>
      </c>
      <c r="C1034">
        <v>0</v>
      </c>
      <c r="D1034">
        <v>3871</v>
      </c>
      <c r="E1034" t="s">
        <v>5235</v>
      </c>
      <c r="F1034" t="s">
        <v>5761</v>
      </c>
      <c r="G1034" t="s">
        <v>57</v>
      </c>
      <c r="H1034">
        <v>3836058</v>
      </c>
      <c r="I1034">
        <v>3836186</v>
      </c>
      <c r="J1034" t="s">
        <v>5236</v>
      </c>
      <c r="K1034">
        <v>43</v>
      </c>
      <c r="L1034" t="s">
        <v>59</v>
      </c>
      <c r="M1034">
        <v>5</v>
      </c>
      <c r="N1034" t="str">
        <f>HYPERLINK("Gene3871-zp_tree_all.dnd", "Gene3871-tree")</f>
        <v>Gene3871-tree</v>
      </c>
    </row>
    <row r="1035" spans="1:57">
      <c r="A1035">
        <v>0</v>
      </c>
      <c r="B1035">
        <v>0</v>
      </c>
      <c r="C1035">
        <v>0</v>
      </c>
      <c r="D1035">
        <v>3874</v>
      </c>
      <c r="E1035" t="s">
        <v>5237</v>
      </c>
      <c r="F1035" t="s">
        <v>5761</v>
      </c>
      <c r="G1035" t="s">
        <v>57</v>
      </c>
      <c r="H1035">
        <v>3837682</v>
      </c>
      <c r="I1035">
        <v>3837840</v>
      </c>
      <c r="J1035" t="s">
        <v>5238</v>
      </c>
      <c r="K1035">
        <v>53</v>
      </c>
      <c r="L1035" t="s">
        <v>59</v>
      </c>
      <c r="M1035">
        <v>5</v>
      </c>
      <c r="N1035" t="str">
        <f>HYPERLINK("Gene3874-zp_tree_all.dnd", "Gene3874-tree")</f>
        <v>Gene3874-tree</v>
      </c>
    </row>
    <row r="1036" spans="1:57">
      <c r="A1036">
        <v>0</v>
      </c>
      <c r="B1036">
        <v>2</v>
      </c>
      <c r="C1036">
        <v>0</v>
      </c>
      <c r="D1036">
        <v>3882</v>
      </c>
      <c r="E1036" t="s">
        <v>5239</v>
      </c>
      <c r="F1036" t="s">
        <v>5761</v>
      </c>
      <c r="G1036" t="s">
        <v>57</v>
      </c>
      <c r="H1036">
        <v>3846001</v>
      </c>
      <c r="I1036">
        <v>3847143</v>
      </c>
      <c r="J1036" t="s">
        <v>5240</v>
      </c>
      <c r="K1036">
        <v>381</v>
      </c>
      <c r="L1036" t="s">
        <v>83</v>
      </c>
      <c r="M1036">
        <v>4</v>
      </c>
      <c r="N1036" t="str">
        <f>HYPERLINK("Gene3882-zp_tree_all.dnd", "Gene3882-tree")</f>
        <v>Gene3882-tree</v>
      </c>
      <c r="O1036">
        <v>0</v>
      </c>
      <c r="P1036">
        <v>4</v>
      </c>
      <c r="Q1036">
        <v>0</v>
      </c>
      <c r="R1036">
        <v>4</v>
      </c>
      <c r="S1036">
        <v>1</v>
      </c>
      <c r="T1036" t="s">
        <v>62</v>
      </c>
      <c r="U1036" t="s">
        <v>60</v>
      </c>
      <c r="V1036" t="s">
        <v>62</v>
      </c>
      <c r="W1036" t="s">
        <v>62</v>
      </c>
      <c r="X1036">
        <v>1</v>
      </c>
      <c r="Y1036">
        <v>2</v>
      </c>
      <c r="Z1036">
        <v>15</v>
      </c>
      <c r="AA1036">
        <v>0.11765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2</v>
      </c>
      <c r="AH1036">
        <v>0</v>
      </c>
      <c r="AI1036">
        <v>2</v>
      </c>
      <c r="AJ1036">
        <v>13</v>
      </c>
      <c r="AK1036">
        <v>0.13333</v>
      </c>
      <c r="AL1036">
        <v>4</v>
      </c>
      <c r="AM1036">
        <v>1</v>
      </c>
      <c r="AN1036">
        <v>35</v>
      </c>
      <c r="AO1036">
        <v>15</v>
      </c>
      <c r="AP1036">
        <v>5</v>
      </c>
      <c r="AQ1036">
        <v>2</v>
      </c>
      <c r="AR1036" t="s">
        <v>5241</v>
      </c>
      <c r="AS1036" t="s">
        <v>5242</v>
      </c>
      <c r="AT1036">
        <v>6.0000000000000001E-3</v>
      </c>
      <c r="AU1036" t="s">
        <v>65</v>
      </c>
      <c r="AV1036">
        <v>40</v>
      </c>
      <c r="AW1036">
        <v>17</v>
      </c>
      <c r="AX1036" t="s">
        <v>5243</v>
      </c>
      <c r="AY1036" t="s">
        <v>5244</v>
      </c>
      <c r="AZ1036" t="s">
        <v>5245</v>
      </c>
      <c r="BA1036">
        <v>0.10051</v>
      </c>
      <c r="BB1036">
        <v>1</v>
      </c>
      <c r="BC1036" t="s">
        <v>69</v>
      </c>
      <c r="BD1036">
        <v>-0.41299999999999998</v>
      </c>
      <c r="BE1036">
        <v>-0.41299999999999998</v>
      </c>
    </row>
    <row r="1037" spans="1:57">
      <c r="A1037">
        <v>0</v>
      </c>
      <c r="B1037">
        <v>0</v>
      </c>
      <c r="C1037">
        <v>0</v>
      </c>
      <c r="D1037">
        <v>3883</v>
      </c>
      <c r="E1037" t="s">
        <v>5246</v>
      </c>
      <c r="F1037" t="s">
        <v>5761</v>
      </c>
      <c r="G1037" t="s">
        <v>57</v>
      </c>
      <c r="H1037">
        <v>3847130</v>
      </c>
      <c r="I1037">
        <v>3847246</v>
      </c>
      <c r="J1037" t="s">
        <v>5247</v>
      </c>
      <c r="K1037">
        <v>39</v>
      </c>
      <c r="L1037" t="s">
        <v>83</v>
      </c>
      <c r="M1037">
        <v>4</v>
      </c>
      <c r="N1037" t="str">
        <f>HYPERLINK("Gene3883-zp_tree_all.dnd", "Gene3883-tree")</f>
        <v>Gene3883-tree</v>
      </c>
    </row>
    <row r="1038" spans="1:57">
      <c r="A1038">
        <v>0</v>
      </c>
      <c r="B1038">
        <v>0</v>
      </c>
      <c r="C1038">
        <v>0</v>
      </c>
      <c r="D1038">
        <v>3890</v>
      </c>
      <c r="E1038" t="s">
        <v>5254</v>
      </c>
      <c r="F1038" t="s">
        <v>5761</v>
      </c>
      <c r="G1038" t="s">
        <v>57</v>
      </c>
      <c r="H1038">
        <v>3853486</v>
      </c>
      <c r="I1038">
        <v>3853671</v>
      </c>
      <c r="J1038" t="s">
        <v>5255</v>
      </c>
      <c r="K1038">
        <v>62</v>
      </c>
      <c r="L1038" t="s">
        <v>59</v>
      </c>
      <c r="M1038">
        <v>5</v>
      </c>
      <c r="N1038" t="str">
        <f>HYPERLINK("Gene3890-zp_tree_all.dnd", "Gene3890-tree")</f>
        <v>Gene3890-tree</v>
      </c>
    </row>
    <row r="1039" spans="1:57">
      <c r="A1039">
        <v>0</v>
      </c>
      <c r="B1039">
        <v>0</v>
      </c>
      <c r="C1039">
        <v>0</v>
      </c>
      <c r="D1039">
        <v>3938</v>
      </c>
      <c r="E1039" t="s">
        <v>5292</v>
      </c>
      <c r="F1039" t="s">
        <v>5761</v>
      </c>
      <c r="G1039" t="s">
        <v>57</v>
      </c>
      <c r="H1039">
        <v>3900963</v>
      </c>
      <c r="I1039">
        <v>3901775</v>
      </c>
      <c r="J1039" t="s">
        <v>5293</v>
      </c>
      <c r="K1039">
        <v>271</v>
      </c>
      <c r="L1039" t="s">
        <v>59</v>
      </c>
      <c r="M1039">
        <v>5</v>
      </c>
      <c r="N1039" t="str">
        <f>HYPERLINK("Gene3938-zp_tree_all.dnd", "Gene3938-tree")</f>
        <v>Gene3938-tree</v>
      </c>
      <c r="O1039">
        <v>1</v>
      </c>
      <c r="P1039">
        <v>4</v>
      </c>
      <c r="Q1039">
        <v>1</v>
      </c>
      <c r="R1039">
        <v>3</v>
      </c>
      <c r="S1039">
        <v>0.75</v>
      </c>
      <c r="T1039" t="s">
        <v>61</v>
      </c>
      <c r="U1039" t="s">
        <v>119</v>
      </c>
      <c r="V1039">
        <v>5</v>
      </c>
      <c r="W1039" t="s">
        <v>286</v>
      </c>
      <c r="X1039">
        <v>0</v>
      </c>
      <c r="Y1039">
        <v>0</v>
      </c>
      <c r="Z1039">
        <v>4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4</v>
      </c>
      <c r="AK1039">
        <v>0</v>
      </c>
      <c r="AL1039">
        <v>4</v>
      </c>
      <c r="AM1039">
        <v>1</v>
      </c>
      <c r="AN1039">
        <v>34</v>
      </c>
      <c r="AO1039">
        <v>3</v>
      </c>
      <c r="AP1039">
        <v>21</v>
      </c>
      <c r="AQ1039">
        <v>1</v>
      </c>
      <c r="AR1039" t="s">
        <v>5294</v>
      </c>
      <c r="AS1039" t="s">
        <v>5295</v>
      </c>
      <c r="AT1039">
        <v>1.5980000000000001</v>
      </c>
      <c r="AU1039" t="s">
        <v>65</v>
      </c>
      <c r="AV1039">
        <v>55</v>
      </c>
      <c r="AW1039">
        <v>4</v>
      </c>
      <c r="AX1039" t="s">
        <v>5296</v>
      </c>
      <c r="AY1039" t="s">
        <v>5297</v>
      </c>
      <c r="AZ1039" t="s">
        <v>5298</v>
      </c>
      <c r="BA1039">
        <v>1.968E-2</v>
      </c>
      <c r="BB1039">
        <v>1</v>
      </c>
      <c r="BC1039" t="s">
        <v>69</v>
      </c>
      <c r="BD1039">
        <v>0.372</v>
      </c>
      <c r="BE1039">
        <v>0.114</v>
      </c>
    </row>
    <row r="1040" spans="1:57">
      <c r="A1040">
        <v>0</v>
      </c>
      <c r="B1040">
        <v>0</v>
      </c>
      <c r="C1040">
        <v>0</v>
      </c>
      <c r="D1040">
        <v>3949</v>
      </c>
      <c r="E1040" t="s">
        <v>5309</v>
      </c>
      <c r="F1040" t="s">
        <v>5761</v>
      </c>
      <c r="G1040" t="s">
        <v>57</v>
      </c>
      <c r="H1040">
        <v>3914009</v>
      </c>
      <c r="I1040">
        <v>3914269</v>
      </c>
      <c r="J1040" t="s">
        <v>5310</v>
      </c>
      <c r="K1040">
        <v>87</v>
      </c>
      <c r="L1040" t="s">
        <v>59</v>
      </c>
      <c r="M1040">
        <v>5</v>
      </c>
      <c r="N1040" t="str">
        <f>HYPERLINK("Gene3949-zp_tree_all.dnd", "Gene3949-tree")</f>
        <v>Gene3949-tree</v>
      </c>
      <c r="O1040">
        <v>5</v>
      </c>
      <c r="P1040">
        <v>0</v>
      </c>
      <c r="Q1040">
        <v>5</v>
      </c>
      <c r="R1040">
        <v>0</v>
      </c>
      <c r="S1040">
        <v>0</v>
      </c>
      <c r="T1040" t="s">
        <v>98</v>
      </c>
      <c r="U1040" t="s">
        <v>62</v>
      </c>
      <c r="V1040" t="s">
        <v>62</v>
      </c>
      <c r="W1040" t="s">
        <v>62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4</v>
      </c>
      <c r="AM1040">
        <v>1</v>
      </c>
      <c r="AN1040">
        <v>7</v>
      </c>
      <c r="AO1040">
        <v>0</v>
      </c>
      <c r="AP1040">
        <v>6</v>
      </c>
      <c r="AQ1040">
        <v>0</v>
      </c>
      <c r="AR1040" t="s">
        <v>64</v>
      </c>
      <c r="AS1040" t="s">
        <v>64</v>
      </c>
      <c r="AT1040">
        <v>0</v>
      </c>
      <c r="AU1040" t="s">
        <v>65</v>
      </c>
      <c r="AV1040">
        <v>13</v>
      </c>
      <c r="AW1040">
        <v>0</v>
      </c>
      <c r="AX1040" t="s">
        <v>5311</v>
      </c>
      <c r="AY1040" t="s">
        <v>5312</v>
      </c>
      <c r="AZ1040" t="s">
        <v>64</v>
      </c>
      <c r="BA1040">
        <v>0</v>
      </c>
      <c r="BB1040">
        <v>1</v>
      </c>
      <c r="BC1040" t="s">
        <v>69</v>
      </c>
      <c r="BD1040">
        <v>0.186</v>
      </c>
      <c r="BE1040">
        <v>0.186</v>
      </c>
    </row>
    <row r="1041" spans="1:57">
      <c r="A1041">
        <v>0</v>
      </c>
      <c r="B1041">
        <v>0</v>
      </c>
      <c r="C1041">
        <v>0</v>
      </c>
      <c r="D1041">
        <v>3969</v>
      </c>
      <c r="E1041" t="s">
        <v>5340</v>
      </c>
      <c r="F1041" t="s">
        <v>5761</v>
      </c>
      <c r="G1041" t="s">
        <v>57</v>
      </c>
      <c r="H1041">
        <v>3933209</v>
      </c>
      <c r="I1041">
        <v>3933592</v>
      </c>
      <c r="J1041" t="s">
        <v>5341</v>
      </c>
      <c r="K1041">
        <v>128</v>
      </c>
      <c r="L1041" t="s">
        <v>59</v>
      </c>
      <c r="M1041">
        <v>5</v>
      </c>
      <c r="N1041" t="str">
        <f>HYPERLINK("Gene3969-zp_tree_all.dnd", "Gene3969-tree")</f>
        <v>Gene3969-tree</v>
      </c>
      <c r="O1041">
        <v>3</v>
      </c>
      <c r="P1041">
        <v>1</v>
      </c>
      <c r="Q1041">
        <v>3</v>
      </c>
      <c r="R1041">
        <v>1</v>
      </c>
      <c r="S1041">
        <v>0.25</v>
      </c>
      <c r="T1041" t="s">
        <v>84</v>
      </c>
      <c r="U1041" t="s">
        <v>61</v>
      </c>
      <c r="V1041" t="s">
        <v>62</v>
      </c>
      <c r="W1041" t="s">
        <v>62</v>
      </c>
      <c r="X1041">
        <v>0</v>
      </c>
      <c r="Y1041">
        <v>0</v>
      </c>
      <c r="Z1041">
        <v>2</v>
      </c>
      <c r="AA1041">
        <v>0</v>
      </c>
      <c r="AB1041">
        <v>0</v>
      </c>
      <c r="AC1041">
        <v>0</v>
      </c>
      <c r="AD1041">
        <v>0</v>
      </c>
      <c r="AE1041">
        <v>1</v>
      </c>
      <c r="AF1041">
        <v>0</v>
      </c>
      <c r="AG1041">
        <v>0</v>
      </c>
      <c r="AH1041">
        <v>0</v>
      </c>
      <c r="AI1041">
        <v>0</v>
      </c>
      <c r="AJ1041">
        <v>1</v>
      </c>
      <c r="AK1041">
        <v>0</v>
      </c>
      <c r="AL1041">
        <v>3</v>
      </c>
      <c r="AM1041">
        <v>1</v>
      </c>
      <c r="AN1041">
        <v>9</v>
      </c>
      <c r="AO1041">
        <v>1</v>
      </c>
      <c r="AP1041">
        <v>5</v>
      </c>
      <c r="AQ1041">
        <v>1</v>
      </c>
      <c r="AR1041" t="s">
        <v>5342</v>
      </c>
      <c r="AS1041" t="s">
        <v>5343</v>
      </c>
      <c r="AT1041">
        <v>0.60599999999999998</v>
      </c>
      <c r="AU1041" t="s">
        <v>65</v>
      </c>
      <c r="AV1041">
        <v>14</v>
      </c>
      <c r="AW1041">
        <v>2</v>
      </c>
      <c r="AX1041" t="s">
        <v>5344</v>
      </c>
      <c r="AY1041" t="s">
        <v>5345</v>
      </c>
      <c r="AZ1041" t="s">
        <v>5346</v>
      </c>
      <c r="BA1041">
        <v>4.5609999999999998E-2</v>
      </c>
      <c r="BB1041">
        <v>1</v>
      </c>
      <c r="BC1041" t="s">
        <v>69</v>
      </c>
      <c r="BD1041">
        <v>1.4219999999999999</v>
      </c>
      <c r="BE1041">
        <v>1.4219999999999999</v>
      </c>
    </row>
    <row r="1042" spans="1:57">
      <c r="A1042">
        <v>0</v>
      </c>
      <c r="B1042">
        <v>3</v>
      </c>
      <c r="C1042">
        <v>0</v>
      </c>
      <c r="D1042">
        <v>3970</v>
      </c>
      <c r="E1042" t="s">
        <v>5347</v>
      </c>
      <c r="F1042" t="s">
        <v>5761</v>
      </c>
      <c r="G1042" t="s">
        <v>57</v>
      </c>
      <c r="H1042">
        <v>3933577</v>
      </c>
      <c r="I1042">
        <v>3934251</v>
      </c>
      <c r="J1042" t="s">
        <v>5348</v>
      </c>
      <c r="K1042">
        <v>225</v>
      </c>
      <c r="L1042" t="s">
        <v>59</v>
      </c>
      <c r="M1042">
        <v>5</v>
      </c>
      <c r="N1042" t="str">
        <f>HYPERLINK("Gene3970-zp_tree_all.dnd", "Gene3970-tree")</f>
        <v>Gene3970-tree</v>
      </c>
      <c r="O1042">
        <v>1</v>
      </c>
      <c r="P1042">
        <v>4</v>
      </c>
      <c r="Q1042">
        <v>1</v>
      </c>
      <c r="R1042">
        <v>4</v>
      </c>
      <c r="S1042">
        <v>0.8</v>
      </c>
      <c r="T1042" t="s">
        <v>61</v>
      </c>
      <c r="U1042" t="s">
        <v>60</v>
      </c>
      <c r="V1042" t="s">
        <v>62</v>
      </c>
      <c r="W1042" t="s">
        <v>62</v>
      </c>
      <c r="X1042">
        <v>1</v>
      </c>
      <c r="Y1042">
        <v>3</v>
      </c>
      <c r="Z1042">
        <v>3</v>
      </c>
      <c r="AA1042">
        <v>0.5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3</v>
      </c>
      <c r="AH1042">
        <v>0</v>
      </c>
      <c r="AI1042">
        <v>3</v>
      </c>
      <c r="AJ1042">
        <v>3</v>
      </c>
      <c r="AK1042">
        <v>0.5</v>
      </c>
      <c r="AL1042">
        <v>5</v>
      </c>
      <c r="AM1042">
        <v>2</v>
      </c>
      <c r="AN1042">
        <v>29</v>
      </c>
      <c r="AO1042">
        <v>6</v>
      </c>
      <c r="AP1042">
        <v>16</v>
      </c>
      <c r="AQ1042">
        <v>1</v>
      </c>
      <c r="AR1042" t="s">
        <v>5349</v>
      </c>
      <c r="AS1042" t="s">
        <v>5350</v>
      </c>
      <c r="AT1042">
        <v>1.5660000000000001</v>
      </c>
      <c r="AU1042" t="s">
        <v>65</v>
      </c>
      <c r="AV1042">
        <v>45</v>
      </c>
      <c r="AW1042">
        <v>7</v>
      </c>
      <c r="AX1042" t="s">
        <v>5351</v>
      </c>
      <c r="AY1042" t="s">
        <v>5352</v>
      </c>
      <c r="AZ1042" t="s">
        <v>5353</v>
      </c>
      <c r="BA1042">
        <v>4.2869999999999998E-2</v>
      </c>
      <c r="BB1042">
        <v>1</v>
      </c>
      <c r="BC1042" t="s">
        <v>69</v>
      </c>
      <c r="BD1042">
        <v>0.246</v>
      </c>
      <c r="BE1042">
        <v>-9.6000000000000002E-2</v>
      </c>
    </row>
    <row r="1043" spans="1:57">
      <c r="A1043">
        <v>0</v>
      </c>
      <c r="B1043">
        <v>0</v>
      </c>
      <c r="C1043">
        <v>0</v>
      </c>
      <c r="D1043">
        <v>3979</v>
      </c>
      <c r="E1043" t="s">
        <v>5354</v>
      </c>
      <c r="F1043" t="s">
        <v>5761</v>
      </c>
      <c r="G1043" t="s">
        <v>57</v>
      </c>
      <c r="H1043">
        <v>3943667</v>
      </c>
      <c r="I1043">
        <v>3944506</v>
      </c>
      <c r="J1043" t="s">
        <v>5355</v>
      </c>
      <c r="K1043">
        <v>280</v>
      </c>
      <c r="L1043" t="s">
        <v>59</v>
      </c>
      <c r="M1043">
        <v>5</v>
      </c>
      <c r="N1043" t="str">
        <f>HYPERLINK("Gene3979-zp_tree_all.dnd", "Gene3979-tree")</f>
        <v>Gene3979-tree</v>
      </c>
      <c r="O1043">
        <v>2</v>
      </c>
      <c r="P1043">
        <v>3</v>
      </c>
      <c r="Q1043">
        <v>2</v>
      </c>
      <c r="R1043">
        <v>3</v>
      </c>
      <c r="S1043">
        <v>0.6</v>
      </c>
      <c r="T1043" t="s">
        <v>135</v>
      </c>
      <c r="U1043" t="s">
        <v>84</v>
      </c>
      <c r="V1043" t="s">
        <v>62</v>
      </c>
      <c r="W1043" t="s">
        <v>62</v>
      </c>
      <c r="X1043">
        <v>0</v>
      </c>
      <c r="Y1043">
        <v>0</v>
      </c>
      <c r="Z1043">
        <v>11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6</v>
      </c>
      <c r="AK1043">
        <v>0</v>
      </c>
      <c r="AL1043">
        <v>5</v>
      </c>
      <c r="AM1043">
        <v>2</v>
      </c>
      <c r="AN1043">
        <v>21</v>
      </c>
      <c r="AO1043">
        <v>6</v>
      </c>
      <c r="AP1043">
        <v>28</v>
      </c>
      <c r="AQ1043">
        <v>5</v>
      </c>
      <c r="AR1043" t="s">
        <v>5356</v>
      </c>
      <c r="AS1043" t="s">
        <v>5357</v>
      </c>
      <c r="AT1043">
        <v>0.55100000000000005</v>
      </c>
      <c r="AU1043" t="s">
        <v>65</v>
      </c>
      <c r="AV1043">
        <v>49</v>
      </c>
      <c r="AW1043">
        <v>11</v>
      </c>
      <c r="AX1043" t="s">
        <v>5358</v>
      </c>
      <c r="AY1043" t="s">
        <v>5359</v>
      </c>
      <c r="AZ1043" t="s">
        <v>5360</v>
      </c>
      <c r="BA1043">
        <v>5.1180000000000003E-2</v>
      </c>
      <c r="BB1043">
        <v>1</v>
      </c>
      <c r="BC1043" t="s">
        <v>69</v>
      </c>
      <c r="BD1043">
        <v>0.61399999999999999</v>
      </c>
      <c r="BE1043">
        <v>0.36899999999999999</v>
      </c>
    </row>
    <row r="1044" spans="1:57">
      <c r="A1044">
        <v>0</v>
      </c>
      <c r="B1044">
        <v>0</v>
      </c>
      <c r="C1044">
        <v>2</v>
      </c>
      <c r="D1044">
        <v>3989</v>
      </c>
      <c r="E1044" t="s">
        <v>5373</v>
      </c>
      <c r="F1044" t="s">
        <v>5761</v>
      </c>
      <c r="G1044" t="s">
        <v>57</v>
      </c>
      <c r="H1044">
        <v>3953783</v>
      </c>
      <c r="I1044">
        <v>3954967</v>
      </c>
      <c r="J1044" t="s">
        <v>5374</v>
      </c>
      <c r="K1044">
        <v>395</v>
      </c>
      <c r="L1044" t="s">
        <v>59</v>
      </c>
      <c r="M1044">
        <v>5</v>
      </c>
      <c r="N1044" t="str">
        <f>HYPERLINK("Gene3989-zp_tree_all.dnd", "Gene3989-tree")</f>
        <v>Gene3989-tree</v>
      </c>
      <c r="O1044">
        <v>2</v>
      </c>
      <c r="P1044">
        <v>3</v>
      </c>
      <c r="Q1044">
        <v>2</v>
      </c>
      <c r="R1044">
        <v>3</v>
      </c>
      <c r="S1044">
        <v>0.6</v>
      </c>
      <c r="T1044" t="s">
        <v>135</v>
      </c>
      <c r="U1044" t="s">
        <v>84</v>
      </c>
      <c r="V1044" t="s">
        <v>62</v>
      </c>
      <c r="W1044" t="s">
        <v>62</v>
      </c>
      <c r="X1044">
        <v>1</v>
      </c>
      <c r="Y1044">
        <v>2</v>
      </c>
      <c r="Z1044">
        <v>2</v>
      </c>
      <c r="AA1044">
        <v>0.5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3</v>
      </c>
      <c r="AK1044">
        <v>0</v>
      </c>
      <c r="AL1044">
        <v>5</v>
      </c>
      <c r="AM1044">
        <v>2</v>
      </c>
      <c r="AN1044">
        <v>12</v>
      </c>
      <c r="AO1044">
        <v>3</v>
      </c>
      <c r="AP1044">
        <v>45</v>
      </c>
      <c r="AQ1044">
        <v>1</v>
      </c>
      <c r="AR1044" t="s">
        <v>5375</v>
      </c>
      <c r="AS1044" t="s">
        <v>5376</v>
      </c>
      <c r="AT1044">
        <v>2.3450000000000002</v>
      </c>
      <c r="AU1044" t="s">
        <v>286</v>
      </c>
      <c r="AV1044">
        <v>57</v>
      </c>
      <c r="AW1044">
        <v>4</v>
      </c>
      <c r="AX1044" t="s">
        <v>5377</v>
      </c>
      <c r="AY1044" t="s">
        <v>5378</v>
      </c>
      <c r="AZ1044" t="s">
        <v>5379</v>
      </c>
      <c r="BA1044">
        <v>1.5010000000000001E-2</v>
      </c>
      <c r="BB1044">
        <v>1</v>
      </c>
      <c r="BC1044" t="s">
        <v>69</v>
      </c>
      <c r="BD1044">
        <v>1.347</v>
      </c>
      <c r="BE1044">
        <v>1.347</v>
      </c>
    </row>
    <row r="1045" spans="1:57">
      <c r="A1045">
        <v>0</v>
      </c>
      <c r="B1045">
        <v>0</v>
      </c>
      <c r="C1045">
        <v>0</v>
      </c>
      <c r="D1045">
        <v>3990</v>
      </c>
      <c r="E1045" t="s">
        <v>5380</v>
      </c>
      <c r="F1045" t="s">
        <v>5761</v>
      </c>
      <c r="G1045" t="s">
        <v>57</v>
      </c>
      <c r="H1045">
        <v>3954987</v>
      </c>
      <c r="I1045">
        <v>3955220</v>
      </c>
      <c r="J1045" t="s">
        <v>5381</v>
      </c>
      <c r="K1045">
        <v>78</v>
      </c>
      <c r="L1045" t="s">
        <v>59</v>
      </c>
      <c r="M1045">
        <v>5</v>
      </c>
      <c r="N1045" t="str">
        <f>HYPERLINK("Gene3990-zp_tree_all.dnd", "Gene3990-tree")</f>
        <v>Gene3990-tree</v>
      </c>
    </row>
    <row r="1046" spans="1:57">
      <c r="A1046">
        <v>0</v>
      </c>
      <c r="B1046">
        <v>0</v>
      </c>
      <c r="C1046">
        <v>0</v>
      </c>
      <c r="D1046">
        <v>3992</v>
      </c>
      <c r="E1046" t="s">
        <v>5382</v>
      </c>
      <c r="F1046" t="s">
        <v>5761</v>
      </c>
      <c r="G1046" t="s">
        <v>57</v>
      </c>
      <c r="H1046">
        <v>3956492</v>
      </c>
      <c r="I1046">
        <v>3957247</v>
      </c>
      <c r="J1046" t="s">
        <v>4763</v>
      </c>
      <c r="K1046">
        <v>252</v>
      </c>
      <c r="L1046" t="s">
        <v>83</v>
      </c>
      <c r="M1046">
        <v>4</v>
      </c>
      <c r="N1046" t="str">
        <f>HYPERLINK("Gene3992-zp_tree_all.dnd", "Gene3992-tree")</f>
        <v>Gene3992-tree</v>
      </c>
      <c r="O1046">
        <v>0</v>
      </c>
      <c r="P1046">
        <v>4</v>
      </c>
      <c r="Q1046">
        <v>0</v>
      </c>
      <c r="R1046">
        <v>4</v>
      </c>
      <c r="S1046">
        <v>1</v>
      </c>
      <c r="T1046" t="s">
        <v>62</v>
      </c>
      <c r="U1046" t="s">
        <v>60</v>
      </c>
      <c r="V1046" t="s">
        <v>62</v>
      </c>
      <c r="W1046" t="s">
        <v>62</v>
      </c>
      <c r="X1046">
        <v>0</v>
      </c>
      <c r="Y1046">
        <v>0</v>
      </c>
      <c r="Z1046">
        <v>10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10</v>
      </c>
      <c r="AK1046">
        <v>0</v>
      </c>
      <c r="AL1046">
        <v>4</v>
      </c>
      <c r="AM1046">
        <v>1</v>
      </c>
      <c r="AN1046">
        <v>32</v>
      </c>
      <c r="AO1046">
        <v>11</v>
      </c>
      <c r="AP1046">
        <v>3</v>
      </c>
      <c r="AQ1046">
        <v>0</v>
      </c>
      <c r="AR1046" t="s">
        <v>5383</v>
      </c>
      <c r="AS1046" t="s">
        <v>64</v>
      </c>
      <c r="AT1046">
        <v>0.95199999999999996</v>
      </c>
      <c r="AU1046" t="s">
        <v>65</v>
      </c>
      <c r="AV1046">
        <v>35</v>
      </c>
      <c r="AW1046">
        <v>11</v>
      </c>
      <c r="AX1046" t="s">
        <v>5384</v>
      </c>
      <c r="AY1046" t="s">
        <v>5385</v>
      </c>
      <c r="AZ1046" t="s">
        <v>5386</v>
      </c>
      <c r="BA1046">
        <v>8.3320000000000005E-2</v>
      </c>
      <c r="BB1046">
        <v>1</v>
      </c>
      <c r="BC1046" t="s">
        <v>69</v>
      </c>
      <c r="BD1046">
        <v>-0.51300000000000001</v>
      </c>
      <c r="BE1046">
        <v>-0.72499999999999998</v>
      </c>
    </row>
    <row r="1047" spans="1:57">
      <c r="A1047">
        <v>0</v>
      </c>
      <c r="B1047">
        <v>0</v>
      </c>
      <c r="C1047">
        <v>0</v>
      </c>
      <c r="D1047">
        <v>3993</v>
      </c>
      <c r="E1047" t="s">
        <v>5387</v>
      </c>
      <c r="F1047" t="s">
        <v>5761</v>
      </c>
      <c r="G1047" t="s">
        <v>57</v>
      </c>
      <c r="H1047">
        <v>3957391</v>
      </c>
      <c r="I1047">
        <v>3958479</v>
      </c>
      <c r="J1047" t="s">
        <v>5388</v>
      </c>
      <c r="K1047">
        <v>363</v>
      </c>
      <c r="L1047" t="s">
        <v>59</v>
      </c>
      <c r="M1047">
        <v>5</v>
      </c>
      <c r="N1047" t="str">
        <f>HYPERLINK("Gene3993-zp_tree_all.dnd", "Gene3993-tree")</f>
        <v>Gene3993-tree</v>
      </c>
      <c r="O1047">
        <v>2</v>
      </c>
      <c r="P1047">
        <v>3</v>
      </c>
      <c r="Q1047">
        <v>2</v>
      </c>
      <c r="R1047">
        <v>3</v>
      </c>
      <c r="S1047">
        <v>0.6</v>
      </c>
      <c r="T1047" t="s">
        <v>135</v>
      </c>
      <c r="U1047" t="s">
        <v>84</v>
      </c>
      <c r="V1047" t="s">
        <v>62</v>
      </c>
      <c r="W1047" t="s">
        <v>62</v>
      </c>
      <c r="X1047">
        <v>0</v>
      </c>
      <c r="Y1047">
        <v>0</v>
      </c>
      <c r="Z1047">
        <v>8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5</v>
      </c>
      <c r="AK1047">
        <v>0</v>
      </c>
      <c r="AL1047">
        <v>5</v>
      </c>
      <c r="AM1047">
        <v>2</v>
      </c>
      <c r="AN1047">
        <v>36</v>
      </c>
      <c r="AO1047">
        <v>5</v>
      </c>
      <c r="AP1047">
        <v>26</v>
      </c>
      <c r="AQ1047">
        <v>3</v>
      </c>
      <c r="AR1047" t="s">
        <v>5389</v>
      </c>
      <c r="AS1047" t="s">
        <v>5390</v>
      </c>
      <c r="AT1047">
        <v>0.214</v>
      </c>
      <c r="AU1047" t="s">
        <v>65</v>
      </c>
      <c r="AV1047">
        <v>62</v>
      </c>
      <c r="AW1047">
        <v>8</v>
      </c>
      <c r="AX1047" t="s">
        <v>5391</v>
      </c>
      <c r="AY1047" t="s">
        <v>5392</v>
      </c>
      <c r="AZ1047" t="s">
        <v>5393</v>
      </c>
      <c r="BA1047">
        <v>3.9039999999999998E-2</v>
      </c>
      <c r="BB1047">
        <v>1</v>
      </c>
      <c r="BC1047" t="s">
        <v>69</v>
      </c>
      <c r="BD1047">
        <v>0.66200000000000003</v>
      </c>
      <c r="BE1047">
        <v>0.55500000000000005</v>
      </c>
    </row>
    <row r="1048" spans="1:57">
      <c r="A1048">
        <v>0</v>
      </c>
      <c r="B1048">
        <v>0</v>
      </c>
      <c r="C1048">
        <v>0</v>
      </c>
      <c r="D1048">
        <v>4023</v>
      </c>
      <c r="E1048" t="s">
        <v>5426</v>
      </c>
      <c r="F1048" t="s">
        <v>5761</v>
      </c>
      <c r="G1048" t="s">
        <v>57</v>
      </c>
      <c r="H1048">
        <v>3989331</v>
      </c>
      <c r="I1048">
        <v>3989870</v>
      </c>
      <c r="J1048" t="s">
        <v>118</v>
      </c>
      <c r="K1048">
        <v>180</v>
      </c>
      <c r="L1048" t="s">
        <v>3633</v>
      </c>
      <c r="M1048">
        <v>4</v>
      </c>
      <c r="N1048" t="str">
        <f>HYPERLINK("Gene4023-zp_tree_all.dnd", "Gene4023-tree")</f>
        <v>Gene4023-tree</v>
      </c>
      <c r="O1048">
        <v>3</v>
      </c>
      <c r="P1048">
        <v>1</v>
      </c>
      <c r="Q1048">
        <v>3</v>
      </c>
      <c r="R1048">
        <v>1</v>
      </c>
      <c r="S1048">
        <v>0.25</v>
      </c>
      <c r="T1048" t="s">
        <v>84</v>
      </c>
      <c r="U1048" t="s">
        <v>61</v>
      </c>
      <c r="V1048" t="s">
        <v>62</v>
      </c>
      <c r="W1048" t="s">
        <v>62</v>
      </c>
      <c r="X1048">
        <v>0</v>
      </c>
      <c r="Y1048">
        <v>0</v>
      </c>
      <c r="Z1048">
        <v>2</v>
      </c>
      <c r="AA1048">
        <v>0</v>
      </c>
      <c r="AB1048">
        <v>0</v>
      </c>
      <c r="AC1048">
        <v>0</v>
      </c>
      <c r="AD1048">
        <v>0</v>
      </c>
      <c r="AE1048">
        <v>1</v>
      </c>
      <c r="AF1048">
        <v>0</v>
      </c>
      <c r="AG1048">
        <v>0</v>
      </c>
      <c r="AH1048">
        <v>0</v>
      </c>
      <c r="AI1048">
        <v>0</v>
      </c>
      <c r="AJ1048">
        <v>1</v>
      </c>
      <c r="AK1048">
        <v>0</v>
      </c>
      <c r="AL1048">
        <v>3</v>
      </c>
      <c r="AM1048">
        <v>1</v>
      </c>
      <c r="AN1048">
        <v>15</v>
      </c>
      <c r="AO1048">
        <v>1</v>
      </c>
      <c r="AP1048">
        <v>8</v>
      </c>
      <c r="AQ1048">
        <v>1</v>
      </c>
      <c r="AR1048" t="s">
        <v>5427</v>
      </c>
      <c r="AS1048" t="s">
        <v>5428</v>
      </c>
      <c r="AT1048">
        <v>0.63100000000000001</v>
      </c>
      <c r="AU1048" t="s">
        <v>65</v>
      </c>
      <c r="AV1048">
        <v>23</v>
      </c>
      <c r="AW1048">
        <v>2</v>
      </c>
      <c r="AX1048" t="s">
        <v>5429</v>
      </c>
      <c r="AY1048" t="s">
        <v>5430</v>
      </c>
      <c r="AZ1048" t="s">
        <v>5431</v>
      </c>
      <c r="BA1048">
        <v>2.632E-2</v>
      </c>
      <c r="BB1048">
        <v>1</v>
      </c>
      <c r="BC1048" t="s">
        <v>69</v>
      </c>
      <c r="BD1048">
        <v>0.91800000000000004</v>
      </c>
      <c r="BE1048">
        <v>2.3E-2</v>
      </c>
    </row>
    <row r="1049" spans="1:57">
      <c r="A1049">
        <v>0</v>
      </c>
      <c r="B1049">
        <v>0</v>
      </c>
      <c r="C1049">
        <v>0</v>
      </c>
      <c r="D1049">
        <v>4034</v>
      </c>
      <c r="E1049" t="s">
        <v>5432</v>
      </c>
      <c r="F1049" t="s">
        <v>5761</v>
      </c>
      <c r="G1049" t="s">
        <v>57</v>
      </c>
      <c r="H1049">
        <v>3999350</v>
      </c>
      <c r="I1049">
        <v>4000483</v>
      </c>
      <c r="J1049" t="s">
        <v>5433</v>
      </c>
      <c r="K1049">
        <v>378</v>
      </c>
      <c r="L1049" t="s">
        <v>59</v>
      </c>
      <c r="M1049">
        <v>5</v>
      </c>
      <c r="N1049" t="str">
        <f>HYPERLINK("Gene4034-zp_tree_all.dnd", "Gene4034-tree")</f>
        <v>Gene4034-tree</v>
      </c>
      <c r="O1049">
        <v>0</v>
      </c>
      <c r="P1049">
        <v>5</v>
      </c>
      <c r="Q1049">
        <v>0</v>
      </c>
      <c r="R1049">
        <v>5</v>
      </c>
      <c r="S1049">
        <v>1</v>
      </c>
      <c r="T1049" t="s">
        <v>62</v>
      </c>
      <c r="U1049" t="s">
        <v>98</v>
      </c>
      <c r="V1049" t="s">
        <v>62</v>
      </c>
      <c r="W1049" t="s">
        <v>62</v>
      </c>
      <c r="X1049">
        <v>0</v>
      </c>
      <c r="Y1049">
        <v>0</v>
      </c>
      <c r="Z1049">
        <v>13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10</v>
      </c>
      <c r="AK1049">
        <v>0</v>
      </c>
      <c r="AL1049">
        <v>5</v>
      </c>
      <c r="AM1049">
        <v>2</v>
      </c>
      <c r="AN1049">
        <v>37</v>
      </c>
      <c r="AO1049">
        <v>9</v>
      </c>
      <c r="AP1049">
        <v>40</v>
      </c>
      <c r="AQ1049">
        <v>4</v>
      </c>
      <c r="AR1049" t="s">
        <v>5434</v>
      </c>
      <c r="AS1049" t="s">
        <v>5435</v>
      </c>
      <c r="AT1049">
        <v>2.7679999999999998</v>
      </c>
      <c r="AU1049" t="s">
        <v>286</v>
      </c>
      <c r="AV1049">
        <v>77</v>
      </c>
      <c r="AW1049">
        <v>13</v>
      </c>
      <c r="AX1049" t="s">
        <v>5436</v>
      </c>
      <c r="AY1049" t="s">
        <v>5437</v>
      </c>
      <c r="AZ1049" t="s">
        <v>5438</v>
      </c>
      <c r="BA1049">
        <v>4.0969999999999999E-2</v>
      </c>
      <c r="BB1049">
        <v>1</v>
      </c>
      <c r="BC1049" t="s">
        <v>69</v>
      </c>
      <c r="BD1049">
        <v>0.621</v>
      </c>
      <c r="BE1049">
        <v>0.373</v>
      </c>
    </row>
    <row r="1050" spans="1:57">
      <c r="A1050">
        <v>0</v>
      </c>
      <c r="B1050">
        <v>2</v>
      </c>
      <c r="C1050">
        <v>0</v>
      </c>
      <c r="D1050">
        <v>4040</v>
      </c>
      <c r="E1050" t="s">
        <v>5439</v>
      </c>
      <c r="F1050" t="s">
        <v>5761</v>
      </c>
      <c r="G1050" t="s">
        <v>57</v>
      </c>
      <c r="H1050">
        <v>4005752</v>
      </c>
      <c r="I1050">
        <v>4006942</v>
      </c>
      <c r="J1050" t="s">
        <v>5440</v>
      </c>
      <c r="K1050">
        <v>397</v>
      </c>
      <c r="L1050" t="s">
        <v>83</v>
      </c>
      <c r="M1050">
        <v>4</v>
      </c>
      <c r="N1050" t="str">
        <f>HYPERLINK("Gene4040-zp_tree_all.dnd", "Gene4040-tree")</f>
        <v>Gene4040-tree</v>
      </c>
      <c r="O1050">
        <v>2</v>
      </c>
      <c r="P1050">
        <v>2</v>
      </c>
      <c r="Q1050">
        <v>2</v>
      </c>
      <c r="R1050">
        <v>2</v>
      </c>
      <c r="S1050">
        <v>0.5</v>
      </c>
      <c r="T1050" t="s">
        <v>135</v>
      </c>
      <c r="U1050" t="s">
        <v>135</v>
      </c>
      <c r="V1050" t="s">
        <v>62</v>
      </c>
      <c r="W1050" t="s">
        <v>62</v>
      </c>
      <c r="X1050">
        <v>1</v>
      </c>
      <c r="Y1050">
        <v>2</v>
      </c>
      <c r="Z1050">
        <v>2</v>
      </c>
      <c r="AA1050">
        <v>0.5</v>
      </c>
      <c r="AB1050">
        <v>0</v>
      </c>
      <c r="AC1050">
        <v>0</v>
      </c>
      <c r="AD1050">
        <v>0</v>
      </c>
      <c r="AE1050">
        <v>1</v>
      </c>
      <c r="AF1050">
        <v>0</v>
      </c>
      <c r="AG1050">
        <v>2</v>
      </c>
      <c r="AH1050">
        <v>0</v>
      </c>
      <c r="AI1050">
        <v>2</v>
      </c>
      <c r="AJ1050">
        <v>1</v>
      </c>
      <c r="AK1050">
        <v>0.66666999999999998</v>
      </c>
      <c r="AL1050">
        <v>4</v>
      </c>
      <c r="AM1050">
        <v>1</v>
      </c>
      <c r="AN1050">
        <v>61</v>
      </c>
      <c r="AO1050">
        <v>3</v>
      </c>
      <c r="AP1050">
        <v>6</v>
      </c>
      <c r="AQ1050">
        <v>1</v>
      </c>
      <c r="AR1050" t="s">
        <v>5441</v>
      </c>
      <c r="AS1050" t="s">
        <v>5442</v>
      </c>
      <c r="AT1050">
        <v>2.1619999999999999</v>
      </c>
      <c r="AU1050" t="s">
        <v>65</v>
      </c>
      <c r="AV1050">
        <v>67</v>
      </c>
      <c r="AW1050">
        <v>4</v>
      </c>
      <c r="AX1050" t="s">
        <v>5443</v>
      </c>
      <c r="AY1050" t="s">
        <v>5444</v>
      </c>
      <c r="AZ1050" t="s">
        <v>5445</v>
      </c>
      <c r="BA1050">
        <v>1.634E-2</v>
      </c>
      <c r="BB1050">
        <v>1</v>
      </c>
      <c r="BC1050" t="s">
        <v>69</v>
      </c>
      <c r="BD1050">
        <v>-0.40100000000000002</v>
      </c>
      <c r="BE1050">
        <v>-0.54100000000000004</v>
      </c>
    </row>
    <row r="1051" spans="1:57">
      <c r="A1051">
        <v>0</v>
      </c>
      <c r="B1051">
        <v>0</v>
      </c>
      <c r="C1051">
        <v>0</v>
      </c>
      <c r="D1051">
        <v>4075</v>
      </c>
      <c r="E1051" t="s">
        <v>5473</v>
      </c>
      <c r="F1051" t="s">
        <v>5761</v>
      </c>
      <c r="G1051" t="s">
        <v>57</v>
      </c>
      <c r="H1051">
        <v>4041492</v>
      </c>
      <c r="I1051">
        <v>4041935</v>
      </c>
      <c r="J1051" t="s">
        <v>5355</v>
      </c>
      <c r="K1051">
        <v>148</v>
      </c>
      <c r="L1051" t="s">
        <v>83</v>
      </c>
      <c r="M1051">
        <v>4</v>
      </c>
      <c r="N1051" t="str">
        <f>HYPERLINK("Gene4075-zp_tree_all.dnd", "Gene4075-tree")</f>
        <v>Gene4075-tree</v>
      </c>
      <c r="O1051">
        <v>4</v>
      </c>
      <c r="P1051">
        <v>0</v>
      </c>
      <c r="Q1051">
        <v>4</v>
      </c>
      <c r="R1051">
        <v>0</v>
      </c>
      <c r="S1051">
        <v>0</v>
      </c>
      <c r="T1051" t="s">
        <v>60</v>
      </c>
      <c r="U1051" t="s">
        <v>62</v>
      </c>
      <c r="V1051" t="s">
        <v>62</v>
      </c>
      <c r="W1051" t="s">
        <v>62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4</v>
      </c>
      <c r="AM1051">
        <v>1</v>
      </c>
      <c r="AN1051">
        <v>22</v>
      </c>
      <c r="AO1051">
        <v>0</v>
      </c>
      <c r="AP1051">
        <v>4</v>
      </c>
      <c r="AQ1051">
        <v>0</v>
      </c>
      <c r="AR1051" t="s">
        <v>64</v>
      </c>
      <c r="AS1051" t="s">
        <v>64</v>
      </c>
      <c r="AT1051">
        <v>0</v>
      </c>
      <c r="AU1051" t="s">
        <v>65</v>
      </c>
      <c r="AV1051">
        <v>26</v>
      </c>
      <c r="AW1051">
        <v>0</v>
      </c>
      <c r="AX1051" t="s">
        <v>5474</v>
      </c>
      <c r="AY1051" t="s">
        <v>5475</v>
      </c>
      <c r="AZ1051" t="s">
        <v>64</v>
      </c>
      <c r="BA1051">
        <v>0</v>
      </c>
      <c r="BB1051">
        <v>1</v>
      </c>
      <c r="BC1051" t="s">
        <v>69</v>
      </c>
      <c r="BD1051">
        <v>-0.22900000000000001</v>
      </c>
      <c r="BE1051">
        <v>-0.22900000000000001</v>
      </c>
    </row>
    <row r="1052" spans="1:57">
      <c r="A1052">
        <v>0</v>
      </c>
      <c r="B1052">
        <v>0</v>
      </c>
      <c r="C1052">
        <v>0</v>
      </c>
      <c r="D1052">
        <v>4077</v>
      </c>
      <c r="E1052" t="s">
        <v>5476</v>
      </c>
      <c r="F1052" t="s">
        <v>5761</v>
      </c>
      <c r="G1052" t="s">
        <v>57</v>
      </c>
      <c r="H1052">
        <v>4043574</v>
      </c>
      <c r="I1052">
        <v>4045229</v>
      </c>
      <c r="J1052" t="s">
        <v>5477</v>
      </c>
      <c r="K1052">
        <v>552</v>
      </c>
      <c r="L1052" t="s">
        <v>83</v>
      </c>
      <c r="M1052">
        <v>4</v>
      </c>
      <c r="N1052" t="str">
        <f>HYPERLINK("Gene4077-zp_tree_all.dnd", "Gene4077-tree")</f>
        <v>Gene4077-tree</v>
      </c>
      <c r="O1052">
        <v>2</v>
      </c>
      <c r="P1052">
        <v>2</v>
      </c>
      <c r="Q1052">
        <v>2</v>
      </c>
      <c r="R1052">
        <v>2</v>
      </c>
      <c r="S1052">
        <v>0.5</v>
      </c>
      <c r="T1052" t="s">
        <v>135</v>
      </c>
      <c r="U1052" t="s">
        <v>135</v>
      </c>
      <c r="V1052" t="s">
        <v>62</v>
      </c>
      <c r="W1052" t="s">
        <v>62</v>
      </c>
      <c r="X1052">
        <v>0</v>
      </c>
      <c r="Y1052">
        <v>0</v>
      </c>
      <c r="Z1052">
        <v>9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8</v>
      </c>
      <c r="AK1052">
        <v>0</v>
      </c>
      <c r="AL1052">
        <v>4</v>
      </c>
      <c r="AM1052">
        <v>1</v>
      </c>
      <c r="AN1052">
        <v>81</v>
      </c>
      <c r="AO1052">
        <v>9</v>
      </c>
      <c r="AP1052">
        <v>9</v>
      </c>
      <c r="AQ1052">
        <v>1</v>
      </c>
      <c r="AR1052" t="s">
        <v>5478</v>
      </c>
      <c r="AS1052" t="s">
        <v>5479</v>
      </c>
      <c r="AT1052">
        <v>4.5999999999999999E-2</v>
      </c>
      <c r="AU1052" t="s">
        <v>65</v>
      </c>
      <c r="AV1052">
        <v>90</v>
      </c>
      <c r="AW1052">
        <v>10</v>
      </c>
      <c r="AX1052" t="s">
        <v>5480</v>
      </c>
      <c r="AY1052" t="s">
        <v>5481</v>
      </c>
      <c r="AZ1052" t="s">
        <v>5482</v>
      </c>
      <c r="BA1052">
        <v>3.1879999999999999E-2</v>
      </c>
      <c r="BB1052">
        <v>1</v>
      </c>
      <c r="BC1052" t="s">
        <v>69</v>
      </c>
      <c r="BD1052">
        <v>-0.48</v>
      </c>
      <c r="BE1052">
        <v>-0.67600000000000005</v>
      </c>
    </row>
    <row r="1053" spans="1:57">
      <c r="A1053">
        <v>0</v>
      </c>
      <c r="B1053">
        <v>0</v>
      </c>
      <c r="C1053">
        <v>0</v>
      </c>
      <c r="D1053">
        <v>4099</v>
      </c>
      <c r="E1053" t="s">
        <v>5503</v>
      </c>
      <c r="F1053" t="s">
        <v>5761</v>
      </c>
      <c r="G1053" t="s">
        <v>57</v>
      </c>
      <c r="H1053">
        <v>4065597</v>
      </c>
      <c r="I1053">
        <v>4065959</v>
      </c>
      <c r="J1053" t="s">
        <v>5504</v>
      </c>
      <c r="K1053">
        <v>121</v>
      </c>
      <c r="L1053" t="s">
        <v>112</v>
      </c>
      <c r="M1053">
        <v>4</v>
      </c>
      <c r="N1053" t="str">
        <f>HYPERLINK("Gene4099-zp_tree_all.dnd", "Gene4099-tree")</f>
        <v>Gene4099-tree</v>
      </c>
    </row>
    <row r="1054" spans="1:57">
      <c r="A1054">
        <v>0</v>
      </c>
      <c r="B1054">
        <v>0</v>
      </c>
      <c r="C1054">
        <v>0</v>
      </c>
      <c r="D1054">
        <v>4100</v>
      </c>
      <c r="E1054" t="s">
        <v>5505</v>
      </c>
      <c r="F1054" t="s">
        <v>5761</v>
      </c>
      <c r="G1054" t="s">
        <v>57</v>
      </c>
      <c r="H1054">
        <v>4066210</v>
      </c>
      <c r="I1054">
        <v>4066560</v>
      </c>
      <c r="J1054" t="s">
        <v>118</v>
      </c>
      <c r="K1054">
        <v>117</v>
      </c>
      <c r="L1054" t="s">
        <v>59</v>
      </c>
      <c r="M1054">
        <v>5</v>
      </c>
      <c r="N1054" t="str">
        <f>HYPERLINK("Gene4100-zp_tree_all.dnd", "Gene4100-tree")</f>
        <v>Gene4100-tree</v>
      </c>
      <c r="O1054">
        <v>1</v>
      </c>
      <c r="P1054">
        <v>4</v>
      </c>
      <c r="Q1054">
        <v>1</v>
      </c>
      <c r="R1054">
        <v>4</v>
      </c>
      <c r="S1054">
        <v>0.8</v>
      </c>
      <c r="T1054" t="s">
        <v>61</v>
      </c>
      <c r="U1054" t="s">
        <v>60</v>
      </c>
      <c r="V1054" t="s">
        <v>62</v>
      </c>
      <c r="W1054" t="s">
        <v>62</v>
      </c>
      <c r="X1054">
        <v>0</v>
      </c>
      <c r="Y1054">
        <v>0</v>
      </c>
      <c r="Z1054">
        <v>5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4</v>
      </c>
      <c r="AK1054">
        <v>0</v>
      </c>
      <c r="AL1054">
        <v>5</v>
      </c>
      <c r="AM1054">
        <v>2</v>
      </c>
      <c r="AN1054">
        <v>8</v>
      </c>
      <c r="AO1054">
        <v>4</v>
      </c>
      <c r="AP1054">
        <v>11</v>
      </c>
      <c r="AQ1054">
        <v>1</v>
      </c>
      <c r="AR1054" t="s">
        <v>5506</v>
      </c>
      <c r="AS1054" t="s">
        <v>5507</v>
      </c>
      <c r="AT1054">
        <v>2.3239999999999998</v>
      </c>
      <c r="AU1054" t="s">
        <v>286</v>
      </c>
      <c r="AV1054">
        <v>19</v>
      </c>
      <c r="AW1054">
        <v>5</v>
      </c>
      <c r="AX1054" t="s">
        <v>5508</v>
      </c>
      <c r="AY1054" t="s">
        <v>5509</v>
      </c>
      <c r="AZ1054" t="s">
        <v>5510</v>
      </c>
      <c r="BA1054">
        <v>4.437E-2</v>
      </c>
      <c r="BB1054">
        <v>1</v>
      </c>
      <c r="BC1054" t="s">
        <v>69</v>
      </c>
      <c r="BD1054">
        <v>0.31</v>
      </c>
      <c r="BE1054">
        <v>0.31</v>
      </c>
    </row>
    <row r="1055" spans="1:57">
      <c r="A1055">
        <v>0</v>
      </c>
      <c r="B1055">
        <v>0</v>
      </c>
      <c r="C1055">
        <v>0</v>
      </c>
      <c r="D1055">
        <v>4102</v>
      </c>
      <c r="E1055" t="s">
        <v>5517</v>
      </c>
      <c r="F1055" t="s">
        <v>5761</v>
      </c>
      <c r="G1055" t="s">
        <v>57</v>
      </c>
      <c r="H1055">
        <v>4067183</v>
      </c>
      <c r="I1055">
        <v>4068145</v>
      </c>
      <c r="J1055" t="s">
        <v>5518</v>
      </c>
      <c r="K1055">
        <v>321</v>
      </c>
      <c r="L1055" t="s">
        <v>83</v>
      </c>
      <c r="M1055">
        <v>4</v>
      </c>
      <c r="N1055" t="str">
        <f>HYPERLINK("Gene4102-zp_tree_all.dnd", "Gene4102-tree")</f>
        <v>Gene4102-tree</v>
      </c>
      <c r="O1055">
        <v>1</v>
      </c>
      <c r="P1055">
        <v>3</v>
      </c>
      <c r="Q1055">
        <v>1</v>
      </c>
      <c r="R1055">
        <v>3</v>
      </c>
      <c r="S1055">
        <v>0.75</v>
      </c>
      <c r="T1055" t="s">
        <v>61</v>
      </c>
      <c r="U1055" t="s">
        <v>84</v>
      </c>
      <c r="V1055" t="s">
        <v>62</v>
      </c>
      <c r="W1055" t="s">
        <v>62</v>
      </c>
      <c r="X1055">
        <v>0</v>
      </c>
      <c r="Y1055">
        <v>0</v>
      </c>
      <c r="Z1055">
        <v>9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9</v>
      </c>
      <c r="AK1055">
        <v>0</v>
      </c>
      <c r="AL1055">
        <v>3</v>
      </c>
      <c r="AM1055">
        <v>1</v>
      </c>
      <c r="AN1055">
        <v>32</v>
      </c>
      <c r="AO1055">
        <v>9</v>
      </c>
      <c r="AP1055">
        <v>5</v>
      </c>
      <c r="AQ1055">
        <v>0</v>
      </c>
      <c r="AR1055" t="s">
        <v>5519</v>
      </c>
      <c r="AS1055" t="s">
        <v>64</v>
      </c>
      <c r="AT1055">
        <v>1.075</v>
      </c>
      <c r="AU1055" t="s">
        <v>65</v>
      </c>
      <c r="AV1055">
        <v>37</v>
      </c>
      <c r="AW1055">
        <v>9</v>
      </c>
      <c r="AX1055" t="s">
        <v>5520</v>
      </c>
      <c r="AY1055" t="s">
        <v>5521</v>
      </c>
      <c r="AZ1055" t="s">
        <v>5522</v>
      </c>
      <c r="BA1055">
        <v>5.8889999999999998E-2</v>
      </c>
      <c r="BB1055">
        <v>1</v>
      </c>
      <c r="BC1055" t="s">
        <v>69</v>
      </c>
      <c r="BD1055">
        <v>-0.52100000000000002</v>
      </c>
      <c r="BE1055">
        <v>-0.52100000000000002</v>
      </c>
    </row>
    <row r="1056" spans="1:57">
      <c r="A1056">
        <v>0</v>
      </c>
      <c r="B1056">
        <v>0</v>
      </c>
      <c r="C1056">
        <v>0</v>
      </c>
      <c r="D1056">
        <v>4118</v>
      </c>
      <c r="E1056" t="s">
        <v>5584</v>
      </c>
      <c r="F1056" t="s">
        <v>5761</v>
      </c>
      <c r="G1056" t="s">
        <v>57</v>
      </c>
      <c r="H1056">
        <v>4084799</v>
      </c>
      <c r="I1056">
        <v>4085551</v>
      </c>
      <c r="J1056" t="s">
        <v>5585</v>
      </c>
      <c r="K1056">
        <v>251</v>
      </c>
      <c r="L1056" t="s">
        <v>83</v>
      </c>
      <c r="M1056">
        <v>4</v>
      </c>
      <c r="N1056" t="str">
        <f>HYPERLINK("Gene4118-zp_tree_all.dnd", "Gene4118-tree")</f>
        <v>Gene4118-tree</v>
      </c>
      <c r="O1056">
        <v>3</v>
      </c>
      <c r="P1056">
        <v>1</v>
      </c>
      <c r="Q1056">
        <v>3</v>
      </c>
      <c r="R1056">
        <v>1</v>
      </c>
      <c r="S1056">
        <v>0.25</v>
      </c>
      <c r="T1056" t="s">
        <v>84</v>
      </c>
      <c r="U1056" t="s">
        <v>61</v>
      </c>
      <c r="V1056" t="s">
        <v>62</v>
      </c>
      <c r="W1056" t="s">
        <v>62</v>
      </c>
      <c r="X1056">
        <v>0</v>
      </c>
      <c r="Y1056">
        <v>0</v>
      </c>
      <c r="Z1056">
        <v>3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3</v>
      </c>
      <c r="AK1056">
        <v>0</v>
      </c>
      <c r="AL1056">
        <v>4</v>
      </c>
      <c r="AM1056">
        <v>1</v>
      </c>
      <c r="AN1056">
        <v>36</v>
      </c>
      <c r="AO1056">
        <v>3</v>
      </c>
      <c r="AP1056">
        <v>2</v>
      </c>
      <c r="AQ1056">
        <v>0</v>
      </c>
      <c r="AR1056" t="s">
        <v>5586</v>
      </c>
      <c r="AS1056" t="s">
        <v>64</v>
      </c>
      <c r="AT1056">
        <v>0.434</v>
      </c>
      <c r="AU1056" t="s">
        <v>65</v>
      </c>
      <c r="AV1056">
        <v>38</v>
      </c>
      <c r="AW1056">
        <v>3</v>
      </c>
      <c r="AX1056" t="s">
        <v>5587</v>
      </c>
      <c r="AY1056" t="s">
        <v>5588</v>
      </c>
      <c r="AZ1056" t="s">
        <v>5589</v>
      </c>
      <c r="BA1056">
        <v>2.0539999999999999E-2</v>
      </c>
      <c r="BB1056">
        <v>1</v>
      </c>
      <c r="BC1056" t="s">
        <v>69</v>
      </c>
      <c r="BD1056">
        <v>-0.627</v>
      </c>
      <c r="BE1056">
        <v>-0.627</v>
      </c>
    </row>
    <row r="1057" spans="1:57">
      <c r="A1057">
        <v>0</v>
      </c>
      <c r="B1057">
        <v>0</v>
      </c>
      <c r="C1057">
        <v>0</v>
      </c>
      <c r="D1057">
        <v>4119</v>
      </c>
      <c r="E1057" t="s">
        <v>5590</v>
      </c>
      <c r="F1057" t="s">
        <v>5761</v>
      </c>
      <c r="G1057" t="s">
        <v>57</v>
      </c>
      <c r="H1057">
        <v>4085608</v>
      </c>
      <c r="I1057">
        <v>4086537</v>
      </c>
      <c r="J1057" t="s">
        <v>3613</v>
      </c>
      <c r="K1057">
        <v>310</v>
      </c>
      <c r="L1057" t="s">
        <v>83</v>
      </c>
      <c r="M1057">
        <v>4</v>
      </c>
      <c r="N1057" t="str">
        <f>HYPERLINK("Gene4119-zp_tree_all.dnd", "Gene4119-tree")</f>
        <v>Gene4119-tree</v>
      </c>
      <c r="O1057">
        <v>2</v>
      </c>
      <c r="P1057">
        <v>2</v>
      </c>
      <c r="Q1057">
        <v>2</v>
      </c>
      <c r="R1057">
        <v>2</v>
      </c>
      <c r="S1057">
        <v>0.5</v>
      </c>
      <c r="T1057" t="s">
        <v>135</v>
      </c>
      <c r="U1057" t="s">
        <v>135</v>
      </c>
      <c r="V1057" t="s">
        <v>62</v>
      </c>
      <c r="W1057" t="s">
        <v>62</v>
      </c>
      <c r="X1057">
        <v>0</v>
      </c>
      <c r="Y1057">
        <v>0</v>
      </c>
      <c r="Z1057">
        <v>4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4</v>
      </c>
      <c r="AK1057">
        <v>0</v>
      </c>
      <c r="AL1057">
        <v>4</v>
      </c>
      <c r="AM1057">
        <v>1</v>
      </c>
      <c r="AN1057">
        <v>48</v>
      </c>
      <c r="AO1057">
        <v>4</v>
      </c>
      <c r="AP1057">
        <v>2</v>
      </c>
      <c r="AQ1057">
        <v>0</v>
      </c>
      <c r="AR1057" t="s">
        <v>5591</v>
      </c>
      <c r="AS1057" t="s">
        <v>64</v>
      </c>
      <c r="AT1057">
        <v>0.76100000000000001</v>
      </c>
      <c r="AU1057" t="s">
        <v>65</v>
      </c>
      <c r="AV1057">
        <v>50</v>
      </c>
      <c r="AW1057">
        <v>4</v>
      </c>
      <c r="AX1057" t="s">
        <v>5592</v>
      </c>
      <c r="AY1057" t="s">
        <v>5593</v>
      </c>
      <c r="AZ1057" t="s">
        <v>5594</v>
      </c>
      <c r="BA1057">
        <v>2.1489999999999999E-2</v>
      </c>
      <c r="BB1057">
        <v>1</v>
      </c>
      <c r="BC1057" t="s">
        <v>69</v>
      </c>
      <c r="BD1057">
        <v>-0.20499999999999999</v>
      </c>
      <c r="BE1057">
        <v>-0.80100000000000005</v>
      </c>
    </row>
    <row r="1058" spans="1:57">
      <c r="A1058">
        <v>0</v>
      </c>
      <c r="B1058">
        <v>0</v>
      </c>
      <c r="C1058">
        <v>0</v>
      </c>
      <c r="D1058">
        <v>4151</v>
      </c>
      <c r="E1058" t="s">
        <v>5608</v>
      </c>
      <c r="F1058" t="s">
        <v>5761</v>
      </c>
      <c r="G1058" t="s">
        <v>57</v>
      </c>
      <c r="H1058">
        <v>4118950</v>
      </c>
      <c r="I1058">
        <v>4119510</v>
      </c>
      <c r="J1058" t="s">
        <v>5609</v>
      </c>
      <c r="K1058">
        <v>187</v>
      </c>
      <c r="L1058" t="s">
        <v>59</v>
      </c>
      <c r="M1058">
        <v>5</v>
      </c>
      <c r="N1058" t="str">
        <f>HYPERLINK("Gene4151-zp_tree_all.dnd", "Gene4151-tree")</f>
        <v>Gene4151-tree</v>
      </c>
      <c r="O1058">
        <v>3</v>
      </c>
      <c r="P1058">
        <v>2</v>
      </c>
      <c r="Q1058">
        <v>3</v>
      </c>
      <c r="R1058">
        <v>2</v>
      </c>
      <c r="S1058">
        <v>0.4</v>
      </c>
      <c r="T1058" t="s">
        <v>84</v>
      </c>
      <c r="U1058" t="s">
        <v>135</v>
      </c>
      <c r="V1058" t="s">
        <v>62</v>
      </c>
      <c r="W1058" t="s">
        <v>62</v>
      </c>
      <c r="X1058">
        <v>0</v>
      </c>
      <c r="Y1058">
        <v>0</v>
      </c>
      <c r="Z1058">
        <v>6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2</v>
      </c>
      <c r="AK1058">
        <v>0</v>
      </c>
      <c r="AL1058">
        <v>5</v>
      </c>
      <c r="AM1058">
        <v>2</v>
      </c>
      <c r="AN1058">
        <v>11</v>
      </c>
      <c r="AO1058">
        <v>2</v>
      </c>
      <c r="AP1058">
        <v>8</v>
      </c>
      <c r="AQ1058">
        <v>4</v>
      </c>
      <c r="AR1058" t="s">
        <v>5610</v>
      </c>
      <c r="AS1058" t="s">
        <v>5611</v>
      </c>
      <c r="AT1058">
        <v>0.54500000000000004</v>
      </c>
      <c r="AU1058" t="s">
        <v>65</v>
      </c>
      <c r="AV1058">
        <v>19</v>
      </c>
      <c r="AW1058">
        <v>6</v>
      </c>
      <c r="AX1058" t="s">
        <v>5612</v>
      </c>
      <c r="AY1058" t="s">
        <v>5613</v>
      </c>
      <c r="AZ1058" t="s">
        <v>5614</v>
      </c>
      <c r="BA1058">
        <v>9.9260000000000001E-2</v>
      </c>
      <c r="BB1058">
        <v>1</v>
      </c>
      <c r="BC1058" t="s">
        <v>69</v>
      </c>
      <c r="BD1058">
        <v>0.64600000000000002</v>
      </c>
      <c r="BE1058">
        <v>0.377</v>
      </c>
    </row>
    <row r="1059" spans="1:57">
      <c r="A1059">
        <v>0</v>
      </c>
      <c r="B1059">
        <v>0</v>
      </c>
      <c r="C1059">
        <v>0</v>
      </c>
      <c r="D1059">
        <v>4152</v>
      </c>
      <c r="E1059" t="s">
        <v>5615</v>
      </c>
      <c r="F1059" t="s">
        <v>5761</v>
      </c>
      <c r="G1059" t="s">
        <v>57</v>
      </c>
      <c r="H1059">
        <v>4119527</v>
      </c>
      <c r="I1059">
        <v>4121053</v>
      </c>
      <c r="J1059" t="s">
        <v>5616</v>
      </c>
      <c r="K1059">
        <v>509</v>
      </c>
      <c r="L1059" t="s">
        <v>59</v>
      </c>
      <c r="M1059">
        <v>5</v>
      </c>
      <c r="N1059" t="str">
        <f>HYPERLINK("Gene4152-zp_tree_all.dnd", "Gene4152-tree")</f>
        <v>Gene4152-tree</v>
      </c>
      <c r="O1059">
        <v>3</v>
      </c>
      <c r="P1059">
        <v>2</v>
      </c>
      <c r="Q1059">
        <v>3</v>
      </c>
      <c r="R1059">
        <v>2</v>
      </c>
      <c r="S1059">
        <v>0.4</v>
      </c>
      <c r="T1059" t="s">
        <v>84</v>
      </c>
      <c r="U1059" t="s">
        <v>135</v>
      </c>
      <c r="V1059" t="s">
        <v>62</v>
      </c>
      <c r="W1059" t="s">
        <v>62</v>
      </c>
      <c r="X1059">
        <v>0</v>
      </c>
      <c r="Y1059">
        <v>0</v>
      </c>
      <c r="Z1059">
        <v>12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8</v>
      </c>
      <c r="AK1059">
        <v>0</v>
      </c>
      <c r="AL1059">
        <v>5</v>
      </c>
      <c r="AM1059">
        <v>2</v>
      </c>
      <c r="AN1059">
        <v>56</v>
      </c>
      <c r="AO1059">
        <v>9</v>
      </c>
      <c r="AP1059">
        <v>47</v>
      </c>
      <c r="AQ1059">
        <v>4</v>
      </c>
      <c r="AR1059" t="s">
        <v>5617</v>
      </c>
      <c r="AS1059" t="s">
        <v>5618</v>
      </c>
      <c r="AT1059">
        <v>0.51800000000000002</v>
      </c>
      <c r="AU1059" t="s">
        <v>65</v>
      </c>
      <c r="AV1059">
        <v>103</v>
      </c>
      <c r="AW1059">
        <v>13</v>
      </c>
      <c r="AX1059" t="s">
        <v>5619</v>
      </c>
      <c r="AY1059" t="s">
        <v>5620</v>
      </c>
      <c r="AZ1059" t="s">
        <v>5621</v>
      </c>
      <c r="BA1059">
        <v>3.5970000000000002E-2</v>
      </c>
      <c r="BB1059">
        <v>1</v>
      </c>
      <c r="BC1059" t="s">
        <v>69</v>
      </c>
      <c r="BD1059">
        <v>0.57099999999999995</v>
      </c>
      <c r="BE1059">
        <v>-1.2999999999999999E-2</v>
      </c>
    </row>
    <row r="1060" spans="1:57">
      <c r="A1060">
        <v>0</v>
      </c>
      <c r="B1060">
        <v>2</v>
      </c>
      <c r="C1060">
        <v>0</v>
      </c>
      <c r="D1060">
        <v>4162</v>
      </c>
      <c r="E1060" t="s">
        <v>5622</v>
      </c>
      <c r="F1060" t="s">
        <v>5761</v>
      </c>
      <c r="G1060" t="s">
        <v>57</v>
      </c>
      <c r="H1060">
        <v>4128119</v>
      </c>
      <c r="I1060">
        <v>4130041</v>
      </c>
      <c r="J1060" t="s">
        <v>5623</v>
      </c>
      <c r="K1060">
        <v>641</v>
      </c>
      <c r="L1060" t="s">
        <v>59</v>
      </c>
      <c r="M1060">
        <v>5</v>
      </c>
      <c r="N1060" t="str">
        <f>HYPERLINK("Gene4162-zp_tree_all.dnd", "Gene4162-tree")</f>
        <v>Gene4162-tree</v>
      </c>
      <c r="O1060">
        <v>2</v>
      </c>
      <c r="P1060">
        <v>3</v>
      </c>
      <c r="Q1060">
        <v>2</v>
      </c>
      <c r="R1060">
        <v>3</v>
      </c>
      <c r="S1060">
        <v>0.6</v>
      </c>
      <c r="T1060" t="s">
        <v>135</v>
      </c>
      <c r="U1060" t="s">
        <v>84</v>
      </c>
      <c r="V1060" t="s">
        <v>62</v>
      </c>
      <c r="W1060" t="s">
        <v>62</v>
      </c>
      <c r="X1060">
        <v>1</v>
      </c>
      <c r="Y1060">
        <v>2</v>
      </c>
      <c r="Z1060">
        <v>9</v>
      </c>
      <c r="AA1060">
        <v>0.18182000000000001</v>
      </c>
      <c r="AB1060">
        <v>0</v>
      </c>
      <c r="AC1060">
        <v>0</v>
      </c>
      <c r="AD1060">
        <v>0</v>
      </c>
      <c r="AE1060">
        <v>2</v>
      </c>
      <c r="AF1060">
        <v>0</v>
      </c>
      <c r="AG1060">
        <v>0</v>
      </c>
      <c r="AH1060">
        <v>0</v>
      </c>
      <c r="AI1060">
        <v>0</v>
      </c>
      <c r="AJ1060">
        <v>6</v>
      </c>
      <c r="AK1060">
        <v>0</v>
      </c>
      <c r="AL1060">
        <v>5</v>
      </c>
      <c r="AM1060">
        <v>2</v>
      </c>
      <c r="AN1060">
        <v>152</v>
      </c>
      <c r="AO1060">
        <v>7</v>
      </c>
      <c r="AP1060">
        <v>31</v>
      </c>
      <c r="AQ1060">
        <v>6</v>
      </c>
      <c r="AR1060" t="s">
        <v>5624</v>
      </c>
      <c r="AS1060" t="s">
        <v>5625</v>
      </c>
      <c r="AT1060">
        <v>6.3609999999999998</v>
      </c>
      <c r="AU1060" t="s">
        <v>65</v>
      </c>
      <c r="AV1060">
        <v>183</v>
      </c>
      <c r="AW1060">
        <v>13</v>
      </c>
      <c r="AX1060" t="s">
        <v>5626</v>
      </c>
      <c r="AY1060" t="s">
        <v>5627</v>
      </c>
      <c r="AZ1060" t="s">
        <v>5628</v>
      </c>
      <c r="BA1060">
        <v>2.171E-2</v>
      </c>
      <c r="BB1060">
        <v>1</v>
      </c>
      <c r="BC1060" t="s">
        <v>69</v>
      </c>
      <c r="BD1060">
        <v>-0.20200000000000001</v>
      </c>
      <c r="BE1060">
        <v>-0.28899999999999998</v>
      </c>
    </row>
    <row r="1061" spans="1:57">
      <c r="A1061">
        <v>0</v>
      </c>
      <c r="B1061">
        <v>0</v>
      </c>
      <c r="C1061">
        <v>0</v>
      </c>
      <c r="D1061">
        <v>4193</v>
      </c>
      <c r="E1061" t="s">
        <v>5667</v>
      </c>
      <c r="F1061" t="s">
        <v>5761</v>
      </c>
      <c r="G1061" t="s">
        <v>57</v>
      </c>
      <c r="H1061">
        <v>4159577</v>
      </c>
      <c r="I1061">
        <v>4159714</v>
      </c>
      <c r="J1061" t="s">
        <v>170</v>
      </c>
      <c r="K1061">
        <v>46</v>
      </c>
      <c r="L1061" t="s">
        <v>83</v>
      </c>
      <c r="M1061">
        <v>4</v>
      </c>
      <c r="N1061" t="str">
        <f>HYPERLINK("Gene4193-zp_tree_all.dnd", "Gene4193-tree")</f>
        <v>Gene4193-tree</v>
      </c>
    </row>
    <row r="1062" spans="1:57">
      <c r="A1062">
        <v>0</v>
      </c>
      <c r="B1062">
        <v>0</v>
      </c>
      <c r="C1062">
        <v>0</v>
      </c>
      <c r="D1062">
        <v>4202</v>
      </c>
      <c r="E1062" t="s">
        <v>5687</v>
      </c>
      <c r="F1062" t="s">
        <v>5761</v>
      </c>
      <c r="G1062" t="s">
        <v>57</v>
      </c>
      <c r="H1062">
        <v>4168204</v>
      </c>
      <c r="I1062">
        <v>4169130</v>
      </c>
      <c r="J1062" t="s">
        <v>5688</v>
      </c>
      <c r="K1062">
        <v>309</v>
      </c>
      <c r="L1062" t="s">
        <v>83</v>
      </c>
      <c r="M1062">
        <v>4</v>
      </c>
      <c r="N1062" t="str">
        <f>HYPERLINK("Gene4202-zp_tree_all.dnd", "Gene4202-tree")</f>
        <v>Gene4202-tree</v>
      </c>
      <c r="O1062">
        <v>3</v>
      </c>
      <c r="P1062">
        <v>1</v>
      </c>
      <c r="Q1062">
        <v>3</v>
      </c>
      <c r="R1062">
        <v>1</v>
      </c>
      <c r="S1062">
        <v>0.25</v>
      </c>
      <c r="T1062" t="s">
        <v>84</v>
      </c>
      <c r="U1062" t="s">
        <v>61</v>
      </c>
      <c r="V1062" t="s">
        <v>62</v>
      </c>
      <c r="W1062" t="s">
        <v>62</v>
      </c>
      <c r="X1062">
        <v>0</v>
      </c>
      <c r="Y1062">
        <v>0</v>
      </c>
      <c r="Z1062">
        <v>3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3</v>
      </c>
      <c r="AK1062">
        <v>0</v>
      </c>
      <c r="AL1062">
        <v>4</v>
      </c>
      <c r="AM1062">
        <v>1</v>
      </c>
      <c r="AN1062">
        <v>46</v>
      </c>
      <c r="AO1062">
        <v>3</v>
      </c>
      <c r="AP1062">
        <v>1</v>
      </c>
      <c r="AQ1062">
        <v>0</v>
      </c>
      <c r="AR1062" t="s">
        <v>5689</v>
      </c>
      <c r="AS1062" t="s">
        <v>64</v>
      </c>
      <c r="AT1062">
        <v>0.38900000000000001</v>
      </c>
      <c r="AU1062" t="s">
        <v>65</v>
      </c>
      <c r="AV1062">
        <v>47</v>
      </c>
      <c r="AW1062">
        <v>3</v>
      </c>
      <c r="AX1062" t="s">
        <v>5690</v>
      </c>
      <c r="AY1062" t="s">
        <v>5691</v>
      </c>
      <c r="AZ1062" t="s">
        <v>5692</v>
      </c>
      <c r="BA1062">
        <v>1.618E-2</v>
      </c>
      <c r="BB1062">
        <v>1</v>
      </c>
      <c r="BC1062" t="s">
        <v>69</v>
      </c>
      <c r="BD1062">
        <v>-0.80400000000000005</v>
      </c>
      <c r="BE1062">
        <v>-0.80400000000000005</v>
      </c>
    </row>
  </sheetData>
  <sortState xmlns:xlrd2="http://schemas.microsoft.com/office/spreadsheetml/2017/richdata2" ref="A3:BE1062">
    <sortCondition ref="F3:F106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8"/>
  <sheetViews>
    <sheetView zoomScale="120" zoomScaleNormal="120" workbookViewId="0">
      <selection activeCell="H19" sqref="H19"/>
    </sheetView>
  </sheetViews>
  <sheetFormatPr baseColWidth="10" defaultColWidth="8.83203125" defaultRowHeight="15"/>
  <cols>
    <col min="7" max="7" width="12.5" bestFit="1" customWidth="1"/>
    <col min="8" max="8" width="9.83203125" bestFit="1" customWidth="1"/>
    <col min="9" max="9" width="7.6640625" bestFit="1" customWidth="1"/>
    <col min="10" max="10" width="12.1640625" bestFit="1" customWidth="1"/>
  </cols>
  <sheetData>
    <row r="1" spans="1:11">
      <c r="A1" t="s">
        <v>5757</v>
      </c>
      <c r="B1" t="s">
        <v>5754</v>
      </c>
      <c r="C1" t="s">
        <v>5755</v>
      </c>
      <c r="D1" t="s">
        <v>5756</v>
      </c>
    </row>
    <row r="2" spans="1:11">
      <c r="A2">
        <v>10</v>
      </c>
      <c r="B2">
        <v>0</v>
      </c>
      <c r="C2">
        <v>2</v>
      </c>
      <c r="D2">
        <v>0</v>
      </c>
    </row>
    <row r="3" spans="1:11">
      <c r="A3">
        <v>22</v>
      </c>
      <c r="B3">
        <v>0</v>
      </c>
      <c r="C3">
        <v>0</v>
      </c>
      <c r="D3">
        <v>2</v>
      </c>
    </row>
    <row r="4" spans="1:11">
      <c r="A4">
        <v>40</v>
      </c>
      <c r="B4">
        <v>0</v>
      </c>
      <c r="C4">
        <v>0</v>
      </c>
      <c r="D4">
        <v>4</v>
      </c>
      <c r="G4" s="5"/>
      <c r="H4" s="6" t="s">
        <v>5754</v>
      </c>
      <c r="I4" s="6" t="s">
        <v>5755</v>
      </c>
      <c r="J4" s="6" t="s">
        <v>5756</v>
      </c>
      <c r="K4" s="10" t="s">
        <v>5770</v>
      </c>
    </row>
    <row r="5" spans="1:11">
      <c r="A5">
        <v>41</v>
      </c>
      <c r="B5">
        <v>0</v>
      </c>
      <c r="C5">
        <v>0</v>
      </c>
      <c r="D5">
        <v>2</v>
      </c>
      <c r="G5" s="7" t="s">
        <v>5766</v>
      </c>
      <c r="H5" s="1">
        <v>0</v>
      </c>
      <c r="I5" s="1">
        <v>106</v>
      </c>
      <c r="J5" s="1">
        <v>116</v>
      </c>
      <c r="K5" s="2">
        <f>SUM(H5:J5)</f>
        <v>222</v>
      </c>
    </row>
    <row r="6" spans="1:11">
      <c r="A6">
        <v>61</v>
      </c>
      <c r="B6">
        <v>0</v>
      </c>
      <c r="C6">
        <v>0</v>
      </c>
      <c r="D6">
        <v>2</v>
      </c>
      <c r="G6" s="8" t="s">
        <v>5765</v>
      </c>
      <c r="H6" s="1">
        <v>0</v>
      </c>
      <c r="I6" s="1">
        <v>134</v>
      </c>
      <c r="J6" s="1">
        <v>178</v>
      </c>
      <c r="K6" s="2">
        <f>SUM(H6:J6)</f>
        <v>312</v>
      </c>
    </row>
    <row r="7" spans="1:11">
      <c r="A7">
        <v>67</v>
      </c>
      <c r="B7">
        <v>0</v>
      </c>
      <c r="C7">
        <v>2</v>
      </c>
      <c r="D7">
        <v>2</v>
      </c>
      <c r="G7" s="8"/>
      <c r="H7" s="1"/>
      <c r="I7" s="1"/>
      <c r="J7" s="1"/>
      <c r="K7" s="2"/>
    </row>
    <row r="8" spans="1:11">
      <c r="A8">
        <v>92</v>
      </c>
      <c r="B8">
        <v>0</v>
      </c>
      <c r="C8">
        <v>2</v>
      </c>
      <c r="D8">
        <v>0</v>
      </c>
      <c r="G8" s="8" t="s">
        <v>5764</v>
      </c>
      <c r="H8" s="1">
        <v>0</v>
      </c>
      <c r="I8" s="1">
        <v>33</v>
      </c>
      <c r="J8" s="1">
        <v>28</v>
      </c>
      <c r="K8" s="2">
        <f>SUM(H8:J8)</f>
        <v>61</v>
      </c>
    </row>
    <row r="9" spans="1:11">
      <c r="A9">
        <v>95</v>
      </c>
      <c r="B9">
        <v>0</v>
      </c>
      <c r="C9">
        <v>2</v>
      </c>
      <c r="D9">
        <v>0</v>
      </c>
      <c r="G9" s="9" t="s">
        <v>5763</v>
      </c>
      <c r="H9" s="3">
        <v>0</v>
      </c>
      <c r="I9" s="3">
        <v>39</v>
      </c>
      <c r="J9" s="3">
        <v>56</v>
      </c>
      <c r="K9" s="4">
        <f>SUM(H9:J9)</f>
        <v>95</v>
      </c>
    </row>
    <row r="10" spans="1:11">
      <c r="A10">
        <v>153</v>
      </c>
      <c r="B10">
        <v>0</v>
      </c>
      <c r="C10">
        <v>0</v>
      </c>
      <c r="D10">
        <v>2</v>
      </c>
    </row>
    <row r="11" spans="1:11">
      <c r="A11">
        <v>293</v>
      </c>
      <c r="B11">
        <v>0</v>
      </c>
      <c r="C11">
        <v>2</v>
      </c>
      <c r="D11">
        <v>0</v>
      </c>
    </row>
    <row r="12" spans="1:11">
      <c r="A12">
        <v>300</v>
      </c>
      <c r="B12">
        <v>0</v>
      </c>
      <c r="C12">
        <v>2</v>
      </c>
      <c r="D12">
        <v>0</v>
      </c>
    </row>
    <row r="13" spans="1:11">
      <c r="A13">
        <v>321</v>
      </c>
      <c r="B13">
        <v>0</v>
      </c>
      <c r="C13">
        <v>2</v>
      </c>
      <c r="D13">
        <v>0</v>
      </c>
    </row>
    <row r="14" spans="1:11">
      <c r="A14">
        <v>325</v>
      </c>
      <c r="B14">
        <v>0</v>
      </c>
      <c r="C14">
        <v>2</v>
      </c>
      <c r="D14">
        <v>0</v>
      </c>
    </row>
    <row r="15" spans="1:11">
      <c r="A15">
        <v>331</v>
      </c>
      <c r="B15">
        <v>0</v>
      </c>
      <c r="C15">
        <v>6</v>
      </c>
      <c r="D15">
        <v>1</v>
      </c>
    </row>
    <row r="16" spans="1:11">
      <c r="A16">
        <v>363</v>
      </c>
      <c r="B16">
        <v>0</v>
      </c>
      <c r="C16">
        <v>2</v>
      </c>
      <c r="D16">
        <v>0</v>
      </c>
    </row>
    <row r="17" spans="1:4">
      <c r="A17">
        <v>366</v>
      </c>
      <c r="B17">
        <v>0</v>
      </c>
      <c r="C17">
        <v>0</v>
      </c>
      <c r="D17">
        <v>2</v>
      </c>
    </row>
    <row r="18" spans="1:4">
      <c r="A18">
        <v>391</v>
      </c>
      <c r="B18">
        <v>0</v>
      </c>
      <c r="C18">
        <v>4</v>
      </c>
      <c r="D18">
        <v>2</v>
      </c>
    </row>
    <row r="19" spans="1:4">
      <c r="A19">
        <v>413</v>
      </c>
      <c r="B19">
        <v>0</v>
      </c>
      <c r="C19">
        <v>2</v>
      </c>
      <c r="D19">
        <v>0</v>
      </c>
    </row>
    <row r="20" spans="1:4">
      <c r="A20">
        <v>430</v>
      </c>
      <c r="B20">
        <v>0</v>
      </c>
      <c r="C20">
        <v>0</v>
      </c>
      <c r="D20">
        <v>2</v>
      </c>
    </row>
    <row r="21" spans="1:4">
      <c r="A21">
        <v>448</v>
      </c>
      <c r="B21">
        <v>0</v>
      </c>
      <c r="C21">
        <v>2</v>
      </c>
      <c r="D21">
        <v>2</v>
      </c>
    </row>
    <row r="22" spans="1:4">
      <c r="A22">
        <v>455</v>
      </c>
      <c r="B22">
        <v>0</v>
      </c>
      <c r="C22">
        <v>2</v>
      </c>
      <c r="D22">
        <v>0</v>
      </c>
    </row>
    <row r="23" spans="1:4">
      <c r="A23">
        <v>461</v>
      </c>
      <c r="B23">
        <v>0</v>
      </c>
      <c r="C23">
        <v>0</v>
      </c>
      <c r="D23">
        <v>2</v>
      </c>
    </row>
    <row r="24" spans="1:4">
      <c r="A24">
        <v>529</v>
      </c>
      <c r="B24">
        <v>0</v>
      </c>
      <c r="C24">
        <v>0</v>
      </c>
      <c r="D24">
        <v>2</v>
      </c>
    </row>
    <row r="25" spans="1:4">
      <c r="A25">
        <v>538</v>
      </c>
      <c r="B25">
        <v>0</v>
      </c>
      <c r="C25">
        <v>0</v>
      </c>
      <c r="D25">
        <v>2</v>
      </c>
    </row>
    <row r="26" spans="1:4">
      <c r="A26">
        <v>539</v>
      </c>
      <c r="B26">
        <v>0</v>
      </c>
      <c r="C26">
        <v>4</v>
      </c>
      <c r="D26">
        <v>2</v>
      </c>
    </row>
    <row r="27" spans="1:4">
      <c r="A27">
        <v>585</v>
      </c>
      <c r="B27">
        <v>0</v>
      </c>
      <c r="C27">
        <v>2</v>
      </c>
      <c r="D27">
        <v>0</v>
      </c>
    </row>
    <row r="28" spans="1:4">
      <c r="A28">
        <v>670</v>
      </c>
      <c r="B28">
        <v>0</v>
      </c>
      <c r="C28">
        <v>2</v>
      </c>
      <c r="D28">
        <v>0</v>
      </c>
    </row>
    <row r="29" spans="1:4">
      <c r="A29">
        <v>677</v>
      </c>
      <c r="B29">
        <v>0</v>
      </c>
      <c r="C29">
        <v>6</v>
      </c>
      <c r="D29">
        <v>2</v>
      </c>
    </row>
    <row r="30" spans="1:4">
      <c r="A30">
        <v>678</v>
      </c>
      <c r="B30">
        <v>0</v>
      </c>
      <c r="C30">
        <v>2</v>
      </c>
      <c r="D30">
        <v>0</v>
      </c>
    </row>
    <row r="31" spans="1:4">
      <c r="A31">
        <v>679</v>
      </c>
      <c r="B31">
        <v>0</v>
      </c>
      <c r="C31">
        <v>2</v>
      </c>
      <c r="D31">
        <v>0</v>
      </c>
    </row>
    <row r="32" spans="1:4">
      <c r="A32">
        <v>692</v>
      </c>
      <c r="B32">
        <v>0</v>
      </c>
      <c r="C32">
        <v>0</v>
      </c>
      <c r="D32">
        <v>2</v>
      </c>
    </row>
    <row r="33" spans="1:4">
      <c r="A33">
        <v>744</v>
      </c>
      <c r="B33">
        <v>0</v>
      </c>
      <c r="C33">
        <v>0</v>
      </c>
      <c r="D33">
        <v>2</v>
      </c>
    </row>
    <row r="34" spans="1:4">
      <c r="A34">
        <v>788</v>
      </c>
      <c r="B34">
        <v>0</v>
      </c>
      <c r="C34">
        <v>2</v>
      </c>
      <c r="D34">
        <v>0</v>
      </c>
    </row>
    <row r="35" spans="1:4">
      <c r="A35">
        <v>853</v>
      </c>
      <c r="B35">
        <v>0</v>
      </c>
      <c r="C35">
        <v>0</v>
      </c>
      <c r="D35">
        <v>2</v>
      </c>
    </row>
    <row r="36" spans="1:4">
      <c r="A36">
        <v>900</v>
      </c>
      <c r="B36">
        <v>0</v>
      </c>
      <c r="C36">
        <v>0</v>
      </c>
      <c r="D36">
        <v>2</v>
      </c>
    </row>
    <row r="37" spans="1:4">
      <c r="A37">
        <v>928</v>
      </c>
      <c r="B37">
        <v>0</v>
      </c>
      <c r="C37">
        <v>0</v>
      </c>
      <c r="D37">
        <v>2</v>
      </c>
    </row>
    <row r="38" spans="1:4">
      <c r="A38">
        <v>956</v>
      </c>
      <c r="B38">
        <v>0</v>
      </c>
      <c r="C38">
        <v>0</v>
      </c>
      <c r="D38">
        <v>2</v>
      </c>
    </row>
    <row r="39" spans="1:4">
      <c r="A39">
        <v>1036</v>
      </c>
      <c r="B39">
        <v>0</v>
      </c>
      <c r="C39">
        <v>2</v>
      </c>
      <c r="D39">
        <v>0</v>
      </c>
    </row>
    <row r="40" spans="1:4">
      <c r="A40">
        <v>1065</v>
      </c>
      <c r="B40">
        <v>0</v>
      </c>
      <c r="C40">
        <v>2</v>
      </c>
      <c r="D40">
        <v>0</v>
      </c>
    </row>
    <row r="41" spans="1:4">
      <c r="A41">
        <v>1083</v>
      </c>
      <c r="B41">
        <v>0</v>
      </c>
      <c r="C41">
        <v>0</v>
      </c>
      <c r="D41">
        <v>2</v>
      </c>
    </row>
    <row r="42" spans="1:4">
      <c r="A42">
        <v>1088</v>
      </c>
      <c r="B42">
        <v>0</v>
      </c>
      <c r="C42">
        <v>0</v>
      </c>
      <c r="D42">
        <v>2</v>
      </c>
    </row>
    <row r="43" spans="1:4">
      <c r="A43">
        <v>1090</v>
      </c>
      <c r="B43">
        <v>0</v>
      </c>
      <c r="C43">
        <v>0</v>
      </c>
      <c r="D43">
        <v>3</v>
      </c>
    </row>
    <row r="44" spans="1:4">
      <c r="A44">
        <v>1091</v>
      </c>
      <c r="B44">
        <v>0</v>
      </c>
      <c r="C44">
        <v>0</v>
      </c>
      <c r="D44">
        <v>4</v>
      </c>
    </row>
    <row r="45" spans="1:4">
      <c r="A45">
        <v>1187</v>
      </c>
      <c r="B45">
        <v>0</v>
      </c>
      <c r="C45">
        <v>2</v>
      </c>
      <c r="D45">
        <v>0</v>
      </c>
    </row>
    <row r="46" spans="1:4">
      <c r="A46">
        <v>1197</v>
      </c>
      <c r="B46">
        <v>0</v>
      </c>
      <c r="C46">
        <v>0</v>
      </c>
      <c r="D46">
        <v>2</v>
      </c>
    </row>
    <row r="47" spans="1:4">
      <c r="A47">
        <v>1285</v>
      </c>
      <c r="B47">
        <v>0</v>
      </c>
      <c r="C47">
        <v>0</v>
      </c>
      <c r="D47">
        <v>2</v>
      </c>
    </row>
    <row r="48" spans="1:4">
      <c r="A48">
        <v>1306</v>
      </c>
      <c r="B48">
        <v>0</v>
      </c>
      <c r="C48">
        <v>0</v>
      </c>
      <c r="D48">
        <v>2</v>
      </c>
    </row>
    <row r="49" spans="1:4">
      <c r="A49">
        <v>1385</v>
      </c>
      <c r="B49">
        <v>0</v>
      </c>
      <c r="C49">
        <v>0</v>
      </c>
      <c r="D49">
        <v>2</v>
      </c>
    </row>
    <row r="50" spans="1:4">
      <c r="A50">
        <v>1396</v>
      </c>
      <c r="B50">
        <v>0</v>
      </c>
      <c r="C50">
        <v>0</v>
      </c>
      <c r="D50">
        <v>2</v>
      </c>
    </row>
    <row r="51" spans="1:4">
      <c r="A51">
        <v>1425</v>
      </c>
      <c r="B51">
        <v>0</v>
      </c>
      <c r="C51">
        <v>0</v>
      </c>
      <c r="D51">
        <v>2</v>
      </c>
    </row>
    <row r="52" spans="1:4">
      <c r="A52">
        <v>1430</v>
      </c>
      <c r="B52">
        <v>0</v>
      </c>
      <c r="C52">
        <v>0</v>
      </c>
      <c r="D52">
        <v>4</v>
      </c>
    </row>
    <row r="53" spans="1:4">
      <c r="A53">
        <v>1454</v>
      </c>
      <c r="B53">
        <v>0</v>
      </c>
      <c r="C53">
        <v>2</v>
      </c>
      <c r="D53">
        <v>0</v>
      </c>
    </row>
    <row r="54" spans="1:4">
      <c r="A54">
        <v>1496</v>
      </c>
      <c r="B54">
        <v>0</v>
      </c>
      <c r="C54">
        <v>0</v>
      </c>
      <c r="D54">
        <v>2</v>
      </c>
    </row>
    <row r="55" spans="1:4">
      <c r="A55">
        <v>1557</v>
      </c>
      <c r="B55">
        <v>0</v>
      </c>
      <c r="C55">
        <v>2</v>
      </c>
      <c r="D55">
        <v>0</v>
      </c>
    </row>
    <row r="56" spans="1:4">
      <c r="A56">
        <v>1561</v>
      </c>
      <c r="B56">
        <v>0</v>
      </c>
      <c r="C56">
        <v>2</v>
      </c>
      <c r="D56">
        <v>2</v>
      </c>
    </row>
    <row r="57" spans="1:4">
      <c r="A57">
        <v>1565</v>
      </c>
      <c r="B57">
        <v>0</v>
      </c>
      <c r="C57">
        <v>2</v>
      </c>
      <c r="D57">
        <v>0</v>
      </c>
    </row>
    <row r="58" spans="1:4">
      <c r="A58">
        <v>1567</v>
      </c>
      <c r="B58">
        <v>0</v>
      </c>
      <c r="C58">
        <v>0</v>
      </c>
      <c r="D58">
        <v>2</v>
      </c>
    </row>
    <row r="59" spans="1:4">
      <c r="A59">
        <v>1580</v>
      </c>
      <c r="B59">
        <v>0</v>
      </c>
      <c r="C59">
        <v>2</v>
      </c>
      <c r="D59">
        <v>0</v>
      </c>
    </row>
    <row r="60" spans="1:4">
      <c r="A60">
        <v>1583</v>
      </c>
      <c r="B60">
        <v>0</v>
      </c>
      <c r="C60">
        <v>0</v>
      </c>
      <c r="D60">
        <v>2</v>
      </c>
    </row>
    <row r="61" spans="1:4">
      <c r="A61">
        <v>1598</v>
      </c>
      <c r="B61">
        <v>0</v>
      </c>
      <c r="C61">
        <v>0</v>
      </c>
      <c r="D61">
        <v>2</v>
      </c>
    </row>
    <row r="62" spans="1:4">
      <c r="A62">
        <v>1602</v>
      </c>
      <c r="B62">
        <v>0</v>
      </c>
      <c r="C62">
        <v>0</v>
      </c>
      <c r="D62">
        <v>2</v>
      </c>
    </row>
    <row r="63" spans="1:4">
      <c r="A63">
        <v>1622</v>
      </c>
      <c r="B63">
        <v>0</v>
      </c>
      <c r="C63">
        <v>2</v>
      </c>
      <c r="D63">
        <v>0</v>
      </c>
    </row>
    <row r="64" spans="1:4">
      <c r="A64">
        <v>1627</v>
      </c>
      <c r="B64">
        <v>0</v>
      </c>
      <c r="C64">
        <v>0</v>
      </c>
      <c r="D64">
        <v>2</v>
      </c>
    </row>
    <row r="65" spans="1:4">
      <c r="A65">
        <v>1662</v>
      </c>
      <c r="B65">
        <v>0</v>
      </c>
      <c r="C65">
        <v>0</v>
      </c>
      <c r="D65">
        <v>2</v>
      </c>
    </row>
    <row r="66" spans="1:4">
      <c r="A66">
        <v>1715</v>
      </c>
      <c r="B66">
        <v>0</v>
      </c>
      <c r="C66">
        <v>0</v>
      </c>
      <c r="D66">
        <v>2</v>
      </c>
    </row>
    <row r="67" spans="1:4">
      <c r="A67">
        <v>1717</v>
      </c>
      <c r="B67">
        <v>0</v>
      </c>
      <c r="C67">
        <v>0</v>
      </c>
      <c r="D67">
        <v>2</v>
      </c>
    </row>
    <row r="68" spans="1:4">
      <c r="A68">
        <v>1718</v>
      </c>
      <c r="B68">
        <v>0</v>
      </c>
      <c r="C68">
        <v>0</v>
      </c>
      <c r="D68">
        <v>2</v>
      </c>
    </row>
    <row r="69" spans="1:4">
      <c r="A69">
        <v>1725</v>
      </c>
      <c r="B69">
        <v>0</v>
      </c>
      <c r="C69">
        <v>2</v>
      </c>
      <c r="D69">
        <v>0</v>
      </c>
    </row>
    <row r="70" spans="1:4">
      <c r="A70">
        <v>1735</v>
      </c>
      <c r="B70">
        <v>0</v>
      </c>
      <c r="C70">
        <v>0</v>
      </c>
      <c r="D70">
        <v>2</v>
      </c>
    </row>
    <row r="71" spans="1:4">
      <c r="A71">
        <v>1740</v>
      </c>
      <c r="B71">
        <v>0</v>
      </c>
      <c r="C71">
        <v>0</v>
      </c>
      <c r="D71">
        <v>2</v>
      </c>
    </row>
    <row r="72" spans="1:4">
      <c r="A72">
        <v>1762</v>
      </c>
      <c r="B72">
        <v>0</v>
      </c>
      <c r="C72">
        <v>0</v>
      </c>
      <c r="D72">
        <v>2</v>
      </c>
    </row>
    <row r="73" spans="1:4">
      <c r="A73">
        <v>1800</v>
      </c>
      <c r="B73">
        <v>0</v>
      </c>
      <c r="C73">
        <v>0</v>
      </c>
      <c r="D73">
        <v>2</v>
      </c>
    </row>
    <row r="74" spans="1:4">
      <c r="A74">
        <v>1821</v>
      </c>
      <c r="B74">
        <v>0</v>
      </c>
      <c r="C74">
        <v>2</v>
      </c>
      <c r="D74">
        <v>0</v>
      </c>
    </row>
    <row r="75" spans="1:4">
      <c r="A75">
        <v>1824</v>
      </c>
      <c r="B75">
        <v>0</v>
      </c>
      <c r="C75">
        <v>0</v>
      </c>
      <c r="D75">
        <v>4</v>
      </c>
    </row>
    <row r="76" spans="1:4">
      <c r="A76">
        <v>1863</v>
      </c>
      <c r="B76">
        <v>0</v>
      </c>
      <c r="C76">
        <v>0</v>
      </c>
      <c r="D76">
        <v>4</v>
      </c>
    </row>
    <row r="77" spans="1:4">
      <c r="A77">
        <v>1957</v>
      </c>
      <c r="B77">
        <v>0</v>
      </c>
      <c r="C77">
        <v>2</v>
      </c>
      <c r="D77">
        <v>0</v>
      </c>
    </row>
    <row r="78" spans="1:4">
      <c r="A78">
        <v>1992</v>
      </c>
      <c r="B78">
        <v>0</v>
      </c>
      <c r="C78">
        <v>0</v>
      </c>
      <c r="D78">
        <v>2</v>
      </c>
    </row>
    <row r="79" spans="1:4">
      <c r="A79">
        <v>2035</v>
      </c>
      <c r="B79">
        <v>0</v>
      </c>
      <c r="C79">
        <v>0</v>
      </c>
      <c r="D79">
        <v>4</v>
      </c>
    </row>
    <row r="80" spans="1:4">
      <c r="A80">
        <v>2267</v>
      </c>
      <c r="B80">
        <v>0</v>
      </c>
      <c r="C80">
        <v>0</v>
      </c>
      <c r="D80">
        <v>2</v>
      </c>
    </row>
    <row r="81" spans="1:4">
      <c r="A81">
        <v>2289</v>
      </c>
      <c r="B81">
        <v>0</v>
      </c>
      <c r="C81">
        <v>2</v>
      </c>
      <c r="D81">
        <v>0</v>
      </c>
    </row>
    <row r="82" spans="1:4">
      <c r="A82">
        <v>2424</v>
      </c>
      <c r="B82">
        <v>0</v>
      </c>
      <c r="C82">
        <v>0</v>
      </c>
      <c r="D82">
        <v>2</v>
      </c>
    </row>
    <row r="83" spans="1:4">
      <c r="A83">
        <v>2529</v>
      </c>
      <c r="B83">
        <v>0</v>
      </c>
      <c r="C83">
        <v>2</v>
      </c>
      <c r="D83">
        <v>0</v>
      </c>
    </row>
    <row r="84" spans="1:4">
      <c r="A84">
        <v>2540</v>
      </c>
      <c r="B84">
        <v>0</v>
      </c>
      <c r="C84">
        <v>0</v>
      </c>
      <c r="D84">
        <v>4</v>
      </c>
    </row>
    <row r="85" spans="1:4">
      <c r="A85">
        <v>2553</v>
      </c>
      <c r="B85">
        <v>0</v>
      </c>
      <c r="C85">
        <v>4</v>
      </c>
      <c r="D85">
        <v>0</v>
      </c>
    </row>
    <row r="86" spans="1:4">
      <c r="A86">
        <v>2579</v>
      </c>
      <c r="B86">
        <v>0</v>
      </c>
      <c r="C86">
        <v>0</v>
      </c>
      <c r="D86">
        <v>2</v>
      </c>
    </row>
    <row r="87" spans="1:4">
      <c r="A87">
        <v>2632</v>
      </c>
      <c r="B87">
        <v>0</v>
      </c>
      <c r="C87">
        <v>0</v>
      </c>
      <c r="D87">
        <v>4</v>
      </c>
    </row>
    <row r="88" spans="1:4">
      <c r="A88">
        <v>2651</v>
      </c>
      <c r="B88">
        <v>0</v>
      </c>
      <c r="C88">
        <v>0</v>
      </c>
      <c r="D88">
        <v>2</v>
      </c>
    </row>
    <row r="89" spans="1:4">
      <c r="A89">
        <v>2659</v>
      </c>
      <c r="B89">
        <v>0</v>
      </c>
      <c r="C89">
        <v>0</v>
      </c>
      <c r="D89">
        <v>2</v>
      </c>
    </row>
    <row r="90" spans="1:4">
      <c r="A90">
        <v>2801</v>
      </c>
      <c r="B90">
        <v>0</v>
      </c>
      <c r="C90">
        <v>0</v>
      </c>
      <c r="D90">
        <v>2</v>
      </c>
    </row>
    <row r="91" spans="1:4">
      <c r="A91">
        <v>2819</v>
      </c>
      <c r="B91">
        <v>0</v>
      </c>
      <c r="C91">
        <v>2</v>
      </c>
      <c r="D91">
        <v>0</v>
      </c>
    </row>
    <row r="92" spans="1:4">
      <c r="A92">
        <v>2824</v>
      </c>
      <c r="B92">
        <v>0</v>
      </c>
      <c r="C92">
        <v>0</v>
      </c>
      <c r="D92">
        <v>2</v>
      </c>
    </row>
    <row r="93" spans="1:4">
      <c r="A93">
        <v>2850</v>
      </c>
      <c r="B93">
        <v>0</v>
      </c>
      <c r="C93">
        <v>0</v>
      </c>
      <c r="D93">
        <v>2</v>
      </c>
    </row>
    <row r="94" spans="1:4">
      <c r="A94">
        <v>2861</v>
      </c>
      <c r="B94">
        <v>0</v>
      </c>
      <c r="C94">
        <v>0</v>
      </c>
      <c r="D94">
        <v>2</v>
      </c>
    </row>
    <row r="95" spans="1:4">
      <c r="A95">
        <v>2870</v>
      </c>
      <c r="B95">
        <v>0</v>
      </c>
      <c r="C95">
        <v>2</v>
      </c>
      <c r="D95">
        <v>0</v>
      </c>
    </row>
    <row r="96" spans="1:4">
      <c r="A96">
        <v>2875</v>
      </c>
      <c r="B96">
        <v>0</v>
      </c>
      <c r="C96">
        <v>0</v>
      </c>
      <c r="D96">
        <v>2</v>
      </c>
    </row>
    <row r="97" spans="1:4">
      <c r="A97">
        <v>2880</v>
      </c>
      <c r="B97">
        <v>0</v>
      </c>
      <c r="C97">
        <v>0</v>
      </c>
      <c r="D97">
        <v>2</v>
      </c>
    </row>
    <row r="98" spans="1:4">
      <c r="A98">
        <v>2894</v>
      </c>
      <c r="B98">
        <v>0</v>
      </c>
      <c r="C98">
        <v>0</v>
      </c>
      <c r="D98">
        <v>2</v>
      </c>
    </row>
    <row r="99" spans="1:4">
      <c r="A99">
        <v>2908</v>
      </c>
      <c r="B99">
        <v>0</v>
      </c>
      <c r="C99">
        <v>2</v>
      </c>
      <c r="D99">
        <v>0</v>
      </c>
    </row>
    <row r="100" spans="1:4">
      <c r="A100">
        <v>2930</v>
      </c>
      <c r="B100">
        <v>0</v>
      </c>
      <c r="C100">
        <v>0</v>
      </c>
      <c r="D100">
        <v>2</v>
      </c>
    </row>
    <row r="101" spans="1:4">
      <c r="A101">
        <v>2934</v>
      </c>
      <c r="B101">
        <v>0</v>
      </c>
      <c r="C101">
        <v>0</v>
      </c>
      <c r="D101">
        <v>2</v>
      </c>
    </row>
    <row r="102" spans="1:4">
      <c r="A102">
        <v>2943</v>
      </c>
      <c r="B102">
        <v>0</v>
      </c>
      <c r="C102">
        <v>0</v>
      </c>
      <c r="D102">
        <v>2</v>
      </c>
    </row>
    <row r="103" spans="1:4">
      <c r="A103">
        <v>2952</v>
      </c>
      <c r="B103">
        <v>0</v>
      </c>
      <c r="C103">
        <v>2</v>
      </c>
      <c r="D103">
        <v>2</v>
      </c>
    </row>
    <row r="104" spans="1:4">
      <c r="A104">
        <v>2991</v>
      </c>
      <c r="B104">
        <v>0</v>
      </c>
      <c r="C104">
        <v>0</v>
      </c>
      <c r="D104">
        <v>2</v>
      </c>
    </row>
    <row r="105" spans="1:4">
      <c r="A105">
        <v>3027</v>
      </c>
      <c r="B105">
        <v>0</v>
      </c>
      <c r="C105">
        <v>2</v>
      </c>
      <c r="D105">
        <v>0</v>
      </c>
    </row>
    <row r="106" spans="1:4">
      <c r="A106">
        <v>3043</v>
      </c>
      <c r="B106">
        <v>0</v>
      </c>
      <c r="C106">
        <v>0</v>
      </c>
      <c r="D106">
        <v>2</v>
      </c>
    </row>
    <row r="107" spans="1:4">
      <c r="A107">
        <v>3044</v>
      </c>
      <c r="B107">
        <v>0</v>
      </c>
      <c r="C107">
        <v>0</v>
      </c>
      <c r="D107">
        <v>2</v>
      </c>
    </row>
    <row r="108" spans="1:4">
      <c r="A108">
        <v>3102</v>
      </c>
      <c r="B108">
        <v>0</v>
      </c>
      <c r="C108">
        <v>0</v>
      </c>
      <c r="D108">
        <v>2</v>
      </c>
    </row>
    <row r="109" spans="1:4">
      <c r="A109">
        <v>3129</v>
      </c>
      <c r="B109">
        <v>0</v>
      </c>
      <c r="C109">
        <v>2</v>
      </c>
      <c r="D109">
        <v>1</v>
      </c>
    </row>
    <row r="110" spans="1:4">
      <c r="A110">
        <v>3147</v>
      </c>
      <c r="B110">
        <v>0</v>
      </c>
      <c r="C110">
        <v>6</v>
      </c>
      <c r="D110">
        <v>0</v>
      </c>
    </row>
    <row r="111" spans="1:4">
      <c r="A111">
        <v>3161</v>
      </c>
      <c r="B111">
        <v>0</v>
      </c>
      <c r="C111">
        <v>0</v>
      </c>
      <c r="D111">
        <v>2</v>
      </c>
    </row>
    <row r="112" spans="1:4">
      <c r="A112">
        <v>3170</v>
      </c>
      <c r="B112">
        <v>0</v>
      </c>
      <c r="C112">
        <v>0</v>
      </c>
      <c r="D112">
        <v>2</v>
      </c>
    </row>
    <row r="113" spans="1:4">
      <c r="A113">
        <v>3179</v>
      </c>
      <c r="B113">
        <v>0</v>
      </c>
      <c r="C113">
        <v>2</v>
      </c>
      <c r="D113">
        <v>0</v>
      </c>
    </row>
    <row r="114" spans="1:4">
      <c r="A114">
        <v>3267</v>
      </c>
      <c r="B114">
        <v>0</v>
      </c>
      <c r="C114">
        <v>0</v>
      </c>
      <c r="D114">
        <v>2</v>
      </c>
    </row>
    <row r="115" spans="1:4">
      <c r="A115">
        <v>3269</v>
      </c>
      <c r="B115">
        <v>0</v>
      </c>
      <c r="C115">
        <v>0</v>
      </c>
      <c r="D115">
        <v>2</v>
      </c>
    </row>
    <row r="116" spans="1:4">
      <c r="A116">
        <v>3308</v>
      </c>
      <c r="B116">
        <v>0</v>
      </c>
      <c r="C116">
        <v>0</v>
      </c>
      <c r="D116">
        <v>2</v>
      </c>
    </row>
    <row r="117" spans="1:4">
      <c r="A117">
        <v>3326</v>
      </c>
      <c r="B117">
        <v>0</v>
      </c>
      <c r="C117">
        <v>2</v>
      </c>
      <c r="D117">
        <v>0</v>
      </c>
    </row>
    <row r="118" spans="1:4">
      <c r="A118">
        <v>3331</v>
      </c>
      <c r="B118">
        <v>0</v>
      </c>
      <c r="C118">
        <v>2</v>
      </c>
      <c r="D118">
        <v>2</v>
      </c>
    </row>
    <row r="119" spans="1:4">
      <c r="A119">
        <v>3332</v>
      </c>
      <c r="B119">
        <v>0</v>
      </c>
      <c r="C119">
        <v>4</v>
      </c>
      <c r="D119">
        <v>0</v>
      </c>
    </row>
    <row r="120" spans="1:4">
      <c r="A120">
        <v>3339</v>
      </c>
      <c r="B120">
        <v>0</v>
      </c>
      <c r="C120">
        <v>2</v>
      </c>
      <c r="D120">
        <v>2</v>
      </c>
    </row>
    <row r="121" spans="1:4">
      <c r="A121">
        <v>3346</v>
      </c>
      <c r="B121">
        <v>0</v>
      </c>
      <c r="C121">
        <v>0</v>
      </c>
      <c r="D121">
        <v>2</v>
      </c>
    </row>
    <row r="122" spans="1:4">
      <c r="A122">
        <v>3380</v>
      </c>
      <c r="B122">
        <v>0</v>
      </c>
      <c r="C122">
        <v>2</v>
      </c>
      <c r="D122">
        <v>0</v>
      </c>
    </row>
    <row r="123" spans="1:4">
      <c r="A123">
        <v>3390</v>
      </c>
      <c r="B123">
        <v>0</v>
      </c>
      <c r="C123">
        <v>2</v>
      </c>
      <c r="D123">
        <v>2</v>
      </c>
    </row>
    <row r="124" spans="1:4">
      <c r="A124">
        <v>3396</v>
      </c>
      <c r="B124">
        <v>0</v>
      </c>
      <c r="C124">
        <v>0</v>
      </c>
      <c r="D124">
        <v>2</v>
      </c>
    </row>
    <row r="125" spans="1:4">
      <c r="A125">
        <v>3409</v>
      </c>
      <c r="B125">
        <v>0</v>
      </c>
      <c r="C125">
        <v>0</v>
      </c>
      <c r="D125">
        <v>2</v>
      </c>
    </row>
    <row r="126" spans="1:4">
      <c r="A126">
        <v>3467</v>
      </c>
      <c r="B126">
        <v>0</v>
      </c>
      <c r="C126">
        <v>0</v>
      </c>
      <c r="D126">
        <v>2</v>
      </c>
    </row>
    <row r="127" spans="1:4">
      <c r="A127">
        <v>3468</v>
      </c>
      <c r="B127">
        <v>0</v>
      </c>
      <c r="C127">
        <v>0</v>
      </c>
      <c r="D127">
        <v>2</v>
      </c>
    </row>
    <row r="128" spans="1:4">
      <c r="A128">
        <v>3518</v>
      </c>
      <c r="B128">
        <v>0</v>
      </c>
      <c r="C128">
        <v>2</v>
      </c>
      <c r="D128">
        <v>0</v>
      </c>
    </row>
    <row r="129" spans="1:4">
      <c r="A129">
        <v>3519</v>
      </c>
      <c r="B129">
        <v>0</v>
      </c>
      <c r="C129">
        <v>2</v>
      </c>
      <c r="D129">
        <v>0</v>
      </c>
    </row>
    <row r="130" spans="1:4">
      <c r="A130">
        <v>3562</v>
      </c>
      <c r="B130">
        <v>0</v>
      </c>
      <c r="C130">
        <v>0</v>
      </c>
      <c r="D130">
        <v>2</v>
      </c>
    </row>
    <row r="131" spans="1:4">
      <c r="A131">
        <v>3563</v>
      </c>
      <c r="B131">
        <v>0</v>
      </c>
      <c r="C131">
        <v>2</v>
      </c>
      <c r="D131">
        <v>0</v>
      </c>
    </row>
    <row r="132" spans="1:4">
      <c r="A132">
        <v>3571</v>
      </c>
      <c r="B132">
        <v>0</v>
      </c>
      <c r="C132">
        <v>0</v>
      </c>
      <c r="D132">
        <v>2</v>
      </c>
    </row>
    <row r="133" spans="1:4">
      <c r="A133">
        <v>3661</v>
      </c>
      <c r="B133">
        <v>0</v>
      </c>
      <c r="C133">
        <v>2</v>
      </c>
      <c r="D133">
        <v>0</v>
      </c>
    </row>
    <row r="134" spans="1:4">
      <c r="A134">
        <v>3717</v>
      </c>
      <c r="B134">
        <v>0</v>
      </c>
      <c r="C134">
        <v>2</v>
      </c>
      <c r="D134">
        <v>4</v>
      </c>
    </row>
    <row r="135" spans="1:4">
      <c r="A135">
        <v>3764</v>
      </c>
      <c r="B135">
        <v>0</v>
      </c>
      <c r="C135">
        <v>0</v>
      </c>
      <c r="D135">
        <v>2</v>
      </c>
    </row>
    <row r="136" spans="1:4">
      <c r="A136">
        <v>3812</v>
      </c>
      <c r="B136">
        <v>0</v>
      </c>
      <c r="C136">
        <v>0</v>
      </c>
      <c r="D136">
        <v>4</v>
      </c>
    </row>
    <row r="137" spans="1:4">
      <c r="A137">
        <v>3818</v>
      </c>
      <c r="B137">
        <v>0</v>
      </c>
      <c r="C137">
        <v>2</v>
      </c>
      <c r="D137">
        <v>0</v>
      </c>
    </row>
    <row r="138" spans="1:4">
      <c r="A138">
        <v>3828</v>
      </c>
      <c r="B138">
        <v>0</v>
      </c>
      <c r="C138">
        <v>2</v>
      </c>
      <c r="D138">
        <v>2</v>
      </c>
    </row>
    <row r="139" spans="1:4">
      <c r="A139">
        <v>3840</v>
      </c>
      <c r="B139">
        <v>0</v>
      </c>
      <c r="C139">
        <v>0</v>
      </c>
      <c r="D139">
        <v>2</v>
      </c>
    </row>
    <row r="140" spans="1:4">
      <c r="A140">
        <v>3882</v>
      </c>
      <c r="B140">
        <v>0</v>
      </c>
      <c r="C140">
        <v>2</v>
      </c>
      <c r="D140">
        <v>0</v>
      </c>
    </row>
    <row r="141" spans="1:4">
      <c r="A141">
        <v>3902</v>
      </c>
      <c r="B141">
        <v>0</v>
      </c>
      <c r="C141">
        <v>0</v>
      </c>
      <c r="D141">
        <v>2</v>
      </c>
    </row>
    <row r="142" spans="1:4">
      <c r="A142">
        <v>3927</v>
      </c>
      <c r="B142">
        <v>0</v>
      </c>
      <c r="C142">
        <v>2</v>
      </c>
      <c r="D142">
        <v>2</v>
      </c>
    </row>
    <row r="143" spans="1:4">
      <c r="A143">
        <v>3970</v>
      </c>
      <c r="B143">
        <v>0</v>
      </c>
      <c r="C143">
        <v>3</v>
      </c>
      <c r="D143">
        <v>0</v>
      </c>
    </row>
    <row r="144" spans="1:4">
      <c r="A144">
        <v>3986</v>
      </c>
      <c r="B144">
        <v>0</v>
      </c>
      <c r="C144">
        <v>0</v>
      </c>
      <c r="D144">
        <v>2</v>
      </c>
    </row>
    <row r="145" spans="1:4">
      <c r="A145">
        <v>3989</v>
      </c>
      <c r="B145">
        <v>0</v>
      </c>
      <c r="C145">
        <v>0</v>
      </c>
      <c r="D145">
        <v>2</v>
      </c>
    </row>
    <row r="146" spans="1:4">
      <c r="A146">
        <v>4013</v>
      </c>
      <c r="B146">
        <v>0</v>
      </c>
      <c r="C146">
        <v>0</v>
      </c>
      <c r="D146">
        <v>2</v>
      </c>
    </row>
    <row r="147" spans="1:4">
      <c r="A147">
        <v>4040</v>
      </c>
      <c r="B147">
        <v>0</v>
      </c>
      <c r="C147">
        <v>2</v>
      </c>
      <c r="D147">
        <v>0</v>
      </c>
    </row>
    <row r="148" spans="1:4">
      <c r="A148">
        <v>4063</v>
      </c>
      <c r="B148">
        <v>0</v>
      </c>
      <c r="C148">
        <v>12</v>
      </c>
      <c r="D148">
        <v>5</v>
      </c>
    </row>
    <row r="149" spans="1:4">
      <c r="A149">
        <v>4096</v>
      </c>
      <c r="B149">
        <v>0</v>
      </c>
      <c r="C149">
        <v>2</v>
      </c>
      <c r="D149">
        <v>0</v>
      </c>
    </row>
    <row r="150" spans="1:4">
      <c r="A150">
        <v>4103</v>
      </c>
      <c r="B150">
        <v>0</v>
      </c>
      <c r="C150">
        <v>2</v>
      </c>
      <c r="D150">
        <v>0</v>
      </c>
    </row>
    <row r="151" spans="1:4">
      <c r="A151">
        <v>4104</v>
      </c>
      <c r="B151">
        <v>0</v>
      </c>
      <c r="C151">
        <v>8</v>
      </c>
      <c r="D151">
        <v>0</v>
      </c>
    </row>
    <row r="152" spans="1:4">
      <c r="A152">
        <v>4108</v>
      </c>
      <c r="B152">
        <v>0</v>
      </c>
      <c r="C152">
        <v>0</v>
      </c>
      <c r="D152">
        <v>2</v>
      </c>
    </row>
    <row r="153" spans="1:4">
      <c r="A153">
        <v>4109</v>
      </c>
      <c r="B153">
        <v>0</v>
      </c>
      <c r="C153">
        <v>2</v>
      </c>
      <c r="D153">
        <v>0</v>
      </c>
    </row>
    <row r="154" spans="1:4">
      <c r="A154">
        <v>4142</v>
      </c>
      <c r="B154">
        <v>0</v>
      </c>
      <c r="C154">
        <v>0</v>
      </c>
      <c r="D154">
        <v>2</v>
      </c>
    </row>
    <row r="155" spans="1:4">
      <c r="A155">
        <v>4162</v>
      </c>
      <c r="B155">
        <v>0</v>
      </c>
      <c r="C155">
        <v>2</v>
      </c>
      <c r="D155">
        <v>0</v>
      </c>
    </row>
    <row r="156" spans="1:4">
      <c r="A156">
        <v>4198</v>
      </c>
      <c r="B156">
        <v>0</v>
      </c>
      <c r="C156">
        <v>0</v>
      </c>
      <c r="D156">
        <v>4</v>
      </c>
    </row>
    <row r="157" spans="1:4">
      <c r="A157">
        <v>4252</v>
      </c>
      <c r="B157">
        <v>0</v>
      </c>
      <c r="C157">
        <v>0</v>
      </c>
      <c r="D157">
        <v>2</v>
      </c>
    </row>
    <row r="158" spans="1:4">
      <c r="A158">
        <v>4256</v>
      </c>
      <c r="B158">
        <v>0</v>
      </c>
      <c r="C158">
        <v>2</v>
      </c>
      <c r="D15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712"/>
  <sheetViews>
    <sheetView zoomScale="120" zoomScaleNormal="120" workbookViewId="0">
      <selection activeCell="B1" sqref="B1"/>
    </sheetView>
  </sheetViews>
  <sheetFormatPr baseColWidth="10" defaultColWidth="8.83203125" defaultRowHeight="15"/>
  <cols>
    <col min="1" max="1" width="9.83203125" bestFit="1" customWidth="1"/>
    <col min="2" max="2" width="9.33203125" customWidth="1"/>
    <col min="3" max="3" width="10.83203125" bestFit="1" customWidth="1"/>
    <col min="5" max="5" width="11" customWidth="1"/>
    <col min="6" max="6" width="10" bestFit="1" customWidth="1"/>
    <col min="11" max="11" width="15.6640625" bestFit="1" customWidth="1"/>
    <col min="12" max="12" width="17.83203125" customWidth="1"/>
    <col min="15" max="15" width="10.1640625" bestFit="1" customWidth="1"/>
    <col min="16" max="16" width="10.33203125" bestFit="1" customWidth="1"/>
    <col min="17" max="17" width="9.5" bestFit="1" customWidth="1"/>
    <col min="18" max="18" width="9.6640625" bestFit="1" customWidth="1"/>
    <col min="19" max="19" width="10.1640625" bestFit="1" customWidth="1"/>
    <col min="20" max="21" width="15.5" bestFit="1" customWidth="1"/>
    <col min="22" max="22" width="10.83203125" bestFit="1" customWidth="1"/>
    <col min="23" max="23" width="21.83203125" bestFit="1" customWidth="1"/>
    <col min="24" max="24" width="28" bestFit="1" customWidth="1"/>
    <col min="26" max="26" width="10.83203125" bestFit="1" customWidth="1"/>
    <col min="29" max="29" width="9.33203125" bestFit="1" customWidth="1"/>
    <col min="31" max="31" width="10.1640625" bestFit="1" customWidth="1"/>
    <col min="32" max="32" width="9.1640625" bestFit="1" customWidth="1"/>
    <col min="33" max="33" width="8.5" bestFit="1" customWidth="1"/>
    <col min="34" max="34" width="9.5" bestFit="1" customWidth="1"/>
    <col min="36" max="36" width="10.33203125" bestFit="1" customWidth="1"/>
    <col min="37" max="37" width="9.33203125" bestFit="1" customWidth="1"/>
    <col min="43" max="43" width="11.5" bestFit="1" customWidth="1"/>
    <col min="44" max="45" width="15.5" bestFit="1" customWidth="1"/>
    <col min="46" max="46" width="12.83203125" bestFit="1" customWidth="1"/>
    <col min="47" max="47" width="22" bestFit="1" customWidth="1"/>
    <col min="54" max="54" width="10" bestFit="1" customWidth="1"/>
    <col min="55" max="55" width="18" bestFit="1" customWidth="1"/>
  </cols>
  <sheetData>
    <row r="1" spans="1:57">
      <c r="A1">
        <f>SUM(A3:A712)</f>
        <v>0</v>
      </c>
      <c r="B1">
        <f>SUM(B3:B712)</f>
        <v>134</v>
      </c>
      <c r="C1">
        <f t="shared" ref="B1:C1" si="0">SUM(C3:C712)</f>
        <v>178</v>
      </c>
      <c r="E1" t="s">
        <v>0</v>
      </c>
      <c r="N1" t="s">
        <v>1</v>
      </c>
      <c r="X1" t="s">
        <v>2</v>
      </c>
      <c r="Y1">
        <f t="shared" ref="Y1" si="1">SUM(Y3:Y712)</f>
        <v>312</v>
      </c>
      <c r="AL1" t="s">
        <v>3</v>
      </c>
      <c r="AV1" t="s">
        <v>4</v>
      </c>
    </row>
    <row r="2" spans="1:57">
      <c r="A2" t="s">
        <v>5754</v>
      </c>
      <c r="B2" t="s">
        <v>5755</v>
      </c>
      <c r="C2" t="s">
        <v>5756</v>
      </c>
      <c r="D2" t="s">
        <v>5</v>
      </c>
      <c r="E2" t="s">
        <v>6</v>
      </c>
      <c r="F2" t="s">
        <v>5758</v>
      </c>
      <c r="G2" t="s">
        <v>7</v>
      </c>
      <c r="H2" t="s">
        <v>5759</v>
      </c>
      <c r="I2" t="s">
        <v>5760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</row>
    <row r="3" spans="1:57">
      <c r="A3">
        <v>0</v>
      </c>
      <c r="B3">
        <v>0</v>
      </c>
      <c r="C3">
        <v>0</v>
      </c>
      <c r="D3">
        <v>997</v>
      </c>
      <c r="E3" t="s">
        <v>1450</v>
      </c>
      <c r="F3" t="s">
        <v>5762</v>
      </c>
      <c r="G3" t="s">
        <v>57</v>
      </c>
      <c r="H3">
        <v>1038653</v>
      </c>
      <c r="I3">
        <v>1038757</v>
      </c>
      <c r="J3" t="s">
        <v>170</v>
      </c>
      <c r="K3">
        <v>35</v>
      </c>
      <c r="L3" t="s">
        <v>59</v>
      </c>
      <c r="M3">
        <v>5</v>
      </c>
      <c r="N3" t="str">
        <f>HYPERLINK("Gene997-zp_tree_all.dnd", "Gene997-tree")</f>
        <v>Gene997-tree</v>
      </c>
      <c r="O3">
        <v>2</v>
      </c>
      <c r="P3">
        <v>2</v>
      </c>
      <c r="Q3">
        <v>2</v>
      </c>
      <c r="R3">
        <v>2</v>
      </c>
      <c r="S3">
        <v>0.5</v>
      </c>
      <c r="T3" t="s">
        <v>135</v>
      </c>
      <c r="U3" t="s">
        <v>135</v>
      </c>
      <c r="V3" t="s">
        <v>62</v>
      </c>
      <c r="W3" t="s">
        <v>62</v>
      </c>
      <c r="X3">
        <v>0</v>
      </c>
      <c r="Y3">
        <v>0</v>
      </c>
      <c r="Z3">
        <v>2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2</v>
      </c>
      <c r="AM3">
        <v>1</v>
      </c>
      <c r="AN3">
        <v>1</v>
      </c>
      <c r="AO3">
        <v>1</v>
      </c>
      <c r="AP3">
        <v>0</v>
      </c>
      <c r="AQ3">
        <v>1</v>
      </c>
      <c r="AR3" t="s">
        <v>1451</v>
      </c>
      <c r="AS3" t="s">
        <v>64</v>
      </c>
      <c r="AT3">
        <v>0.70699999999999996</v>
      </c>
      <c r="AU3" t="s">
        <v>65</v>
      </c>
      <c r="AV3">
        <v>1</v>
      </c>
      <c r="AW3">
        <v>2</v>
      </c>
      <c r="AX3" t="s">
        <v>1452</v>
      </c>
      <c r="AY3" t="s">
        <v>1453</v>
      </c>
      <c r="AZ3" t="s">
        <v>1454</v>
      </c>
      <c r="BA3">
        <v>0.57764000000000004</v>
      </c>
      <c r="BB3">
        <v>0.35899999999999999</v>
      </c>
      <c r="BC3" t="s">
        <v>793</v>
      </c>
      <c r="BD3">
        <v>-0.17499999999999999</v>
      </c>
      <c r="BE3">
        <v>-0.17499999999999999</v>
      </c>
    </row>
    <row r="4" spans="1:57">
      <c r="A4">
        <v>0</v>
      </c>
      <c r="B4">
        <v>0</v>
      </c>
      <c r="C4">
        <v>2</v>
      </c>
      <c r="D4">
        <v>3102</v>
      </c>
      <c r="E4" t="s">
        <v>4218</v>
      </c>
      <c r="F4" t="s">
        <v>5762</v>
      </c>
      <c r="G4" t="s">
        <v>62</v>
      </c>
      <c r="H4">
        <v>3054553</v>
      </c>
      <c r="I4">
        <v>3054666</v>
      </c>
      <c r="J4" t="s">
        <v>4219</v>
      </c>
      <c r="K4">
        <v>38</v>
      </c>
      <c r="L4" t="s">
        <v>59</v>
      </c>
      <c r="M4">
        <v>5</v>
      </c>
      <c r="N4" t="str">
        <f>HYPERLINK("Gene3102-zp_tree_all.dnd", "Gene3102-tree")</f>
        <v>Gene3102-tree</v>
      </c>
      <c r="O4">
        <v>0</v>
      </c>
      <c r="P4">
        <v>4</v>
      </c>
      <c r="Q4">
        <v>0</v>
      </c>
      <c r="R4">
        <v>4</v>
      </c>
      <c r="S4">
        <v>1</v>
      </c>
      <c r="T4" t="s">
        <v>62</v>
      </c>
      <c r="U4" t="s">
        <v>60</v>
      </c>
      <c r="V4" t="s">
        <v>62</v>
      </c>
      <c r="W4" t="s">
        <v>62</v>
      </c>
      <c r="X4">
        <v>1</v>
      </c>
      <c r="Y4">
        <v>2</v>
      </c>
      <c r="Z4">
        <v>2</v>
      </c>
      <c r="AA4">
        <v>0.5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2</v>
      </c>
      <c r="AI4">
        <v>2</v>
      </c>
      <c r="AJ4">
        <v>2</v>
      </c>
      <c r="AK4">
        <v>0.5</v>
      </c>
      <c r="AL4">
        <v>2</v>
      </c>
      <c r="AM4">
        <v>1</v>
      </c>
      <c r="AN4">
        <v>0</v>
      </c>
      <c r="AO4">
        <v>2</v>
      </c>
      <c r="AP4">
        <v>0</v>
      </c>
      <c r="AQ4">
        <v>2</v>
      </c>
      <c r="AR4" t="s">
        <v>64</v>
      </c>
      <c r="AS4" t="s">
        <v>64</v>
      </c>
      <c r="AT4">
        <v>0</v>
      </c>
      <c r="AU4" t="s">
        <v>65</v>
      </c>
      <c r="AV4">
        <v>0</v>
      </c>
      <c r="AW4">
        <v>4</v>
      </c>
      <c r="AX4" t="s">
        <v>4220</v>
      </c>
      <c r="AY4" t="s">
        <v>4221</v>
      </c>
      <c r="AZ4" t="s">
        <v>4222</v>
      </c>
      <c r="BA4">
        <v>1.33385</v>
      </c>
      <c r="BB4">
        <v>0.11700000000000001</v>
      </c>
      <c r="BC4" t="s">
        <v>793</v>
      </c>
      <c r="BD4">
        <v>0.27300000000000002</v>
      </c>
      <c r="BE4">
        <v>0.27300000000000002</v>
      </c>
    </row>
    <row r="5" spans="1:57">
      <c r="A5">
        <v>0</v>
      </c>
      <c r="B5">
        <v>0</v>
      </c>
      <c r="C5">
        <v>0</v>
      </c>
      <c r="D5">
        <v>1522</v>
      </c>
      <c r="E5" t="s">
        <v>2045</v>
      </c>
      <c r="F5" t="s">
        <v>5762</v>
      </c>
      <c r="G5" t="s">
        <v>57</v>
      </c>
      <c r="H5">
        <v>1534120</v>
      </c>
      <c r="I5">
        <v>1534236</v>
      </c>
      <c r="J5" t="s">
        <v>2046</v>
      </c>
      <c r="K5">
        <v>39</v>
      </c>
      <c r="L5" t="s">
        <v>59</v>
      </c>
      <c r="M5">
        <v>5</v>
      </c>
      <c r="N5" t="str">
        <f>HYPERLINK("Gene1522-zp_tree_all.dnd", "Gene1522-tree")</f>
        <v>Gene1522-tree</v>
      </c>
      <c r="O5">
        <v>3</v>
      </c>
      <c r="P5">
        <v>1</v>
      </c>
      <c r="Q5">
        <v>3</v>
      </c>
      <c r="R5">
        <v>1</v>
      </c>
      <c r="S5">
        <v>0.25</v>
      </c>
      <c r="T5" t="s">
        <v>84</v>
      </c>
      <c r="U5" t="s">
        <v>61</v>
      </c>
      <c r="V5" t="s">
        <v>62</v>
      </c>
      <c r="W5" t="s">
        <v>62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4</v>
      </c>
      <c r="AM5">
        <v>1</v>
      </c>
      <c r="AN5">
        <v>4</v>
      </c>
      <c r="AO5">
        <v>1</v>
      </c>
      <c r="AP5">
        <v>2</v>
      </c>
      <c r="AQ5">
        <v>0</v>
      </c>
      <c r="AR5" t="s">
        <v>2047</v>
      </c>
      <c r="AS5" t="s">
        <v>64</v>
      </c>
      <c r="AT5">
        <v>0.66700000000000004</v>
      </c>
      <c r="AU5" t="s">
        <v>65</v>
      </c>
      <c r="AV5">
        <v>6</v>
      </c>
      <c r="AW5">
        <v>1</v>
      </c>
      <c r="AX5" t="s">
        <v>2048</v>
      </c>
      <c r="AY5" t="s">
        <v>2049</v>
      </c>
      <c r="AZ5" t="s">
        <v>2050</v>
      </c>
      <c r="BA5">
        <v>3.7280000000000001E-2</v>
      </c>
      <c r="BB5">
        <v>1</v>
      </c>
      <c r="BC5" t="s">
        <v>69</v>
      </c>
      <c r="BD5">
        <v>0.28599999999999998</v>
      </c>
      <c r="BE5">
        <v>0.28599999999999998</v>
      </c>
    </row>
    <row r="6" spans="1:57">
      <c r="A6">
        <v>0</v>
      </c>
      <c r="B6">
        <v>0</v>
      </c>
      <c r="C6">
        <v>2</v>
      </c>
      <c r="D6">
        <v>2894</v>
      </c>
      <c r="E6" t="s">
        <v>3776</v>
      </c>
      <c r="F6" t="s">
        <v>5762</v>
      </c>
      <c r="G6" t="s">
        <v>62</v>
      </c>
      <c r="H6">
        <v>2840806</v>
      </c>
      <c r="I6">
        <v>2840925</v>
      </c>
      <c r="J6" t="s">
        <v>1082</v>
      </c>
      <c r="K6">
        <v>40</v>
      </c>
      <c r="L6" t="s">
        <v>112</v>
      </c>
      <c r="M6">
        <v>4</v>
      </c>
      <c r="N6" t="str">
        <f>HYPERLINK("Gene2894-zp_tree_all.dnd", "Gene2894-tree")</f>
        <v>Gene2894-tree</v>
      </c>
      <c r="O6">
        <v>2</v>
      </c>
      <c r="P6">
        <v>2</v>
      </c>
      <c r="Q6">
        <v>2</v>
      </c>
      <c r="R6">
        <v>2</v>
      </c>
      <c r="S6">
        <v>0.5</v>
      </c>
      <c r="T6" t="s">
        <v>135</v>
      </c>
      <c r="U6" t="s">
        <v>135</v>
      </c>
      <c r="V6" t="s">
        <v>62</v>
      </c>
      <c r="W6" t="s">
        <v>62</v>
      </c>
      <c r="X6">
        <v>1</v>
      </c>
      <c r="Y6">
        <v>2</v>
      </c>
      <c r="Z6">
        <v>2</v>
      </c>
      <c r="AA6">
        <v>0.5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2</v>
      </c>
      <c r="AI6">
        <v>2</v>
      </c>
      <c r="AJ6">
        <v>2</v>
      </c>
      <c r="AK6">
        <v>0.5</v>
      </c>
      <c r="AL6">
        <v>2</v>
      </c>
      <c r="AM6">
        <v>1</v>
      </c>
      <c r="AN6">
        <v>4</v>
      </c>
      <c r="AO6">
        <v>4</v>
      </c>
      <c r="AP6">
        <v>1</v>
      </c>
      <c r="AQ6">
        <v>0</v>
      </c>
      <c r="AR6" t="s">
        <v>3777</v>
      </c>
      <c r="AS6" t="s">
        <v>64</v>
      </c>
      <c r="AT6">
        <v>5.5330000000000004</v>
      </c>
      <c r="AU6" t="s">
        <v>286</v>
      </c>
      <c r="AV6">
        <v>5</v>
      </c>
      <c r="AW6">
        <v>4</v>
      </c>
      <c r="AX6" t="s">
        <v>3778</v>
      </c>
      <c r="AY6" t="s">
        <v>3779</v>
      </c>
      <c r="AZ6" t="s">
        <v>3780</v>
      </c>
      <c r="BA6">
        <v>0.19932</v>
      </c>
      <c r="BB6">
        <v>0.94599999999999995</v>
      </c>
      <c r="BC6" t="s">
        <v>793</v>
      </c>
      <c r="BD6">
        <v>0.309</v>
      </c>
      <c r="BE6">
        <v>-0.82399999999999995</v>
      </c>
    </row>
    <row r="7" spans="1:57">
      <c r="A7">
        <v>0</v>
      </c>
      <c r="B7">
        <v>0</v>
      </c>
      <c r="C7">
        <v>0</v>
      </c>
      <c r="D7">
        <v>1868</v>
      </c>
      <c r="E7" t="s">
        <v>2800</v>
      </c>
      <c r="F7" t="s">
        <v>5762</v>
      </c>
      <c r="G7" t="s">
        <v>57</v>
      </c>
      <c r="H7">
        <v>1930074</v>
      </c>
      <c r="I7">
        <v>1930196</v>
      </c>
      <c r="J7" t="s">
        <v>170</v>
      </c>
      <c r="K7">
        <v>41</v>
      </c>
      <c r="L7" t="s">
        <v>59</v>
      </c>
      <c r="M7">
        <v>5</v>
      </c>
      <c r="N7" t="str">
        <f>HYPERLINK("Gene1868-zp_tree_all.dnd", "Gene1868-tree")</f>
        <v>Gene1868-tree</v>
      </c>
      <c r="O7">
        <v>4</v>
      </c>
      <c r="P7">
        <v>0</v>
      </c>
      <c r="Q7">
        <v>4</v>
      </c>
      <c r="R7">
        <v>0</v>
      </c>
      <c r="S7">
        <v>0</v>
      </c>
      <c r="T7" t="s">
        <v>60</v>
      </c>
      <c r="U7" t="s">
        <v>62</v>
      </c>
      <c r="V7" t="s">
        <v>62</v>
      </c>
      <c r="W7" t="s">
        <v>62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3</v>
      </c>
      <c r="AM7">
        <v>0</v>
      </c>
      <c r="AN7">
        <v>4</v>
      </c>
      <c r="AO7">
        <v>0</v>
      </c>
      <c r="AP7">
        <v>0</v>
      </c>
      <c r="AQ7">
        <v>0</v>
      </c>
      <c r="AR7" t="s">
        <v>64</v>
      </c>
      <c r="AS7" t="s">
        <v>64</v>
      </c>
      <c r="AT7">
        <v>0</v>
      </c>
      <c r="AU7" t="s">
        <v>65</v>
      </c>
      <c r="AV7">
        <v>4</v>
      </c>
      <c r="AW7">
        <v>0</v>
      </c>
      <c r="AX7" t="s">
        <v>2801</v>
      </c>
      <c r="AY7" t="s">
        <v>2802</v>
      </c>
      <c r="AZ7" t="s">
        <v>64</v>
      </c>
      <c r="BA7">
        <v>0</v>
      </c>
      <c r="BB7">
        <v>1</v>
      </c>
      <c r="BC7" t="s">
        <v>69</v>
      </c>
      <c r="BD7">
        <v>0.27300000000000002</v>
      </c>
      <c r="BE7">
        <v>0.27300000000000002</v>
      </c>
    </row>
    <row r="8" spans="1:57">
      <c r="A8">
        <v>0</v>
      </c>
      <c r="B8">
        <v>0</v>
      </c>
      <c r="C8">
        <v>0</v>
      </c>
      <c r="D8">
        <v>4053</v>
      </c>
      <c r="E8" t="s">
        <v>5446</v>
      </c>
      <c r="F8" t="s">
        <v>5762</v>
      </c>
      <c r="G8" t="s">
        <v>62</v>
      </c>
      <c r="H8">
        <v>4019008</v>
      </c>
      <c r="I8">
        <v>4019136</v>
      </c>
      <c r="J8" t="s">
        <v>118</v>
      </c>
      <c r="K8">
        <v>43</v>
      </c>
      <c r="L8" t="s">
        <v>59</v>
      </c>
      <c r="M8">
        <v>5</v>
      </c>
      <c r="N8" t="str">
        <f>HYPERLINK("Gene4053-zp_tree_all.dnd", "Gene4053-tree")</f>
        <v>Gene4053-tree</v>
      </c>
      <c r="O8">
        <v>0</v>
      </c>
      <c r="P8">
        <v>5</v>
      </c>
      <c r="Q8">
        <v>0</v>
      </c>
      <c r="R8">
        <v>5</v>
      </c>
      <c r="S8">
        <v>1</v>
      </c>
      <c r="T8" t="s">
        <v>62</v>
      </c>
      <c r="U8" t="s">
        <v>98</v>
      </c>
      <c r="V8" t="s">
        <v>62</v>
      </c>
      <c r="W8" t="s">
        <v>62</v>
      </c>
      <c r="X8">
        <v>0</v>
      </c>
      <c r="Y8">
        <v>0</v>
      </c>
      <c r="Z8">
        <v>7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6</v>
      </c>
      <c r="AK8">
        <v>0</v>
      </c>
      <c r="AL8">
        <v>4</v>
      </c>
      <c r="AM8">
        <v>2</v>
      </c>
      <c r="AN8">
        <v>3</v>
      </c>
      <c r="AO8">
        <v>5</v>
      </c>
      <c r="AP8">
        <v>1</v>
      </c>
      <c r="AQ8">
        <v>2</v>
      </c>
      <c r="AR8" t="s">
        <v>5447</v>
      </c>
      <c r="AS8" t="s">
        <v>5448</v>
      </c>
      <c r="AT8">
        <v>0.2</v>
      </c>
      <c r="AU8" t="s">
        <v>65</v>
      </c>
      <c r="AV8">
        <v>4</v>
      </c>
      <c r="AW8">
        <v>7</v>
      </c>
      <c r="AX8" t="s">
        <v>5449</v>
      </c>
      <c r="AY8" t="s">
        <v>5450</v>
      </c>
      <c r="AZ8" t="s">
        <v>5451</v>
      </c>
      <c r="BA8">
        <v>0.42058000000000001</v>
      </c>
      <c r="BB8">
        <v>0.86499999999999999</v>
      </c>
      <c r="BC8" t="s">
        <v>793</v>
      </c>
      <c r="BD8">
        <v>-0.38200000000000001</v>
      </c>
      <c r="BE8">
        <v>-0.38200000000000001</v>
      </c>
    </row>
    <row r="9" spans="1:57">
      <c r="A9">
        <v>0</v>
      </c>
      <c r="B9">
        <v>0</v>
      </c>
      <c r="C9">
        <v>0</v>
      </c>
      <c r="D9">
        <v>3162</v>
      </c>
      <c r="E9" t="s">
        <v>4286</v>
      </c>
      <c r="F9" t="s">
        <v>5762</v>
      </c>
      <c r="G9" t="s">
        <v>62</v>
      </c>
      <c r="H9">
        <v>3119276</v>
      </c>
      <c r="I9">
        <v>3119410</v>
      </c>
      <c r="J9" t="s">
        <v>118</v>
      </c>
      <c r="K9">
        <v>45</v>
      </c>
      <c r="L9" t="s">
        <v>59</v>
      </c>
      <c r="M9">
        <v>5</v>
      </c>
      <c r="N9" t="str">
        <f>HYPERLINK("Gene3162-zp_tree_all.dnd", "Gene3162-tree")</f>
        <v>Gene3162-tree</v>
      </c>
      <c r="O9">
        <v>4</v>
      </c>
      <c r="P9">
        <v>1</v>
      </c>
      <c r="Q9">
        <v>4</v>
      </c>
      <c r="R9">
        <v>1</v>
      </c>
      <c r="S9">
        <v>0.2</v>
      </c>
      <c r="T9" t="s">
        <v>60</v>
      </c>
      <c r="U9" t="s">
        <v>61</v>
      </c>
      <c r="V9" t="s">
        <v>62</v>
      </c>
      <c r="W9" t="s">
        <v>62</v>
      </c>
      <c r="X9">
        <v>0</v>
      </c>
      <c r="Y9">
        <v>0</v>
      </c>
      <c r="Z9">
        <v>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4</v>
      </c>
      <c r="AM9">
        <v>1</v>
      </c>
      <c r="AN9">
        <v>4</v>
      </c>
      <c r="AO9">
        <v>1</v>
      </c>
      <c r="AP9">
        <v>2</v>
      </c>
      <c r="AQ9">
        <v>2</v>
      </c>
      <c r="AR9" t="s">
        <v>4287</v>
      </c>
      <c r="AS9" t="s">
        <v>4288</v>
      </c>
      <c r="AT9">
        <v>1.9470000000000001</v>
      </c>
      <c r="AU9" t="s">
        <v>65</v>
      </c>
      <c r="AV9">
        <v>6</v>
      </c>
      <c r="AW9">
        <v>3</v>
      </c>
      <c r="AX9" t="s">
        <v>4289</v>
      </c>
      <c r="AY9" t="s">
        <v>4290</v>
      </c>
      <c r="AZ9" t="s">
        <v>4291</v>
      </c>
      <c r="BA9">
        <v>0.15217</v>
      </c>
      <c r="BB9">
        <v>0.96699999999999997</v>
      </c>
      <c r="BC9" t="s">
        <v>69</v>
      </c>
      <c r="BD9">
        <v>0.47699999999999998</v>
      </c>
      <c r="BE9">
        <v>-0.44</v>
      </c>
    </row>
    <row r="10" spans="1:57">
      <c r="A10">
        <v>0</v>
      </c>
      <c r="B10">
        <v>0</v>
      </c>
      <c r="C10">
        <v>0</v>
      </c>
      <c r="D10">
        <v>352</v>
      </c>
      <c r="E10" t="s">
        <v>787</v>
      </c>
      <c r="F10" t="s">
        <v>5762</v>
      </c>
      <c r="G10" t="s">
        <v>57</v>
      </c>
      <c r="H10">
        <v>390880</v>
      </c>
      <c r="I10">
        <v>391017</v>
      </c>
      <c r="J10" t="s">
        <v>788</v>
      </c>
      <c r="K10">
        <v>46</v>
      </c>
      <c r="L10" t="s">
        <v>59</v>
      </c>
      <c r="M10">
        <v>5</v>
      </c>
      <c r="N10" t="str">
        <f>HYPERLINK("Gene352-zp_tree_all.dnd", "Gene352-tree")</f>
        <v>Gene352-tree</v>
      </c>
      <c r="O10">
        <v>3</v>
      </c>
      <c r="P10">
        <v>2</v>
      </c>
      <c r="Q10">
        <v>2</v>
      </c>
      <c r="R10">
        <v>2</v>
      </c>
      <c r="S10">
        <v>0.5</v>
      </c>
      <c r="T10" t="s">
        <v>217</v>
      </c>
      <c r="U10" t="s">
        <v>135</v>
      </c>
      <c r="V10" t="s">
        <v>62</v>
      </c>
      <c r="W10" t="s">
        <v>62</v>
      </c>
      <c r="X10">
        <v>0</v>
      </c>
      <c r="Y10">
        <v>0</v>
      </c>
      <c r="Z10">
        <v>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2</v>
      </c>
      <c r="AK10">
        <v>0</v>
      </c>
      <c r="AL10">
        <v>3</v>
      </c>
      <c r="AM10">
        <v>1</v>
      </c>
      <c r="AN10">
        <v>1</v>
      </c>
      <c r="AO10">
        <v>2</v>
      </c>
      <c r="AP10">
        <v>1</v>
      </c>
      <c r="AQ10">
        <v>0</v>
      </c>
      <c r="AR10" t="s">
        <v>789</v>
      </c>
      <c r="AS10" t="s">
        <v>64</v>
      </c>
      <c r="AT10">
        <v>0.69299999999999995</v>
      </c>
      <c r="AU10" t="s">
        <v>65</v>
      </c>
      <c r="AV10">
        <v>2</v>
      </c>
      <c r="AW10">
        <v>2</v>
      </c>
      <c r="AX10" t="s">
        <v>790</v>
      </c>
      <c r="AY10" t="s">
        <v>791</v>
      </c>
      <c r="AZ10" t="s">
        <v>792</v>
      </c>
      <c r="BA10">
        <v>0.24440999999999999</v>
      </c>
      <c r="BB10">
        <v>0.8</v>
      </c>
      <c r="BC10" t="s">
        <v>793</v>
      </c>
      <c r="BD10">
        <v>0.27300000000000002</v>
      </c>
      <c r="BE10">
        <v>0.27300000000000002</v>
      </c>
    </row>
    <row r="11" spans="1:57">
      <c r="A11">
        <v>0</v>
      </c>
      <c r="B11">
        <v>0</v>
      </c>
      <c r="C11">
        <v>0</v>
      </c>
      <c r="D11">
        <v>3327</v>
      </c>
      <c r="E11" t="s">
        <v>4516</v>
      </c>
      <c r="F11" t="s">
        <v>5762</v>
      </c>
      <c r="G11" t="s">
        <v>62</v>
      </c>
      <c r="H11">
        <v>3299721</v>
      </c>
      <c r="I11">
        <v>3299861</v>
      </c>
      <c r="J11" t="s">
        <v>118</v>
      </c>
      <c r="K11">
        <v>47</v>
      </c>
      <c r="L11" t="s">
        <v>59</v>
      </c>
      <c r="M11">
        <v>5</v>
      </c>
      <c r="N11" t="str">
        <f>HYPERLINK("Gene3327-zp_tree_all.dnd", "Gene3327-tree")</f>
        <v>Gene3327-tree</v>
      </c>
      <c r="O11">
        <v>1</v>
      </c>
      <c r="P11">
        <v>3</v>
      </c>
      <c r="Q11">
        <v>1</v>
      </c>
      <c r="R11">
        <v>3</v>
      </c>
      <c r="S11">
        <v>0.75</v>
      </c>
      <c r="T11" t="s">
        <v>61</v>
      </c>
      <c r="U11" t="s">
        <v>84</v>
      </c>
      <c r="V11" t="s">
        <v>62</v>
      </c>
      <c r="W11" t="s">
        <v>62</v>
      </c>
      <c r="X11">
        <v>0</v>
      </c>
      <c r="Y11">
        <v>0</v>
      </c>
      <c r="Z11">
        <v>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3</v>
      </c>
      <c r="AK11">
        <v>0</v>
      </c>
      <c r="AL11">
        <v>3</v>
      </c>
      <c r="AM11">
        <v>1</v>
      </c>
      <c r="AN11">
        <v>7</v>
      </c>
      <c r="AO11">
        <v>3</v>
      </c>
      <c r="AP11">
        <v>1</v>
      </c>
      <c r="AQ11">
        <v>0</v>
      </c>
      <c r="AR11" t="s">
        <v>4517</v>
      </c>
      <c r="AS11" t="s">
        <v>64</v>
      </c>
      <c r="AT11">
        <v>5.5309999999999997</v>
      </c>
      <c r="AU11" t="s">
        <v>286</v>
      </c>
      <c r="AV11">
        <v>8</v>
      </c>
      <c r="AW11">
        <v>3</v>
      </c>
      <c r="AX11" t="s">
        <v>4518</v>
      </c>
      <c r="AY11" t="s">
        <v>4519</v>
      </c>
      <c r="AZ11" t="s">
        <v>4520</v>
      </c>
      <c r="BA11">
        <v>0.11028</v>
      </c>
      <c r="BB11">
        <v>1</v>
      </c>
      <c r="BC11" t="s">
        <v>69</v>
      </c>
      <c r="BD11">
        <v>0.89400000000000002</v>
      </c>
      <c r="BE11">
        <v>0.89400000000000002</v>
      </c>
    </row>
    <row r="12" spans="1:57">
      <c r="A12">
        <v>0</v>
      </c>
      <c r="B12">
        <v>0</v>
      </c>
      <c r="C12">
        <v>0</v>
      </c>
      <c r="D12">
        <v>1869</v>
      </c>
      <c r="E12" t="s">
        <v>2803</v>
      </c>
      <c r="F12" t="s">
        <v>5762</v>
      </c>
      <c r="G12" t="s">
        <v>57</v>
      </c>
      <c r="H12">
        <v>1930264</v>
      </c>
      <c r="I12">
        <v>1930407</v>
      </c>
      <c r="J12" t="s">
        <v>172</v>
      </c>
      <c r="K12">
        <v>48</v>
      </c>
      <c r="L12" t="s">
        <v>59</v>
      </c>
      <c r="M12">
        <v>5</v>
      </c>
      <c r="N12" t="str">
        <f>HYPERLINK("Gene1869-zp_tree_all.dnd", "Gene1869-tree")</f>
        <v>Gene1869-tree</v>
      </c>
      <c r="O12">
        <v>5</v>
      </c>
      <c r="P12">
        <v>0</v>
      </c>
      <c r="Q12">
        <v>4</v>
      </c>
      <c r="R12">
        <v>0</v>
      </c>
      <c r="S12">
        <v>0</v>
      </c>
      <c r="T12" t="s">
        <v>150</v>
      </c>
      <c r="U12" t="s">
        <v>62</v>
      </c>
      <c r="V12" t="s">
        <v>62</v>
      </c>
      <c r="W12" t="s">
        <v>62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3</v>
      </c>
      <c r="AM12">
        <v>1</v>
      </c>
      <c r="AN12">
        <v>7</v>
      </c>
      <c r="AO12">
        <v>0</v>
      </c>
      <c r="AP12">
        <v>0</v>
      </c>
      <c r="AQ12">
        <v>1</v>
      </c>
      <c r="AR12" t="s">
        <v>64</v>
      </c>
      <c r="AS12" t="s">
        <v>64</v>
      </c>
      <c r="AT12">
        <v>0</v>
      </c>
      <c r="AU12" t="s">
        <v>65</v>
      </c>
      <c r="AV12">
        <v>7</v>
      </c>
      <c r="AW12">
        <v>1</v>
      </c>
      <c r="AX12" t="s">
        <v>2804</v>
      </c>
      <c r="AY12" t="s">
        <v>2805</v>
      </c>
      <c r="AZ12" t="s">
        <v>2806</v>
      </c>
      <c r="BA12">
        <v>5.4899999999999997E-2</v>
      </c>
      <c r="BB12">
        <v>1</v>
      </c>
      <c r="BC12" t="s">
        <v>69</v>
      </c>
      <c r="BD12">
        <v>0.52500000000000002</v>
      </c>
      <c r="BE12">
        <v>-0.66800000000000004</v>
      </c>
    </row>
    <row r="13" spans="1:57">
      <c r="A13">
        <v>0</v>
      </c>
      <c r="B13">
        <v>0</v>
      </c>
      <c r="C13">
        <v>0</v>
      </c>
      <c r="D13">
        <v>2293</v>
      </c>
      <c r="E13" t="s">
        <v>2968</v>
      </c>
      <c r="F13" t="s">
        <v>5762</v>
      </c>
      <c r="G13" t="s">
        <v>62</v>
      </c>
      <c r="H13">
        <v>2311989</v>
      </c>
      <c r="I13">
        <v>2312132</v>
      </c>
      <c r="J13" t="s">
        <v>1082</v>
      </c>
      <c r="K13">
        <v>48</v>
      </c>
      <c r="L13" t="s">
        <v>59</v>
      </c>
      <c r="M13">
        <v>5</v>
      </c>
      <c r="N13" t="str">
        <f>HYPERLINK("Gene2293-zp_tree_all.dnd", "Gene2293-tree")</f>
        <v>Gene2293-tree</v>
      </c>
      <c r="O13">
        <v>4</v>
      </c>
      <c r="P13">
        <v>0</v>
      </c>
      <c r="Q13">
        <v>4</v>
      </c>
      <c r="R13">
        <v>0</v>
      </c>
      <c r="S13">
        <v>0</v>
      </c>
      <c r="T13" t="s">
        <v>60</v>
      </c>
      <c r="U13" t="s">
        <v>62</v>
      </c>
      <c r="V13" t="s">
        <v>62</v>
      </c>
      <c r="W13" t="s">
        <v>62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</v>
      </c>
      <c r="AM13">
        <v>1</v>
      </c>
      <c r="AN13">
        <v>3</v>
      </c>
      <c r="AO13">
        <v>0</v>
      </c>
      <c r="AP13">
        <v>2</v>
      </c>
      <c r="AQ13">
        <v>0</v>
      </c>
      <c r="AR13" t="s">
        <v>64</v>
      </c>
      <c r="AS13" t="s">
        <v>64</v>
      </c>
      <c r="AT13">
        <v>0</v>
      </c>
      <c r="AU13" t="s">
        <v>65</v>
      </c>
      <c r="AV13">
        <v>5</v>
      </c>
      <c r="AW13">
        <v>0</v>
      </c>
      <c r="AX13" t="s">
        <v>2969</v>
      </c>
      <c r="AY13" t="s">
        <v>2970</v>
      </c>
      <c r="AZ13" t="s">
        <v>64</v>
      </c>
      <c r="BA13">
        <v>0</v>
      </c>
      <c r="BB13">
        <v>1</v>
      </c>
      <c r="BC13" t="s">
        <v>69</v>
      </c>
      <c r="BD13">
        <v>0</v>
      </c>
      <c r="BE13">
        <v>0</v>
      </c>
    </row>
    <row r="14" spans="1:57">
      <c r="A14">
        <v>0</v>
      </c>
      <c r="B14">
        <v>0</v>
      </c>
      <c r="C14">
        <v>0</v>
      </c>
      <c r="D14">
        <v>1383</v>
      </c>
      <c r="E14" t="s">
        <v>1826</v>
      </c>
      <c r="F14" t="s">
        <v>5762</v>
      </c>
      <c r="G14" t="s">
        <v>57</v>
      </c>
      <c r="H14">
        <v>1397938</v>
      </c>
      <c r="I14">
        <v>1398090</v>
      </c>
      <c r="J14" t="s">
        <v>118</v>
      </c>
      <c r="K14">
        <v>51</v>
      </c>
      <c r="L14" t="s">
        <v>59</v>
      </c>
      <c r="M14">
        <v>5</v>
      </c>
      <c r="N14" t="str">
        <f>HYPERLINK("Gene1383-zp_tree_all.dnd", "Gene1383-tree")</f>
        <v>Gene1383-tree</v>
      </c>
      <c r="O14">
        <v>5</v>
      </c>
      <c r="P14">
        <v>0</v>
      </c>
      <c r="Q14">
        <v>5</v>
      </c>
      <c r="R14">
        <v>0</v>
      </c>
      <c r="S14">
        <v>0</v>
      </c>
      <c r="T14" t="s">
        <v>98</v>
      </c>
      <c r="U14" t="s">
        <v>62</v>
      </c>
      <c r="V14" t="s">
        <v>62</v>
      </c>
      <c r="W14" t="s">
        <v>62</v>
      </c>
      <c r="X14">
        <v>0</v>
      </c>
      <c r="Y14">
        <v>0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3</v>
      </c>
      <c r="AM14">
        <v>1</v>
      </c>
      <c r="AN14">
        <v>5</v>
      </c>
      <c r="AO14">
        <v>0</v>
      </c>
      <c r="AP14">
        <v>2</v>
      </c>
      <c r="AQ14">
        <v>2</v>
      </c>
      <c r="AR14" t="s">
        <v>64</v>
      </c>
      <c r="AS14" t="s">
        <v>1827</v>
      </c>
      <c r="AT14">
        <v>0</v>
      </c>
      <c r="AU14" t="s">
        <v>65</v>
      </c>
      <c r="AV14">
        <v>7</v>
      </c>
      <c r="AW14">
        <v>2</v>
      </c>
      <c r="AX14" t="s">
        <v>1828</v>
      </c>
      <c r="AY14" t="s">
        <v>1829</v>
      </c>
      <c r="AZ14" t="s">
        <v>1830</v>
      </c>
      <c r="BA14">
        <v>9.7970000000000002E-2</v>
      </c>
      <c r="BB14">
        <v>1</v>
      </c>
      <c r="BC14" t="s">
        <v>69</v>
      </c>
      <c r="BD14">
        <v>0.66100000000000003</v>
      </c>
      <c r="BE14">
        <v>-7.2999999999999995E-2</v>
      </c>
    </row>
    <row r="15" spans="1:57">
      <c r="A15">
        <v>0</v>
      </c>
      <c r="B15">
        <v>0</v>
      </c>
      <c r="C15">
        <v>0</v>
      </c>
      <c r="D15">
        <v>2831</v>
      </c>
      <c r="E15" t="s">
        <v>3639</v>
      </c>
      <c r="F15" t="s">
        <v>5762</v>
      </c>
      <c r="G15" t="s">
        <v>62</v>
      </c>
      <c r="H15">
        <v>2778611</v>
      </c>
      <c r="I15">
        <v>2778766</v>
      </c>
      <c r="J15" t="s">
        <v>3640</v>
      </c>
      <c r="K15">
        <v>52</v>
      </c>
      <c r="L15" t="s">
        <v>59</v>
      </c>
      <c r="M15">
        <v>5</v>
      </c>
      <c r="N15" t="str">
        <f>HYPERLINK("Gene2831-zp_tree_all.dnd", "Gene2831-tree")</f>
        <v>Gene2831-tree</v>
      </c>
      <c r="O15">
        <v>4</v>
      </c>
      <c r="P15">
        <v>1</v>
      </c>
      <c r="Q15">
        <v>3</v>
      </c>
      <c r="R15">
        <v>1</v>
      </c>
      <c r="S15">
        <v>0.25</v>
      </c>
      <c r="T15" t="s">
        <v>119</v>
      </c>
      <c r="U15" t="s">
        <v>61</v>
      </c>
      <c r="V15" t="s">
        <v>62</v>
      </c>
      <c r="W15" t="s">
        <v>62</v>
      </c>
      <c r="X15">
        <v>0</v>
      </c>
      <c r="Y15">
        <v>0</v>
      </c>
      <c r="Z15">
        <v>3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2</v>
      </c>
      <c r="AK15">
        <v>0</v>
      </c>
      <c r="AL15">
        <v>3</v>
      </c>
      <c r="AM15">
        <v>1</v>
      </c>
      <c r="AN15">
        <v>2</v>
      </c>
      <c r="AO15">
        <v>2</v>
      </c>
      <c r="AP15">
        <v>3</v>
      </c>
      <c r="AQ15">
        <v>1</v>
      </c>
      <c r="AR15" t="s">
        <v>3641</v>
      </c>
      <c r="AS15" t="s">
        <v>3642</v>
      </c>
      <c r="AT15">
        <v>0.47299999999999998</v>
      </c>
      <c r="AU15" t="s">
        <v>65</v>
      </c>
      <c r="AV15">
        <v>5</v>
      </c>
      <c r="AW15">
        <v>3</v>
      </c>
      <c r="AX15" t="s">
        <v>3643</v>
      </c>
      <c r="AY15" t="s">
        <v>3644</v>
      </c>
      <c r="AZ15" t="s">
        <v>3645</v>
      </c>
      <c r="BA15">
        <v>0.15909000000000001</v>
      </c>
      <c r="BB15">
        <v>0.98899999999999999</v>
      </c>
      <c r="BC15" t="s">
        <v>69</v>
      </c>
      <c r="BD15">
        <v>1.1200000000000001</v>
      </c>
      <c r="BE15">
        <v>8.3000000000000004E-2</v>
      </c>
    </row>
    <row r="16" spans="1:57">
      <c r="A16">
        <v>0</v>
      </c>
      <c r="B16">
        <v>0</v>
      </c>
      <c r="C16">
        <v>0</v>
      </c>
      <c r="D16">
        <v>756</v>
      </c>
      <c r="E16" t="s">
        <v>1221</v>
      </c>
      <c r="F16" t="s">
        <v>5762</v>
      </c>
      <c r="G16" t="s">
        <v>57</v>
      </c>
      <c r="H16">
        <v>787715</v>
      </c>
      <c r="I16">
        <v>787879</v>
      </c>
      <c r="J16" t="s">
        <v>170</v>
      </c>
      <c r="K16">
        <v>55</v>
      </c>
      <c r="L16" t="s">
        <v>59</v>
      </c>
      <c r="M16">
        <v>5</v>
      </c>
      <c r="N16" t="str">
        <f>HYPERLINK("Gene756-zp_tree_all.dnd", "Gene756-tree")</f>
        <v>Gene756-tree</v>
      </c>
      <c r="O16">
        <v>2</v>
      </c>
      <c r="P16">
        <v>3</v>
      </c>
      <c r="Q16">
        <v>2</v>
      </c>
      <c r="R16">
        <v>2</v>
      </c>
      <c r="S16">
        <v>0.5</v>
      </c>
      <c r="T16" t="s">
        <v>135</v>
      </c>
      <c r="U16" t="s">
        <v>217</v>
      </c>
      <c r="V16">
        <v>0.30599999999999999</v>
      </c>
      <c r="W16" t="s">
        <v>65</v>
      </c>
      <c r="X16">
        <v>0</v>
      </c>
      <c r="Y16">
        <v>0</v>
      </c>
      <c r="Z16">
        <v>3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2</v>
      </c>
      <c r="AK16">
        <v>0</v>
      </c>
      <c r="AL16">
        <v>4</v>
      </c>
      <c r="AM16">
        <v>1</v>
      </c>
      <c r="AN16">
        <v>8</v>
      </c>
      <c r="AO16">
        <v>2</v>
      </c>
      <c r="AP16">
        <v>1</v>
      </c>
      <c r="AQ16">
        <v>1</v>
      </c>
      <c r="AR16" t="s">
        <v>1222</v>
      </c>
      <c r="AS16" t="s">
        <v>1223</v>
      </c>
      <c r="AT16">
        <v>5.4669999999999996</v>
      </c>
      <c r="AU16" t="s">
        <v>65</v>
      </c>
      <c r="AV16">
        <v>9</v>
      </c>
      <c r="AW16">
        <v>3</v>
      </c>
      <c r="AX16" t="s">
        <v>1224</v>
      </c>
      <c r="AY16" t="s">
        <v>1225</v>
      </c>
      <c r="AZ16" t="s">
        <v>1226</v>
      </c>
      <c r="BA16">
        <v>9.3810000000000004E-2</v>
      </c>
      <c r="BB16">
        <v>1</v>
      </c>
      <c r="BC16" t="s">
        <v>69</v>
      </c>
      <c r="BD16">
        <v>0.05</v>
      </c>
      <c r="BE16">
        <v>0.05</v>
      </c>
    </row>
    <row r="17" spans="1:57">
      <c r="A17">
        <v>0</v>
      </c>
      <c r="B17">
        <v>0</v>
      </c>
      <c r="C17">
        <v>0</v>
      </c>
      <c r="D17">
        <v>3719</v>
      </c>
      <c r="E17" t="s">
        <v>5002</v>
      </c>
      <c r="F17" t="s">
        <v>5762</v>
      </c>
      <c r="G17" t="s">
        <v>62</v>
      </c>
      <c r="H17">
        <v>3697642</v>
      </c>
      <c r="I17">
        <v>3697806</v>
      </c>
      <c r="J17" t="s">
        <v>5003</v>
      </c>
      <c r="K17">
        <v>55</v>
      </c>
      <c r="L17" t="s">
        <v>83</v>
      </c>
      <c r="M17">
        <v>4</v>
      </c>
      <c r="N17" t="str">
        <f>HYPERLINK("Gene3719-zp_tree_all.dnd", "Gene3719-tree")</f>
        <v>Gene3719-tree</v>
      </c>
      <c r="O17">
        <v>3</v>
      </c>
      <c r="P17">
        <v>1</v>
      </c>
      <c r="Q17">
        <v>3</v>
      </c>
      <c r="R17">
        <v>1</v>
      </c>
      <c r="S17">
        <v>0.25</v>
      </c>
      <c r="T17" t="s">
        <v>84</v>
      </c>
      <c r="U17" t="s">
        <v>61</v>
      </c>
      <c r="V17" t="s">
        <v>62</v>
      </c>
      <c r="W17" t="s">
        <v>62</v>
      </c>
      <c r="X17">
        <v>0</v>
      </c>
      <c r="Y17">
        <v>0</v>
      </c>
      <c r="Z17">
        <v>3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3</v>
      </c>
      <c r="AK17">
        <v>0</v>
      </c>
      <c r="AL17">
        <v>4</v>
      </c>
      <c r="AM17">
        <v>1</v>
      </c>
      <c r="AN17">
        <v>5</v>
      </c>
      <c r="AO17">
        <v>3</v>
      </c>
      <c r="AP17">
        <v>1</v>
      </c>
      <c r="AQ17">
        <v>0</v>
      </c>
      <c r="AR17" t="s">
        <v>5004</v>
      </c>
      <c r="AS17" t="s">
        <v>64</v>
      </c>
      <c r="AT17">
        <v>0.63900000000000001</v>
      </c>
      <c r="AU17" t="s">
        <v>65</v>
      </c>
      <c r="AV17">
        <v>6</v>
      </c>
      <c r="AW17">
        <v>3</v>
      </c>
      <c r="AX17" t="s">
        <v>5005</v>
      </c>
      <c r="AY17" t="s">
        <v>5006</v>
      </c>
      <c r="AZ17" t="s">
        <v>5007</v>
      </c>
      <c r="BA17">
        <v>9.128E-2</v>
      </c>
      <c r="BB17">
        <v>1</v>
      </c>
      <c r="BC17" t="s">
        <v>69</v>
      </c>
      <c r="BD17">
        <v>-0.49199999999999999</v>
      </c>
      <c r="BE17">
        <v>-0.49199999999999999</v>
      </c>
    </row>
    <row r="18" spans="1:57">
      <c r="A18">
        <v>0</v>
      </c>
      <c r="B18">
        <v>0</v>
      </c>
      <c r="C18">
        <v>0</v>
      </c>
      <c r="D18">
        <v>673</v>
      </c>
      <c r="E18" t="s">
        <v>1081</v>
      </c>
      <c r="F18" t="s">
        <v>5762</v>
      </c>
      <c r="G18" t="s">
        <v>57</v>
      </c>
      <c r="H18">
        <v>697157</v>
      </c>
      <c r="I18">
        <v>697321</v>
      </c>
      <c r="J18" t="s">
        <v>1082</v>
      </c>
      <c r="K18">
        <v>55</v>
      </c>
      <c r="L18" t="s">
        <v>112</v>
      </c>
      <c r="M18">
        <v>4</v>
      </c>
      <c r="N18" t="str">
        <f>HYPERLINK("Gene673-zp_tree_all.dnd", "Gene673-tree")</f>
        <v>Gene673-tree</v>
      </c>
      <c r="O18">
        <v>3</v>
      </c>
      <c r="P18">
        <v>1</v>
      </c>
      <c r="Q18">
        <v>3</v>
      </c>
      <c r="R18">
        <v>1</v>
      </c>
      <c r="S18">
        <v>0.25</v>
      </c>
      <c r="T18" t="s">
        <v>84</v>
      </c>
      <c r="U18" t="s">
        <v>61</v>
      </c>
      <c r="V18" t="s">
        <v>62</v>
      </c>
      <c r="W18" t="s">
        <v>62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4</v>
      </c>
      <c r="AM18">
        <v>1</v>
      </c>
      <c r="AN18">
        <v>9</v>
      </c>
      <c r="AO18">
        <v>1</v>
      </c>
      <c r="AP18">
        <v>1</v>
      </c>
      <c r="AQ18">
        <v>0</v>
      </c>
      <c r="AR18" t="s">
        <v>1083</v>
      </c>
      <c r="AS18" t="s">
        <v>64</v>
      </c>
      <c r="AT18">
        <v>0.496</v>
      </c>
      <c r="AU18" t="s">
        <v>65</v>
      </c>
      <c r="AV18">
        <v>10</v>
      </c>
      <c r="AW18">
        <v>1</v>
      </c>
      <c r="AX18" t="s">
        <v>1084</v>
      </c>
      <c r="AY18" t="s">
        <v>1085</v>
      </c>
      <c r="AZ18" t="s">
        <v>1086</v>
      </c>
      <c r="BA18">
        <v>2.4309999999999998E-2</v>
      </c>
      <c r="BB18">
        <v>1</v>
      </c>
      <c r="BC18" t="s">
        <v>69</v>
      </c>
      <c r="BD18">
        <v>-0.222</v>
      </c>
      <c r="BE18">
        <v>-0.222</v>
      </c>
    </row>
    <row r="19" spans="1:57">
      <c r="A19">
        <v>0</v>
      </c>
      <c r="B19">
        <v>0</v>
      </c>
      <c r="C19">
        <v>0</v>
      </c>
      <c r="D19">
        <v>2871</v>
      </c>
      <c r="E19" t="s">
        <v>3722</v>
      </c>
      <c r="F19" t="s">
        <v>5762</v>
      </c>
      <c r="G19" t="s">
        <v>62</v>
      </c>
      <c r="H19">
        <v>2818194</v>
      </c>
      <c r="I19">
        <v>2818361</v>
      </c>
      <c r="J19" t="s">
        <v>118</v>
      </c>
      <c r="K19">
        <v>56</v>
      </c>
      <c r="L19" t="s">
        <v>59</v>
      </c>
      <c r="M19">
        <v>5</v>
      </c>
      <c r="N19" t="str">
        <f>HYPERLINK("Gene2871-zp_tree_all.dnd", "Gene2871-tree")</f>
        <v>Gene2871-tree</v>
      </c>
      <c r="O19">
        <v>2</v>
      </c>
      <c r="P19">
        <v>2</v>
      </c>
      <c r="Q19">
        <v>2</v>
      </c>
      <c r="R19">
        <v>2</v>
      </c>
      <c r="S19">
        <v>0.5</v>
      </c>
      <c r="T19" t="s">
        <v>135</v>
      </c>
      <c r="U19" t="s">
        <v>135</v>
      </c>
      <c r="V19" t="s">
        <v>62</v>
      </c>
      <c r="W19" t="s">
        <v>62</v>
      </c>
      <c r="X19">
        <v>0</v>
      </c>
      <c r="Y19">
        <v>0</v>
      </c>
      <c r="Z19">
        <v>3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3</v>
      </c>
      <c r="AK19">
        <v>0</v>
      </c>
      <c r="AL19">
        <v>2</v>
      </c>
      <c r="AM19">
        <v>1</v>
      </c>
      <c r="AN19">
        <v>5</v>
      </c>
      <c r="AO19">
        <v>1</v>
      </c>
      <c r="AP19">
        <v>3</v>
      </c>
      <c r="AQ19">
        <v>2</v>
      </c>
      <c r="AR19" t="s">
        <v>3723</v>
      </c>
      <c r="AS19" t="s">
        <v>3724</v>
      </c>
      <c r="AT19">
        <v>2.4350000000000001</v>
      </c>
      <c r="AU19" t="s">
        <v>65</v>
      </c>
      <c r="AV19">
        <v>8</v>
      </c>
      <c r="AW19">
        <v>3</v>
      </c>
      <c r="AX19" t="s">
        <v>3725</v>
      </c>
      <c r="AY19" t="s">
        <v>3726</v>
      </c>
      <c r="AZ19" t="s">
        <v>3727</v>
      </c>
      <c r="BA19">
        <v>0.10206999999999999</v>
      </c>
      <c r="BB19">
        <v>1</v>
      </c>
      <c r="BC19" t="s">
        <v>69</v>
      </c>
      <c r="BD19">
        <v>0.16400000000000001</v>
      </c>
      <c r="BE19">
        <v>0.16400000000000001</v>
      </c>
    </row>
    <row r="20" spans="1:57">
      <c r="A20">
        <v>0</v>
      </c>
      <c r="B20">
        <v>0</v>
      </c>
      <c r="C20">
        <v>0</v>
      </c>
      <c r="D20">
        <v>4167</v>
      </c>
      <c r="E20" t="s">
        <v>5636</v>
      </c>
      <c r="F20" t="s">
        <v>5762</v>
      </c>
      <c r="G20" t="s">
        <v>62</v>
      </c>
      <c r="H20">
        <v>4134999</v>
      </c>
      <c r="I20">
        <v>4135166</v>
      </c>
      <c r="J20" t="s">
        <v>170</v>
      </c>
      <c r="K20">
        <v>56</v>
      </c>
      <c r="L20" t="s">
        <v>59</v>
      </c>
      <c r="M20">
        <v>5</v>
      </c>
      <c r="N20" t="str">
        <f>HYPERLINK("Gene4167-zp_tree_all.dnd", "Gene4167-tree")</f>
        <v>Gene4167-tree</v>
      </c>
      <c r="O20">
        <v>3</v>
      </c>
      <c r="P20">
        <v>1</v>
      </c>
      <c r="Q20">
        <v>3</v>
      </c>
      <c r="R20">
        <v>1</v>
      </c>
      <c r="S20">
        <v>0.25</v>
      </c>
      <c r="T20" t="s">
        <v>84</v>
      </c>
      <c r="U20" t="s">
        <v>61</v>
      </c>
      <c r="V20" t="s">
        <v>62</v>
      </c>
      <c r="W20" t="s">
        <v>62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2</v>
      </c>
      <c r="AM20">
        <v>1</v>
      </c>
      <c r="AN20">
        <v>4</v>
      </c>
      <c r="AO20">
        <v>1</v>
      </c>
      <c r="AP20">
        <v>1</v>
      </c>
      <c r="AQ20">
        <v>0</v>
      </c>
      <c r="AR20" t="s">
        <v>5637</v>
      </c>
      <c r="AS20" t="s">
        <v>64</v>
      </c>
      <c r="AT20">
        <v>1.1180000000000001</v>
      </c>
      <c r="AU20" t="s">
        <v>65</v>
      </c>
      <c r="AV20">
        <v>5</v>
      </c>
      <c r="AW20">
        <v>1</v>
      </c>
      <c r="AX20" t="s">
        <v>5638</v>
      </c>
      <c r="AY20" t="s">
        <v>5639</v>
      </c>
      <c r="AZ20" t="s">
        <v>5640</v>
      </c>
      <c r="BA20">
        <v>4.7640000000000002E-2</v>
      </c>
      <c r="BB20">
        <v>1</v>
      </c>
      <c r="BC20" t="s">
        <v>69</v>
      </c>
      <c r="BD20">
        <v>-0.66800000000000004</v>
      </c>
      <c r="BE20">
        <v>-0.66800000000000004</v>
      </c>
    </row>
    <row r="21" spans="1:57">
      <c r="A21">
        <v>0</v>
      </c>
      <c r="B21">
        <v>0</v>
      </c>
      <c r="C21">
        <v>0</v>
      </c>
      <c r="D21">
        <v>617</v>
      </c>
      <c r="E21" t="s">
        <v>1053</v>
      </c>
      <c r="F21" t="s">
        <v>5762</v>
      </c>
      <c r="G21" t="s">
        <v>57</v>
      </c>
      <c r="H21">
        <v>647760</v>
      </c>
      <c r="I21">
        <v>647930</v>
      </c>
      <c r="J21" t="s">
        <v>692</v>
      </c>
      <c r="K21">
        <v>57</v>
      </c>
      <c r="L21" t="s">
        <v>59</v>
      </c>
      <c r="M21">
        <v>5</v>
      </c>
      <c r="N21" t="str">
        <f>HYPERLINK("Gene617-zp_tree_all.dnd", "Gene617-tree")</f>
        <v>Gene617-tree</v>
      </c>
      <c r="O21">
        <v>5</v>
      </c>
      <c r="P21">
        <v>0</v>
      </c>
      <c r="Q21">
        <v>5</v>
      </c>
      <c r="R21">
        <v>0</v>
      </c>
      <c r="S21">
        <v>0</v>
      </c>
      <c r="T21" t="s">
        <v>98</v>
      </c>
      <c r="U21" t="s">
        <v>62</v>
      </c>
      <c r="V21" t="s">
        <v>62</v>
      </c>
      <c r="W21" t="s">
        <v>62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5</v>
      </c>
      <c r="AM21">
        <v>2</v>
      </c>
      <c r="AN21">
        <v>6</v>
      </c>
      <c r="AO21">
        <v>0</v>
      </c>
      <c r="AP21">
        <v>6</v>
      </c>
      <c r="AQ21">
        <v>1</v>
      </c>
      <c r="AR21" t="s">
        <v>64</v>
      </c>
      <c r="AS21" t="s">
        <v>1054</v>
      </c>
      <c r="AT21">
        <v>1.26</v>
      </c>
      <c r="AU21" t="s">
        <v>65</v>
      </c>
      <c r="AV21">
        <v>12</v>
      </c>
      <c r="AW21">
        <v>1</v>
      </c>
      <c r="AX21" t="s">
        <v>1055</v>
      </c>
      <c r="AY21" t="s">
        <v>1056</v>
      </c>
      <c r="AZ21" t="s">
        <v>1057</v>
      </c>
      <c r="BA21">
        <v>3.1399999999999997E-2</v>
      </c>
      <c r="BB21">
        <v>1</v>
      </c>
      <c r="BC21" t="s">
        <v>69</v>
      </c>
      <c r="BD21">
        <v>1.3420000000000001</v>
      </c>
      <c r="BE21">
        <v>0</v>
      </c>
    </row>
    <row r="22" spans="1:57">
      <c r="A22">
        <v>0</v>
      </c>
      <c r="B22">
        <v>0</v>
      </c>
      <c r="C22">
        <v>0</v>
      </c>
      <c r="D22">
        <v>134</v>
      </c>
      <c r="E22" t="s">
        <v>525</v>
      </c>
      <c r="F22" t="s">
        <v>5762</v>
      </c>
      <c r="G22" t="s">
        <v>57</v>
      </c>
      <c r="H22">
        <v>143875</v>
      </c>
      <c r="I22">
        <v>144051</v>
      </c>
      <c r="J22" t="s">
        <v>526</v>
      </c>
      <c r="K22">
        <v>59</v>
      </c>
      <c r="L22" t="s">
        <v>59</v>
      </c>
      <c r="M22">
        <v>5</v>
      </c>
      <c r="N22" t="str">
        <f>HYPERLINK("Gene134-zp_tree_all.dnd", "Gene134-tree")</f>
        <v>Gene134-tree</v>
      </c>
      <c r="O22">
        <v>5</v>
      </c>
      <c r="P22">
        <v>0</v>
      </c>
      <c r="Q22">
        <v>5</v>
      </c>
      <c r="R22">
        <v>0</v>
      </c>
      <c r="S22">
        <v>0</v>
      </c>
      <c r="T22" t="s">
        <v>98</v>
      </c>
      <c r="U22" t="s">
        <v>62</v>
      </c>
      <c r="V22" t="s">
        <v>62</v>
      </c>
      <c r="W22" t="s">
        <v>62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3</v>
      </c>
      <c r="AM22">
        <v>1</v>
      </c>
      <c r="AN22">
        <v>3</v>
      </c>
      <c r="AO22">
        <v>0</v>
      </c>
      <c r="AP22">
        <v>2</v>
      </c>
      <c r="AQ22">
        <v>0</v>
      </c>
      <c r="AR22" t="s">
        <v>64</v>
      </c>
      <c r="AS22" t="s">
        <v>64</v>
      </c>
      <c r="AT22">
        <v>0</v>
      </c>
      <c r="AU22" t="s">
        <v>65</v>
      </c>
      <c r="AV22">
        <v>5</v>
      </c>
      <c r="AW22">
        <v>0</v>
      </c>
      <c r="AX22" t="s">
        <v>527</v>
      </c>
      <c r="AY22" t="s">
        <v>528</v>
      </c>
      <c r="AZ22" t="s">
        <v>64</v>
      </c>
      <c r="BA22">
        <v>0</v>
      </c>
      <c r="BB22">
        <v>1</v>
      </c>
      <c r="BC22" t="s">
        <v>69</v>
      </c>
      <c r="BD22">
        <v>0</v>
      </c>
      <c r="BE22">
        <v>0</v>
      </c>
    </row>
    <row r="23" spans="1:57">
      <c r="A23">
        <v>0</v>
      </c>
      <c r="B23">
        <v>0</v>
      </c>
      <c r="C23">
        <v>0</v>
      </c>
      <c r="D23">
        <v>2287</v>
      </c>
      <c r="E23" t="s">
        <v>2954</v>
      </c>
      <c r="F23" t="s">
        <v>5762</v>
      </c>
      <c r="G23" t="s">
        <v>62</v>
      </c>
      <c r="H23">
        <v>2308795</v>
      </c>
      <c r="I23">
        <v>2308974</v>
      </c>
      <c r="J23" t="s">
        <v>118</v>
      </c>
      <c r="K23">
        <v>60</v>
      </c>
      <c r="L23" t="s">
        <v>59</v>
      </c>
      <c r="M23">
        <v>5</v>
      </c>
      <c r="N23" t="str">
        <f>HYPERLINK("Gene2287-zp_tree_all.dnd", "Gene2287-tree")</f>
        <v>Gene2287-tree</v>
      </c>
      <c r="O23">
        <v>3</v>
      </c>
      <c r="P23">
        <v>2</v>
      </c>
      <c r="Q23">
        <v>3</v>
      </c>
      <c r="R23">
        <v>2</v>
      </c>
      <c r="S23">
        <v>0.4</v>
      </c>
      <c r="T23" t="s">
        <v>84</v>
      </c>
      <c r="U23" t="s">
        <v>135</v>
      </c>
      <c r="V23" t="s">
        <v>62</v>
      </c>
      <c r="W23" t="s">
        <v>62</v>
      </c>
      <c r="X23">
        <v>0</v>
      </c>
      <c r="Y23">
        <v>0</v>
      </c>
      <c r="Z23">
        <v>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2</v>
      </c>
      <c r="AK23">
        <v>0</v>
      </c>
      <c r="AL23">
        <v>3</v>
      </c>
      <c r="AM23">
        <v>1</v>
      </c>
      <c r="AN23">
        <v>4</v>
      </c>
      <c r="AO23">
        <v>1</v>
      </c>
      <c r="AP23">
        <v>2</v>
      </c>
      <c r="AQ23">
        <v>2</v>
      </c>
      <c r="AR23" t="s">
        <v>2955</v>
      </c>
      <c r="AS23" t="s">
        <v>2956</v>
      </c>
      <c r="AT23">
        <v>2.419</v>
      </c>
      <c r="AU23" t="s">
        <v>65</v>
      </c>
      <c r="AV23">
        <v>6</v>
      </c>
      <c r="AW23">
        <v>3</v>
      </c>
      <c r="AX23" t="s">
        <v>2957</v>
      </c>
      <c r="AY23" t="s">
        <v>2958</v>
      </c>
      <c r="AZ23" t="s">
        <v>2959</v>
      </c>
      <c r="BA23">
        <v>0.12909999999999999</v>
      </c>
      <c r="BB23">
        <v>0.96899999999999997</v>
      </c>
      <c r="BC23" t="s">
        <v>69</v>
      </c>
      <c r="BD23">
        <v>0.13200000000000001</v>
      </c>
      <c r="BE23">
        <v>0.13200000000000001</v>
      </c>
    </row>
    <row r="24" spans="1:57">
      <c r="A24">
        <v>0</v>
      </c>
      <c r="B24">
        <v>0</v>
      </c>
      <c r="C24">
        <v>0</v>
      </c>
      <c r="D24">
        <v>3124</v>
      </c>
      <c r="E24" t="s">
        <v>4248</v>
      </c>
      <c r="F24" t="s">
        <v>5762</v>
      </c>
      <c r="G24" t="s">
        <v>62</v>
      </c>
      <c r="H24">
        <v>3078396</v>
      </c>
      <c r="I24">
        <v>3078575</v>
      </c>
      <c r="J24" t="s">
        <v>4249</v>
      </c>
      <c r="K24">
        <v>60</v>
      </c>
      <c r="L24" t="s">
        <v>112</v>
      </c>
      <c r="M24">
        <v>4</v>
      </c>
      <c r="N24" t="str">
        <f>HYPERLINK("Gene3124-zp_tree_all.dnd", "Gene3124-tree")</f>
        <v>Gene3124-tree</v>
      </c>
      <c r="O24">
        <v>4</v>
      </c>
      <c r="P24">
        <v>0</v>
      </c>
      <c r="Q24">
        <v>4</v>
      </c>
      <c r="R24">
        <v>0</v>
      </c>
      <c r="S24">
        <v>0</v>
      </c>
      <c r="T24" t="s">
        <v>60</v>
      </c>
      <c r="U24" t="s">
        <v>62</v>
      </c>
      <c r="V24" t="s">
        <v>62</v>
      </c>
      <c r="W24" t="s">
        <v>62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3</v>
      </c>
      <c r="AM24">
        <v>0</v>
      </c>
      <c r="AN24">
        <v>9</v>
      </c>
      <c r="AO24">
        <v>0</v>
      </c>
      <c r="AP24">
        <v>0</v>
      </c>
      <c r="AQ24">
        <v>0</v>
      </c>
      <c r="AR24" t="s">
        <v>64</v>
      </c>
      <c r="AS24" t="s">
        <v>64</v>
      </c>
      <c r="AT24">
        <v>0</v>
      </c>
      <c r="AU24" t="s">
        <v>65</v>
      </c>
      <c r="AV24">
        <v>9</v>
      </c>
      <c r="AW24">
        <v>0</v>
      </c>
      <c r="AX24" t="s">
        <v>4250</v>
      </c>
      <c r="AY24" t="s">
        <v>4251</v>
      </c>
      <c r="AZ24" t="s">
        <v>64</v>
      </c>
      <c r="BA24">
        <v>0</v>
      </c>
      <c r="BB24">
        <v>1</v>
      </c>
      <c r="BC24" t="s">
        <v>69</v>
      </c>
      <c r="BD24">
        <v>-0.82899999999999996</v>
      </c>
      <c r="BE24">
        <v>-0.82899999999999996</v>
      </c>
    </row>
    <row r="25" spans="1:57">
      <c r="A25">
        <v>0</v>
      </c>
      <c r="B25">
        <v>0</v>
      </c>
      <c r="C25">
        <v>0</v>
      </c>
      <c r="D25">
        <v>3429</v>
      </c>
      <c r="E25" t="s">
        <v>4729</v>
      </c>
      <c r="F25" t="s">
        <v>5762</v>
      </c>
      <c r="G25" t="s">
        <v>62</v>
      </c>
      <c r="H25">
        <v>3390482</v>
      </c>
      <c r="I25">
        <v>3390664</v>
      </c>
      <c r="J25" t="s">
        <v>118</v>
      </c>
      <c r="K25">
        <v>61</v>
      </c>
      <c r="L25" t="s">
        <v>59</v>
      </c>
      <c r="M25">
        <v>5</v>
      </c>
      <c r="N25" t="str">
        <f>HYPERLINK("Gene3429-zp_tree_all.dnd", "Gene3429-tree")</f>
        <v>Gene3429-tree</v>
      </c>
      <c r="O25">
        <v>2</v>
      </c>
      <c r="P25">
        <v>3</v>
      </c>
      <c r="Q25">
        <v>2</v>
      </c>
      <c r="R25">
        <v>3</v>
      </c>
      <c r="S25">
        <v>0.6</v>
      </c>
      <c r="T25" t="s">
        <v>135</v>
      </c>
      <c r="U25" t="s">
        <v>84</v>
      </c>
      <c r="V25" t="s">
        <v>62</v>
      </c>
      <c r="W25" t="s">
        <v>62</v>
      </c>
      <c r="X25">
        <v>0</v>
      </c>
      <c r="Y25">
        <v>0</v>
      </c>
      <c r="Z25">
        <v>3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3</v>
      </c>
      <c r="AK25">
        <v>0</v>
      </c>
      <c r="AL25">
        <v>3</v>
      </c>
      <c r="AM25">
        <v>2</v>
      </c>
      <c r="AN25">
        <v>3</v>
      </c>
      <c r="AO25">
        <v>3</v>
      </c>
      <c r="AP25">
        <v>5</v>
      </c>
      <c r="AQ25">
        <v>0</v>
      </c>
      <c r="AR25" t="s">
        <v>4730</v>
      </c>
      <c r="AS25" t="s">
        <v>64</v>
      </c>
      <c r="AT25">
        <v>2.569</v>
      </c>
      <c r="AU25" t="s">
        <v>286</v>
      </c>
      <c r="AV25">
        <v>8</v>
      </c>
      <c r="AW25">
        <v>3</v>
      </c>
      <c r="AX25" t="s">
        <v>4731</v>
      </c>
      <c r="AY25" t="s">
        <v>4732</v>
      </c>
      <c r="AZ25" t="s">
        <v>4733</v>
      </c>
      <c r="BA25">
        <v>7.7090000000000006E-2</v>
      </c>
      <c r="BB25">
        <v>1</v>
      </c>
      <c r="BC25" t="s">
        <v>69</v>
      </c>
      <c r="BD25">
        <v>0.16400000000000001</v>
      </c>
      <c r="BE25">
        <v>0.16400000000000001</v>
      </c>
    </row>
    <row r="26" spans="1:57">
      <c r="A26">
        <v>0</v>
      </c>
      <c r="B26">
        <v>0</v>
      </c>
      <c r="C26">
        <v>0</v>
      </c>
      <c r="D26">
        <v>45</v>
      </c>
      <c r="E26" t="s">
        <v>171</v>
      </c>
      <c r="F26" t="s">
        <v>5762</v>
      </c>
      <c r="G26" t="s">
        <v>57</v>
      </c>
      <c r="H26">
        <v>53183</v>
      </c>
      <c r="I26">
        <v>53365</v>
      </c>
      <c r="J26" t="s">
        <v>172</v>
      </c>
      <c r="K26">
        <v>61</v>
      </c>
      <c r="L26" t="s">
        <v>59</v>
      </c>
      <c r="M26">
        <v>5</v>
      </c>
      <c r="N26" t="str">
        <f>HYPERLINK("Gene45-zp_tree_all.dnd", "Gene45-tree")</f>
        <v>Gene45-tree</v>
      </c>
      <c r="O26">
        <v>5</v>
      </c>
      <c r="P26">
        <v>0</v>
      </c>
      <c r="Q26">
        <v>5</v>
      </c>
      <c r="R26">
        <v>0</v>
      </c>
      <c r="S26">
        <v>0</v>
      </c>
      <c r="T26" t="s">
        <v>98</v>
      </c>
      <c r="U26" t="s">
        <v>62</v>
      </c>
      <c r="V26" t="s">
        <v>62</v>
      </c>
      <c r="W26" t="s">
        <v>62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3</v>
      </c>
      <c r="AM26">
        <v>2</v>
      </c>
      <c r="AN26">
        <v>5</v>
      </c>
      <c r="AO26">
        <v>0</v>
      </c>
      <c r="AP26">
        <v>4</v>
      </c>
      <c r="AQ26">
        <v>0</v>
      </c>
      <c r="AR26" t="s">
        <v>64</v>
      </c>
      <c r="AS26" t="s">
        <v>64</v>
      </c>
      <c r="AT26">
        <v>0</v>
      </c>
      <c r="AU26" t="s">
        <v>65</v>
      </c>
      <c r="AV26">
        <v>9</v>
      </c>
      <c r="AW26">
        <v>0</v>
      </c>
      <c r="AX26" t="s">
        <v>173</v>
      </c>
      <c r="AY26" t="s">
        <v>174</v>
      </c>
      <c r="AZ26" t="s">
        <v>64</v>
      </c>
      <c r="BA26">
        <v>0</v>
      </c>
      <c r="BB26">
        <v>1</v>
      </c>
      <c r="BC26" t="s">
        <v>69</v>
      </c>
      <c r="BD26">
        <v>0.13200000000000001</v>
      </c>
      <c r="BE26">
        <v>0.13200000000000001</v>
      </c>
    </row>
    <row r="27" spans="1:57">
      <c r="A27">
        <v>0</v>
      </c>
      <c r="B27">
        <v>0</v>
      </c>
      <c r="C27">
        <v>0</v>
      </c>
      <c r="D27">
        <v>830</v>
      </c>
      <c r="E27" t="s">
        <v>1277</v>
      </c>
      <c r="F27" t="s">
        <v>5762</v>
      </c>
      <c r="G27" t="s">
        <v>57</v>
      </c>
      <c r="H27">
        <v>869273</v>
      </c>
      <c r="I27">
        <v>869455</v>
      </c>
      <c r="J27" t="s">
        <v>170</v>
      </c>
      <c r="K27">
        <v>61</v>
      </c>
      <c r="L27" t="s">
        <v>59</v>
      </c>
      <c r="M27">
        <v>5</v>
      </c>
      <c r="N27" t="str">
        <f>HYPERLINK("Gene830-zp_tree_all.dnd", "Gene830-tree")</f>
        <v>Gene830-tree</v>
      </c>
      <c r="O27">
        <v>5</v>
      </c>
      <c r="P27">
        <v>0</v>
      </c>
      <c r="Q27">
        <v>4</v>
      </c>
      <c r="R27">
        <v>0</v>
      </c>
      <c r="S27">
        <v>0</v>
      </c>
      <c r="T27" t="s">
        <v>150</v>
      </c>
      <c r="U27" t="s">
        <v>62</v>
      </c>
      <c r="V27" t="s">
        <v>62</v>
      </c>
      <c r="W27" t="s">
        <v>62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4</v>
      </c>
      <c r="AM27">
        <v>1</v>
      </c>
      <c r="AN27">
        <v>7</v>
      </c>
      <c r="AO27">
        <v>0</v>
      </c>
      <c r="AP27">
        <v>2</v>
      </c>
      <c r="AQ27">
        <v>0</v>
      </c>
      <c r="AR27" t="s">
        <v>64</v>
      </c>
      <c r="AS27" t="s">
        <v>64</v>
      </c>
      <c r="AT27">
        <v>0</v>
      </c>
      <c r="AU27" t="s">
        <v>65</v>
      </c>
      <c r="AV27">
        <v>9</v>
      </c>
      <c r="AW27">
        <v>0</v>
      </c>
      <c r="AX27" t="s">
        <v>1278</v>
      </c>
      <c r="AY27" t="s">
        <v>1279</v>
      </c>
      <c r="AZ27" t="s">
        <v>64</v>
      </c>
      <c r="BA27">
        <v>0</v>
      </c>
      <c r="BB27">
        <v>1</v>
      </c>
      <c r="BC27" t="s">
        <v>69</v>
      </c>
      <c r="BD27">
        <v>0.66100000000000003</v>
      </c>
      <c r="BE27">
        <v>0.66100000000000003</v>
      </c>
    </row>
    <row r="28" spans="1:57">
      <c r="A28">
        <v>0</v>
      </c>
      <c r="B28">
        <v>0</v>
      </c>
      <c r="C28">
        <v>0</v>
      </c>
      <c r="D28">
        <v>4005</v>
      </c>
      <c r="E28" t="s">
        <v>5407</v>
      </c>
      <c r="F28" t="s">
        <v>5762</v>
      </c>
      <c r="G28" t="s">
        <v>62</v>
      </c>
      <c r="H28">
        <v>3969614</v>
      </c>
      <c r="I28">
        <v>3969799</v>
      </c>
      <c r="J28" t="s">
        <v>5408</v>
      </c>
      <c r="K28">
        <v>62</v>
      </c>
      <c r="L28" t="s">
        <v>112</v>
      </c>
      <c r="M28">
        <v>4</v>
      </c>
      <c r="N28" t="str">
        <f>HYPERLINK("Gene4005-zp_tree_all.dnd", "Gene4005-tree")</f>
        <v>Gene4005-tree</v>
      </c>
      <c r="O28">
        <v>2</v>
      </c>
      <c r="P28">
        <v>2</v>
      </c>
      <c r="Q28">
        <v>2</v>
      </c>
      <c r="R28">
        <v>2</v>
      </c>
      <c r="S28">
        <v>0.5</v>
      </c>
      <c r="T28" t="s">
        <v>135</v>
      </c>
      <c r="U28" t="s">
        <v>135</v>
      </c>
      <c r="V28" t="s">
        <v>62</v>
      </c>
      <c r="W28" t="s">
        <v>62</v>
      </c>
      <c r="X28">
        <v>0</v>
      </c>
      <c r="Y28">
        <v>0</v>
      </c>
      <c r="Z28">
        <v>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2</v>
      </c>
      <c r="AK28">
        <v>0</v>
      </c>
      <c r="AL28">
        <v>4</v>
      </c>
      <c r="AM28">
        <v>1</v>
      </c>
      <c r="AN28">
        <v>6</v>
      </c>
      <c r="AO28">
        <v>2</v>
      </c>
      <c r="AP28">
        <v>3</v>
      </c>
      <c r="AQ28">
        <v>0</v>
      </c>
      <c r="AR28" t="s">
        <v>5409</v>
      </c>
      <c r="AS28" t="s">
        <v>64</v>
      </c>
      <c r="AT28">
        <v>0.97599999999999998</v>
      </c>
      <c r="AU28" t="s">
        <v>65</v>
      </c>
      <c r="AV28">
        <v>9</v>
      </c>
      <c r="AW28">
        <v>2</v>
      </c>
      <c r="AX28" t="s">
        <v>5410</v>
      </c>
      <c r="AY28" t="s">
        <v>5411</v>
      </c>
      <c r="AZ28" t="s">
        <v>5412</v>
      </c>
      <c r="BA28">
        <v>5.7000000000000002E-2</v>
      </c>
      <c r="BB28">
        <v>1</v>
      </c>
      <c r="BC28" t="s">
        <v>69</v>
      </c>
      <c r="BD28">
        <v>0.86</v>
      </c>
      <c r="BE28">
        <v>-0.154</v>
      </c>
    </row>
    <row r="29" spans="1:57">
      <c r="A29">
        <v>0</v>
      </c>
      <c r="B29">
        <v>2</v>
      </c>
      <c r="C29">
        <v>0</v>
      </c>
      <c r="D29">
        <v>1036</v>
      </c>
      <c r="E29" t="s">
        <v>1496</v>
      </c>
      <c r="F29" t="s">
        <v>5762</v>
      </c>
      <c r="G29" t="s">
        <v>57</v>
      </c>
      <c r="H29">
        <v>1074381</v>
      </c>
      <c r="I29">
        <v>1074569</v>
      </c>
      <c r="J29" t="s">
        <v>1497</v>
      </c>
      <c r="K29">
        <v>63</v>
      </c>
      <c r="L29" t="s">
        <v>59</v>
      </c>
      <c r="M29">
        <v>5</v>
      </c>
      <c r="N29" t="str">
        <f>HYPERLINK("Gene1036-zp_tree_all.dnd", "Gene1036-tree")</f>
        <v>Gene1036-tree</v>
      </c>
      <c r="O29">
        <v>2</v>
      </c>
      <c r="P29">
        <v>3</v>
      </c>
      <c r="Q29">
        <v>2</v>
      </c>
      <c r="R29">
        <v>3</v>
      </c>
      <c r="S29">
        <v>0.6</v>
      </c>
      <c r="T29" t="s">
        <v>135</v>
      </c>
      <c r="U29" t="s">
        <v>84</v>
      </c>
      <c r="V29" t="s">
        <v>62</v>
      </c>
      <c r="W29" t="s">
        <v>62</v>
      </c>
      <c r="X29">
        <v>1</v>
      </c>
      <c r="Y29">
        <v>2</v>
      </c>
      <c r="Z29">
        <v>3</v>
      </c>
      <c r="AA29">
        <v>0.4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4</v>
      </c>
      <c r="AK29">
        <v>0</v>
      </c>
      <c r="AL29">
        <v>4</v>
      </c>
      <c r="AM29">
        <v>2</v>
      </c>
      <c r="AN29">
        <v>5</v>
      </c>
      <c r="AO29">
        <v>2</v>
      </c>
      <c r="AP29">
        <v>2</v>
      </c>
      <c r="AQ29">
        <v>3</v>
      </c>
      <c r="AR29" t="s">
        <v>1498</v>
      </c>
      <c r="AS29" t="s">
        <v>1499</v>
      </c>
      <c r="AT29">
        <v>3.5830000000000002</v>
      </c>
      <c r="AU29" t="s">
        <v>65</v>
      </c>
      <c r="AV29">
        <v>7</v>
      </c>
      <c r="AW29">
        <v>5</v>
      </c>
      <c r="AX29" t="s">
        <v>1500</v>
      </c>
      <c r="AY29" t="s">
        <v>1501</v>
      </c>
      <c r="AZ29" t="s">
        <v>1502</v>
      </c>
      <c r="BA29">
        <v>0.23713000000000001</v>
      </c>
      <c r="BB29">
        <v>0.97899999999999998</v>
      </c>
      <c r="BC29" t="s">
        <v>69</v>
      </c>
      <c r="BD29">
        <v>0.16400000000000001</v>
      </c>
      <c r="BE29">
        <v>0.16400000000000001</v>
      </c>
    </row>
    <row r="30" spans="1:57">
      <c r="A30">
        <v>0</v>
      </c>
      <c r="B30">
        <v>0</v>
      </c>
      <c r="C30">
        <v>0</v>
      </c>
      <c r="D30">
        <v>207</v>
      </c>
      <c r="E30" t="s">
        <v>665</v>
      </c>
      <c r="F30" t="s">
        <v>5762</v>
      </c>
      <c r="G30" t="s">
        <v>57</v>
      </c>
      <c r="H30">
        <v>228331</v>
      </c>
      <c r="I30">
        <v>228519</v>
      </c>
      <c r="J30" t="s">
        <v>118</v>
      </c>
      <c r="K30">
        <v>63</v>
      </c>
      <c r="L30" t="s">
        <v>59</v>
      </c>
      <c r="M30">
        <v>5</v>
      </c>
      <c r="N30" t="str">
        <f>HYPERLINK("Gene207-zp_tree_all.dnd", "Gene207-tree")</f>
        <v>Gene207-tree</v>
      </c>
      <c r="O30">
        <v>3</v>
      </c>
      <c r="P30">
        <v>2</v>
      </c>
      <c r="Q30">
        <v>3</v>
      </c>
      <c r="R30">
        <v>2</v>
      </c>
      <c r="S30">
        <v>0.4</v>
      </c>
      <c r="T30" t="s">
        <v>84</v>
      </c>
      <c r="U30" t="s">
        <v>135</v>
      </c>
      <c r="V30" t="s">
        <v>62</v>
      </c>
      <c r="W30" t="s">
        <v>62</v>
      </c>
      <c r="X30">
        <v>0</v>
      </c>
      <c r="Y30">
        <v>0</v>
      </c>
      <c r="Z30">
        <v>4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2</v>
      </c>
      <c r="AK30">
        <v>0</v>
      </c>
      <c r="AL30">
        <v>4</v>
      </c>
      <c r="AM30">
        <v>1</v>
      </c>
      <c r="AN30">
        <v>5</v>
      </c>
      <c r="AO30">
        <v>2</v>
      </c>
      <c r="AP30">
        <v>4</v>
      </c>
      <c r="AQ30">
        <v>2</v>
      </c>
      <c r="AR30" t="s">
        <v>666</v>
      </c>
      <c r="AS30" t="s">
        <v>667</v>
      </c>
      <c r="AT30">
        <v>0.23699999999999999</v>
      </c>
      <c r="AU30" t="s">
        <v>65</v>
      </c>
      <c r="AV30">
        <v>9</v>
      </c>
      <c r="AW30">
        <v>4</v>
      </c>
      <c r="AX30" t="s">
        <v>668</v>
      </c>
      <c r="AY30" t="s">
        <v>669</v>
      </c>
      <c r="AZ30" t="s">
        <v>670</v>
      </c>
      <c r="BA30">
        <v>0.10631</v>
      </c>
      <c r="BB30">
        <v>1</v>
      </c>
      <c r="BC30" t="s">
        <v>69</v>
      </c>
      <c r="BD30">
        <v>0.55200000000000005</v>
      </c>
      <c r="BE30">
        <v>0.55200000000000005</v>
      </c>
    </row>
    <row r="31" spans="1:57">
      <c r="A31">
        <v>0</v>
      </c>
      <c r="B31">
        <v>0</v>
      </c>
      <c r="C31">
        <v>0</v>
      </c>
      <c r="D31">
        <v>1167</v>
      </c>
      <c r="E31" t="s">
        <v>1620</v>
      </c>
      <c r="F31" t="s">
        <v>5762</v>
      </c>
      <c r="G31" t="s">
        <v>57</v>
      </c>
      <c r="H31">
        <v>1207597</v>
      </c>
      <c r="I31">
        <v>1207785</v>
      </c>
      <c r="J31" t="s">
        <v>1621</v>
      </c>
      <c r="K31">
        <v>63</v>
      </c>
      <c r="L31" t="s">
        <v>59</v>
      </c>
      <c r="M31">
        <v>5</v>
      </c>
      <c r="N31" t="str">
        <f>HYPERLINK("Gene1167-zp_tree_all.dnd", "Gene1167-tree")</f>
        <v>Gene1167-tree</v>
      </c>
      <c r="O31">
        <v>4</v>
      </c>
      <c r="P31">
        <v>0</v>
      </c>
      <c r="Q31">
        <v>4</v>
      </c>
      <c r="R31">
        <v>0</v>
      </c>
      <c r="S31">
        <v>0</v>
      </c>
      <c r="T31" t="s">
        <v>60</v>
      </c>
      <c r="U31" t="s">
        <v>62</v>
      </c>
      <c r="V31" t="s">
        <v>62</v>
      </c>
      <c r="W31" t="s">
        <v>62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2</v>
      </c>
      <c r="AM31">
        <v>1</v>
      </c>
      <c r="AN31">
        <v>3</v>
      </c>
      <c r="AO31">
        <v>0</v>
      </c>
      <c r="AP31">
        <v>8</v>
      </c>
      <c r="AQ31">
        <v>0</v>
      </c>
      <c r="AR31" t="s">
        <v>64</v>
      </c>
      <c r="AS31" t="s">
        <v>64</v>
      </c>
      <c r="AT31">
        <v>0</v>
      </c>
      <c r="AU31" t="s">
        <v>65</v>
      </c>
      <c r="AV31">
        <v>11</v>
      </c>
      <c r="AW31">
        <v>0</v>
      </c>
      <c r="AX31" t="s">
        <v>1622</v>
      </c>
      <c r="AY31" t="s">
        <v>1623</v>
      </c>
      <c r="AZ31" t="s">
        <v>64</v>
      </c>
      <c r="BA31">
        <v>0</v>
      </c>
      <c r="BB31">
        <v>1</v>
      </c>
      <c r="BC31" t="s">
        <v>69</v>
      </c>
      <c r="BD31">
        <v>1.3420000000000001</v>
      </c>
      <c r="BE31">
        <v>0.59599999999999997</v>
      </c>
    </row>
    <row r="32" spans="1:57">
      <c r="A32">
        <v>0</v>
      </c>
      <c r="B32">
        <v>0</v>
      </c>
      <c r="C32">
        <v>0</v>
      </c>
      <c r="D32">
        <v>675</v>
      </c>
      <c r="E32" t="s">
        <v>1093</v>
      </c>
      <c r="F32" t="s">
        <v>5762</v>
      </c>
      <c r="G32" t="s">
        <v>57</v>
      </c>
      <c r="H32">
        <v>698092</v>
      </c>
      <c r="I32">
        <v>698286</v>
      </c>
      <c r="J32" t="s">
        <v>170</v>
      </c>
      <c r="K32">
        <v>65</v>
      </c>
      <c r="L32" t="s">
        <v>59</v>
      </c>
      <c r="M32">
        <v>5</v>
      </c>
      <c r="N32" t="str">
        <f>HYPERLINK("Gene675-zp_tree_all.dnd", "Gene675-tree")</f>
        <v>Gene675-tree</v>
      </c>
      <c r="O32">
        <v>4</v>
      </c>
      <c r="P32">
        <v>1</v>
      </c>
      <c r="Q32">
        <v>4</v>
      </c>
      <c r="R32">
        <v>1</v>
      </c>
      <c r="S32">
        <v>0.2</v>
      </c>
      <c r="T32" t="s">
        <v>60</v>
      </c>
      <c r="U32" t="s">
        <v>61</v>
      </c>
      <c r="V32" t="s">
        <v>62</v>
      </c>
      <c r="W32" t="s">
        <v>62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4</v>
      </c>
      <c r="AM32">
        <v>1</v>
      </c>
      <c r="AN32">
        <v>6</v>
      </c>
      <c r="AO32">
        <v>1</v>
      </c>
      <c r="AP32">
        <v>1</v>
      </c>
      <c r="AQ32">
        <v>0</v>
      </c>
      <c r="AR32" t="s">
        <v>1094</v>
      </c>
      <c r="AS32" t="s">
        <v>64</v>
      </c>
      <c r="AT32">
        <v>0.59499999999999997</v>
      </c>
      <c r="AU32" t="s">
        <v>65</v>
      </c>
      <c r="AV32">
        <v>7</v>
      </c>
      <c r="AW32">
        <v>1</v>
      </c>
      <c r="AX32" t="s">
        <v>1095</v>
      </c>
      <c r="AY32" t="s">
        <v>1096</v>
      </c>
      <c r="AZ32" t="s">
        <v>1097</v>
      </c>
      <c r="BA32">
        <v>3.032E-2</v>
      </c>
      <c r="BB32">
        <v>1</v>
      </c>
      <c r="BC32" t="s">
        <v>69</v>
      </c>
      <c r="BD32">
        <v>-0.80700000000000005</v>
      </c>
      <c r="BE32">
        <v>-0.80700000000000005</v>
      </c>
    </row>
    <row r="33" spans="1:57">
      <c r="A33">
        <v>0</v>
      </c>
      <c r="B33">
        <v>0</v>
      </c>
      <c r="C33">
        <v>0</v>
      </c>
      <c r="D33">
        <v>524</v>
      </c>
      <c r="E33" t="s">
        <v>979</v>
      </c>
      <c r="F33" t="s">
        <v>5762</v>
      </c>
      <c r="G33" t="s">
        <v>57</v>
      </c>
      <c r="H33">
        <v>559264</v>
      </c>
      <c r="I33">
        <v>559461</v>
      </c>
      <c r="J33" t="s">
        <v>980</v>
      </c>
      <c r="K33">
        <v>66</v>
      </c>
      <c r="L33" t="s">
        <v>59</v>
      </c>
      <c r="M33">
        <v>5</v>
      </c>
      <c r="N33" t="str">
        <f>HYPERLINK("Gene524-zp_tree_all.dnd", "Gene524-tree")</f>
        <v>Gene524-tree</v>
      </c>
      <c r="O33">
        <v>3</v>
      </c>
      <c r="P33">
        <v>1</v>
      </c>
      <c r="Q33">
        <v>3</v>
      </c>
      <c r="R33">
        <v>1</v>
      </c>
      <c r="S33">
        <v>0.25</v>
      </c>
      <c r="T33" t="s">
        <v>84</v>
      </c>
      <c r="U33" t="s">
        <v>61</v>
      </c>
      <c r="V33" t="s">
        <v>62</v>
      </c>
      <c r="W33" t="s">
        <v>62</v>
      </c>
      <c r="X33">
        <v>0</v>
      </c>
      <c r="Y33">
        <v>0</v>
      </c>
      <c r="Z33">
        <v>3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2</v>
      </c>
      <c r="AK33">
        <v>0</v>
      </c>
      <c r="AL33">
        <v>3</v>
      </c>
      <c r="AM33">
        <v>1</v>
      </c>
      <c r="AN33">
        <v>4</v>
      </c>
      <c r="AO33">
        <v>2</v>
      </c>
      <c r="AP33">
        <v>3</v>
      </c>
      <c r="AQ33">
        <v>1</v>
      </c>
      <c r="AR33" t="s">
        <v>981</v>
      </c>
      <c r="AS33" t="s">
        <v>982</v>
      </c>
      <c r="AT33">
        <v>0.28699999999999998</v>
      </c>
      <c r="AU33" t="s">
        <v>65</v>
      </c>
      <c r="AV33">
        <v>7</v>
      </c>
      <c r="AW33">
        <v>3</v>
      </c>
      <c r="AX33" t="s">
        <v>983</v>
      </c>
      <c r="AY33" t="s">
        <v>984</v>
      </c>
      <c r="AZ33" t="s">
        <v>985</v>
      </c>
      <c r="BA33">
        <v>9.9629999999999996E-2</v>
      </c>
      <c r="BB33">
        <v>1</v>
      </c>
      <c r="BC33" t="s">
        <v>69</v>
      </c>
      <c r="BD33">
        <v>0</v>
      </c>
      <c r="BE33">
        <v>0</v>
      </c>
    </row>
    <row r="34" spans="1:57">
      <c r="A34">
        <v>0</v>
      </c>
      <c r="B34">
        <v>0</v>
      </c>
      <c r="C34">
        <v>0</v>
      </c>
      <c r="D34">
        <v>2887</v>
      </c>
      <c r="E34" t="s">
        <v>3768</v>
      </c>
      <c r="F34" t="s">
        <v>5762</v>
      </c>
      <c r="G34" t="s">
        <v>62</v>
      </c>
      <c r="H34">
        <v>2834960</v>
      </c>
      <c r="I34">
        <v>2835157</v>
      </c>
      <c r="J34" t="s">
        <v>3769</v>
      </c>
      <c r="K34">
        <v>66</v>
      </c>
      <c r="L34" t="s">
        <v>59</v>
      </c>
      <c r="M34">
        <v>5</v>
      </c>
      <c r="N34" t="str">
        <f>HYPERLINK("Gene2887-zp_tree_all.dnd", "Gene2887-tree")</f>
        <v>Gene2887-tree</v>
      </c>
      <c r="O34">
        <v>4</v>
      </c>
      <c r="P34">
        <v>1</v>
      </c>
      <c r="Q34">
        <v>4</v>
      </c>
      <c r="R34">
        <v>1</v>
      </c>
      <c r="S34">
        <v>0.2</v>
      </c>
      <c r="T34" t="s">
        <v>60</v>
      </c>
      <c r="U34" t="s">
        <v>61</v>
      </c>
      <c r="V34" t="s">
        <v>62</v>
      </c>
      <c r="W34" t="s">
        <v>62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4</v>
      </c>
      <c r="AM34">
        <v>2</v>
      </c>
      <c r="AN34">
        <v>5</v>
      </c>
      <c r="AO34">
        <v>1</v>
      </c>
      <c r="AP34">
        <v>7</v>
      </c>
      <c r="AQ34">
        <v>0</v>
      </c>
      <c r="AR34" t="s">
        <v>3770</v>
      </c>
      <c r="AS34" t="s">
        <v>64</v>
      </c>
      <c r="AT34">
        <v>0.58099999999999996</v>
      </c>
      <c r="AU34" t="s">
        <v>65</v>
      </c>
      <c r="AV34">
        <v>12</v>
      </c>
      <c r="AW34">
        <v>1</v>
      </c>
      <c r="AX34" t="s">
        <v>3771</v>
      </c>
      <c r="AY34" t="s">
        <v>3772</v>
      </c>
      <c r="AZ34" t="s">
        <v>3773</v>
      </c>
      <c r="BA34">
        <v>1.737E-2</v>
      </c>
      <c r="BB34">
        <v>1</v>
      </c>
      <c r="BC34" t="s">
        <v>69</v>
      </c>
      <c r="BD34">
        <v>0.67800000000000005</v>
      </c>
      <c r="BE34">
        <v>0.05</v>
      </c>
    </row>
    <row r="35" spans="1:57">
      <c r="A35">
        <v>0</v>
      </c>
      <c r="B35">
        <v>0</v>
      </c>
      <c r="C35">
        <v>0</v>
      </c>
      <c r="D35">
        <v>2376</v>
      </c>
      <c r="E35" t="s">
        <v>3105</v>
      </c>
      <c r="F35" t="s">
        <v>5762</v>
      </c>
      <c r="G35" t="s">
        <v>62</v>
      </c>
      <c r="H35">
        <v>2388613</v>
      </c>
      <c r="I35">
        <v>2388813</v>
      </c>
      <c r="J35" t="s">
        <v>118</v>
      </c>
      <c r="K35">
        <v>67</v>
      </c>
      <c r="L35" t="s">
        <v>59</v>
      </c>
      <c r="M35">
        <v>5</v>
      </c>
      <c r="N35" t="str">
        <f>HYPERLINK("Gene2376-zp_tree_all.dnd", "Gene2376-tree")</f>
        <v>Gene2376-tree</v>
      </c>
      <c r="O35">
        <v>5</v>
      </c>
      <c r="P35">
        <v>0</v>
      </c>
      <c r="Q35">
        <v>4</v>
      </c>
      <c r="R35">
        <v>0</v>
      </c>
      <c r="S35">
        <v>0</v>
      </c>
      <c r="T35" t="s">
        <v>150</v>
      </c>
      <c r="U35" t="s">
        <v>62</v>
      </c>
      <c r="V35" t="s">
        <v>62</v>
      </c>
      <c r="W35" t="s">
        <v>62</v>
      </c>
      <c r="X35">
        <v>0</v>
      </c>
      <c r="Y35">
        <v>0</v>
      </c>
      <c r="Z35">
        <v>3</v>
      </c>
      <c r="AA35">
        <v>0</v>
      </c>
      <c r="AB35">
        <v>0</v>
      </c>
      <c r="AC35">
        <v>0</v>
      </c>
      <c r="AD35">
        <v>0</v>
      </c>
      <c r="AE35">
        <v>3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3</v>
      </c>
      <c r="AM35">
        <v>1</v>
      </c>
      <c r="AN35">
        <v>5</v>
      </c>
      <c r="AO35">
        <v>0</v>
      </c>
      <c r="AP35">
        <v>4</v>
      </c>
      <c r="AQ35">
        <v>3</v>
      </c>
      <c r="AR35" t="s">
        <v>64</v>
      </c>
      <c r="AS35" t="s">
        <v>3106</v>
      </c>
      <c r="AT35">
        <v>0</v>
      </c>
      <c r="AU35" t="s">
        <v>65</v>
      </c>
      <c r="AV35">
        <v>9</v>
      </c>
      <c r="AW35">
        <v>3</v>
      </c>
      <c r="AX35" t="s">
        <v>3107</v>
      </c>
      <c r="AY35" t="s">
        <v>3108</v>
      </c>
      <c r="AZ35" t="s">
        <v>3109</v>
      </c>
      <c r="BA35">
        <v>0.10287</v>
      </c>
      <c r="BB35">
        <v>1</v>
      </c>
      <c r="BC35" t="s">
        <v>69</v>
      </c>
      <c r="BD35">
        <v>0.80400000000000005</v>
      </c>
      <c r="BE35">
        <v>0.80400000000000005</v>
      </c>
    </row>
    <row r="36" spans="1:57">
      <c r="A36">
        <v>0</v>
      </c>
      <c r="B36">
        <v>0</v>
      </c>
      <c r="C36">
        <v>0</v>
      </c>
      <c r="D36">
        <v>1630</v>
      </c>
      <c r="E36" t="s">
        <v>2326</v>
      </c>
      <c r="F36" t="s">
        <v>5762</v>
      </c>
      <c r="G36" t="s">
        <v>57</v>
      </c>
      <c r="H36">
        <v>1642567</v>
      </c>
      <c r="I36">
        <v>1642767</v>
      </c>
      <c r="J36" t="s">
        <v>2327</v>
      </c>
      <c r="K36">
        <v>67</v>
      </c>
      <c r="L36" t="s">
        <v>59</v>
      </c>
      <c r="M36">
        <v>5</v>
      </c>
      <c r="N36" t="str">
        <f>HYPERLINK("Gene1630-zp_tree_all.dnd", "Gene1630-tree")</f>
        <v>Gene1630-tree</v>
      </c>
      <c r="O36">
        <v>4</v>
      </c>
      <c r="P36">
        <v>0</v>
      </c>
      <c r="Q36">
        <v>4</v>
      </c>
      <c r="R36">
        <v>0</v>
      </c>
      <c r="S36">
        <v>0</v>
      </c>
      <c r="T36" t="s">
        <v>60</v>
      </c>
      <c r="U36" t="s">
        <v>62</v>
      </c>
      <c r="V36" t="s">
        <v>62</v>
      </c>
      <c r="W36" t="s">
        <v>62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3</v>
      </c>
      <c r="AM36">
        <v>1</v>
      </c>
      <c r="AN36">
        <v>4</v>
      </c>
      <c r="AO36">
        <v>0</v>
      </c>
      <c r="AP36">
        <v>5</v>
      </c>
      <c r="AQ36">
        <v>0</v>
      </c>
      <c r="AR36" t="s">
        <v>64</v>
      </c>
      <c r="AS36" t="s">
        <v>64</v>
      </c>
      <c r="AT36">
        <v>0</v>
      </c>
      <c r="AU36" t="s">
        <v>65</v>
      </c>
      <c r="AV36">
        <v>9</v>
      </c>
      <c r="AW36">
        <v>0</v>
      </c>
      <c r="AX36" t="s">
        <v>2328</v>
      </c>
      <c r="AY36" t="s">
        <v>2329</v>
      </c>
      <c r="AZ36" t="s">
        <v>64</v>
      </c>
      <c r="BA36">
        <v>0</v>
      </c>
      <c r="BB36">
        <v>1</v>
      </c>
      <c r="BC36" t="s">
        <v>69</v>
      </c>
      <c r="BD36">
        <v>1.5780000000000001</v>
      </c>
      <c r="BE36">
        <v>0.66100000000000003</v>
      </c>
    </row>
    <row r="37" spans="1:57">
      <c r="A37">
        <v>0</v>
      </c>
      <c r="B37">
        <v>0</v>
      </c>
      <c r="C37">
        <v>0</v>
      </c>
      <c r="D37">
        <v>3313</v>
      </c>
      <c r="E37" t="s">
        <v>4503</v>
      </c>
      <c r="F37" t="s">
        <v>5762</v>
      </c>
      <c r="G37" t="s">
        <v>62</v>
      </c>
      <c r="H37">
        <v>3280297</v>
      </c>
      <c r="I37">
        <v>3280503</v>
      </c>
      <c r="J37" t="s">
        <v>4504</v>
      </c>
      <c r="K37">
        <v>69</v>
      </c>
      <c r="L37" t="s">
        <v>59</v>
      </c>
      <c r="M37">
        <v>5</v>
      </c>
      <c r="N37" t="str">
        <f>HYPERLINK("Gene3313-zp_tree_all.dnd", "Gene3313-tree")</f>
        <v>Gene3313-tree</v>
      </c>
      <c r="O37">
        <v>2</v>
      </c>
      <c r="P37">
        <v>3</v>
      </c>
      <c r="Q37">
        <v>2</v>
      </c>
      <c r="R37">
        <v>3</v>
      </c>
      <c r="S37">
        <v>0.6</v>
      </c>
      <c r="T37" t="s">
        <v>135</v>
      </c>
      <c r="U37" t="s">
        <v>84</v>
      </c>
      <c r="V37" t="s">
        <v>62</v>
      </c>
      <c r="W37" t="s">
        <v>62</v>
      </c>
      <c r="X37">
        <v>0</v>
      </c>
      <c r="Y37">
        <v>0</v>
      </c>
      <c r="Z37">
        <v>4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2</v>
      </c>
      <c r="AK37">
        <v>0</v>
      </c>
      <c r="AL37">
        <v>4</v>
      </c>
      <c r="AM37">
        <v>2</v>
      </c>
      <c r="AN37">
        <v>4</v>
      </c>
      <c r="AO37">
        <v>2</v>
      </c>
      <c r="AP37">
        <v>4</v>
      </c>
      <c r="AQ37">
        <v>2</v>
      </c>
      <c r="AR37" t="s">
        <v>4505</v>
      </c>
      <c r="AS37" t="s">
        <v>4506</v>
      </c>
      <c r="AT37">
        <v>0.02</v>
      </c>
      <c r="AU37" t="s">
        <v>65</v>
      </c>
      <c r="AV37">
        <v>8</v>
      </c>
      <c r="AW37">
        <v>4</v>
      </c>
      <c r="AX37" t="s">
        <v>4507</v>
      </c>
      <c r="AY37" t="s">
        <v>4508</v>
      </c>
      <c r="AZ37" t="s">
        <v>4509</v>
      </c>
      <c r="BA37">
        <v>0.1288</v>
      </c>
      <c r="BB37">
        <v>0.98899999999999999</v>
      </c>
      <c r="BC37" t="s">
        <v>69</v>
      </c>
      <c r="BD37">
        <v>0.30099999999999999</v>
      </c>
      <c r="BE37">
        <v>0.30099999999999999</v>
      </c>
    </row>
    <row r="38" spans="1:57">
      <c r="A38">
        <v>0</v>
      </c>
      <c r="B38">
        <v>0</v>
      </c>
      <c r="C38">
        <v>0</v>
      </c>
      <c r="D38">
        <v>80</v>
      </c>
      <c r="E38" t="s">
        <v>290</v>
      </c>
      <c r="F38" t="s">
        <v>5762</v>
      </c>
      <c r="G38" t="s">
        <v>57</v>
      </c>
      <c r="H38">
        <v>87401</v>
      </c>
      <c r="I38">
        <v>87607</v>
      </c>
      <c r="J38" t="s">
        <v>291</v>
      </c>
      <c r="K38">
        <v>69</v>
      </c>
      <c r="L38" t="s">
        <v>59</v>
      </c>
      <c r="M38">
        <v>5</v>
      </c>
      <c r="N38" t="str">
        <f>HYPERLINK("Gene80-zp_tree_all.dnd", "Gene80-tree")</f>
        <v>Gene80-tree</v>
      </c>
      <c r="O38">
        <v>3</v>
      </c>
      <c r="P38">
        <v>1</v>
      </c>
      <c r="Q38">
        <v>3</v>
      </c>
      <c r="R38">
        <v>1</v>
      </c>
      <c r="S38">
        <v>0.25</v>
      </c>
      <c r="T38" t="s">
        <v>84</v>
      </c>
      <c r="U38" t="s">
        <v>61</v>
      </c>
      <c r="V38" t="s">
        <v>62</v>
      </c>
      <c r="W38" t="s">
        <v>62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3</v>
      </c>
      <c r="AM38">
        <v>0</v>
      </c>
      <c r="AN38">
        <v>5</v>
      </c>
      <c r="AO38">
        <v>1</v>
      </c>
      <c r="AP38">
        <v>0</v>
      </c>
      <c r="AQ38">
        <v>0</v>
      </c>
      <c r="AR38" t="s">
        <v>292</v>
      </c>
      <c r="AS38" t="s">
        <v>64</v>
      </c>
      <c r="AT38">
        <v>0.74099999999999999</v>
      </c>
      <c r="AU38" t="s">
        <v>65</v>
      </c>
      <c r="AV38">
        <v>5</v>
      </c>
      <c r="AW38">
        <v>1</v>
      </c>
      <c r="AX38" t="s">
        <v>293</v>
      </c>
      <c r="AY38" t="s">
        <v>294</v>
      </c>
      <c r="AZ38" t="s">
        <v>295</v>
      </c>
      <c r="BA38">
        <v>5.9299999999999999E-2</v>
      </c>
      <c r="BB38">
        <v>1</v>
      </c>
      <c r="BC38" t="s">
        <v>69</v>
      </c>
      <c r="BD38">
        <v>0.76400000000000001</v>
      </c>
      <c r="BE38">
        <v>0.76400000000000001</v>
      </c>
    </row>
    <row r="39" spans="1:57">
      <c r="A39">
        <v>0</v>
      </c>
      <c r="B39">
        <v>0</v>
      </c>
      <c r="C39">
        <v>0</v>
      </c>
      <c r="D39">
        <v>3478</v>
      </c>
      <c r="E39" t="s">
        <v>4750</v>
      </c>
      <c r="F39" t="s">
        <v>5762</v>
      </c>
      <c r="G39" t="s">
        <v>62</v>
      </c>
      <c r="H39">
        <v>3443616</v>
      </c>
      <c r="I39">
        <v>3443822</v>
      </c>
      <c r="J39" t="s">
        <v>4751</v>
      </c>
      <c r="K39">
        <v>69</v>
      </c>
      <c r="L39" t="s">
        <v>112</v>
      </c>
      <c r="M39">
        <v>4</v>
      </c>
      <c r="N39" t="str">
        <f>HYPERLINK("Gene3478-zp_tree_all.dnd", "Gene3478-tree")</f>
        <v>Gene3478-tree</v>
      </c>
      <c r="O39">
        <v>3</v>
      </c>
      <c r="P39">
        <v>1</v>
      </c>
      <c r="Q39">
        <v>3</v>
      </c>
      <c r="R39">
        <v>1</v>
      </c>
      <c r="S39">
        <v>0.25</v>
      </c>
      <c r="T39" t="s">
        <v>84</v>
      </c>
      <c r="U39" t="s">
        <v>61</v>
      </c>
      <c r="V39" t="s">
        <v>62</v>
      </c>
      <c r="W39" t="s">
        <v>62</v>
      </c>
      <c r="X39">
        <v>0</v>
      </c>
      <c r="Y39">
        <v>0</v>
      </c>
      <c r="Z39">
        <v>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</v>
      </c>
      <c r="AK39">
        <v>0</v>
      </c>
      <c r="AL39">
        <v>4</v>
      </c>
      <c r="AM39">
        <v>1</v>
      </c>
      <c r="AN39">
        <v>10</v>
      </c>
      <c r="AO39">
        <v>2</v>
      </c>
      <c r="AP39">
        <v>1</v>
      </c>
      <c r="AQ39">
        <v>0</v>
      </c>
      <c r="AR39" t="s">
        <v>4752</v>
      </c>
      <c r="AS39" t="s">
        <v>64</v>
      </c>
      <c r="AT39">
        <v>0.53400000000000003</v>
      </c>
      <c r="AU39" t="s">
        <v>65</v>
      </c>
      <c r="AV39">
        <v>11</v>
      </c>
      <c r="AW39">
        <v>2</v>
      </c>
      <c r="AX39" t="s">
        <v>4753</v>
      </c>
      <c r="AY39" t="s">
        <v>4754</v>
      </c>
      <c r="AZ39" t="s">
        <v>4755</v>
      </c>
      <c r="BA39">
        <v>4.9020000000000001E-2</v>
      </c>
      <c r="BB39">
        <v>1</v>
      </c>
      <c r="BC39" t="s">
        <v>69</v>
      </c>
      <c r="BD39">
        <v>0.27900000000000003</v>
      </c>
      <c r="BE39">
        <v>-0.55800000000000005</v>
      </c>
    </row>
    <row r="40" spans="1:57">
      <c r="A40">
        <v>0</v>
      </c>
      <c r="B40">
        <v>0</v>
      </c>
      <c r="C40">
        <v>0</v>
      </c>
      <c r="D40">
        <v>264</v>
      </c>
      <c r="E40" t="s">
        <v>691</v>
      </c>
      <c r="F40" t="s">
        <v>5762</v>
      </c>
      <c r="G40" t="s">
        <v>57</v>
      </c>
      <c r="H40">
        <v>285775</v>
      </c>
      <c r="I40">
        <v>285984</v>
      </c>
      <c r="J40" t="s">
        <v>692</v>
      </c>
      <c r="K40">
        <v>70</v>
      </c>
      <c r="L40" t="s">
        <v>59</v>
      </c>
      <c r="M40">
        <v>5</v>
      </c>
      <c r="N40" t="str">
        <f>HYPERLINK("Gene264-zp_tree_all.dnd", "Gene264-tree")</f>
        <v>Gene264-tree</v>
      </c>
      <c r="O40">
        <v>5</v>
      </c>
      <c r="P40">
        <v>0</v>
      </c>
      <c r="Q40">
        <v>5</v>
      </c>
      <c r="R40">
        <v>0</v>
      </c>
      <c r="S40">
        <v>0</v>
      </c>
      <c r="T40" t="s">
        <v>98</v>
      </c>
      <c r="U40" t="s">
        <v>62</v>
      </c>
      <c r="V40" t="s">
        <v>62</v>
      </c>
      <c r="W40" t="s">
        <v>62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5</v>
      </c>
      <c r="AM40">
        <v>1</v>
      </c>
      <c r="AN40">
        <v>10</v>
      </c>
      <c r="AO40">
        <v>0</v>
      </c>
      <c r="AP40">
        <v>2</v>
      </c>
      <c r="AQ40">
        <v>0</v>
      </c>
      <c r="AR40" t="s">
        <v>64</v>
      </c>
      <c r="AS40" t="s">
        <v>64</v>
      </c>
      <c r="AT40">
        <v>0</v>
      </c>
      <c r="AU40" t="s">
        <v>65</v>
      </c>
      <c r="AV40">
        <v>12</v>
      </c>
      <c r="AW40">
        <v>0</v>
      </c>
      <c r="AX40" t="s">
        <v>693</v>
      </c>
      <c r="AY40" t="s">
        <v>694</v>
      </c>
      <c r="AZ40" t="s">
        <v>64</v>
      </c>
      <c r="BA40">
        <v>0</v>
      </c>
      <c r="BB40">
        <v>1</v>
      </c>
      <c r="BC40" t="s">
        <v>69</v>
      </c>
      <c r="BD40">
        <v>-0.70299999999999996</v>
      </c>
      <c r="BE40">
        <v>-0.70299999999999996</v>
      </c>
    </row>
    <row r="41" spans="1:57">
      <c r="A41">
        <v>0</v>
      </c>
      <c r="B41">
        <v>0</v>
      </c>
      <c r="C41">
        <v>0</v>
      </c>
      <c r="D41">
        <v>3665</v>
      </c>
      <c r="E41" t="s">
        <v>4961</v>
      </c>
      <c r="F41" t="s">
        <v>5762</v>
      </c>
      <c r="G41" t="s">
        <v>62</v>
      </c>
      <c r="H41">
        <v>3636049</v>
      </c>
      <c r="I41">
        <v>3636270</v>
      </c>
      <c r="J41" t="s">
        <v>4962</v>
      </c>
      <c r="K41">
        <v>74</v>
      </c>
      <c r="L41" t="s">
        <v>59</v>
      </c>
      <c r="M41">
        <v>5</v>
      </c>
      <c r="N41" t="str">
        <f>HYPERLINK("Gene3665-zp_tree_all.dnd", "Gene3665-tree")</f>
        <v>Gene3665-tree</v>
      </c>
      <c r="O41">
        <v>2</v>
      </c>
      <c r="P41">
        <v>3</v>
      </c>
      <c r="Q41">
        <v>2</v>
      </c>
      <c r="R41">
        <v>3</v>
      </c>
      <c r="S41">
        <v>0.6</v>
      </c>
      <c r="T41" t="s">
        <v>135</v>
      </c>
      <c r="U41" t="s">
        <v>84</v>
      </c>
      <c r="V41" t="s">
        <v>62</v>
      </c>
      <c r="W41" t="s">
        <v>62</v>
      </c>
      <c r="X41">
        <v>0</v>
      </c>
      <c r="Y41">
        <v>0</v>
      </c>
      <c r="Z41">
        <v>4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4</v>
      </c>
      <c r="AK41">
        <v>0</v>
      </c>
      <c r="AL41">
        <v>5</v>
      </c>
      <c r="AM41">
        <v>2</v>
      </c>
      <c r="AN41">
        <v>7</v>
      </c>
      <c r="AO41">
        <v>4</v>
      </c>
      <c r="AP41">
        <v>5</v>
      </c>
      <c r="AQ41">
        <v>0</v>
      </c>
      <c r="AR41" t="s">
        <v>4963</v>
      </c>
      <c r="AS41" t="s">
        <v>64</v>
      </c>
      <c r="AT41">
        <v>1.827</v>
      </c>
      <c r="AU41" t="s">
        <v>65</v>
      </c>
      <c r="AV41">
        <v>12</v>
      </c>
      <c r="AW41">
        <v>4</v>
      </c>
      <c r="AX41" t="s">
        <v>4964</v>
      </c>
      <c r="AY41" t="s">
        <v>4965</v>
      </c>
      <c r="AZ41" t="s">
        <v>4966</v>
      </c>
      <c r="BA41">
        <v>7.2020000000000001E-2</v>
      </c>
      <c r="BB41">
        <v>1</v>
      </c>
      <c r="BC41" t="s">
        <v>69</v>
      </c>
      <c r="BD41">
        <v>-0.26700000000000002</v>
      </c>
      <c r="BE41">
        <v>-0.26700000000000002</v>
      </c>
    </row>
    <row r="42" spans="1:57">
      <c r="A42">
        <v>0</v>
      </c>
      <c r="B42">
        <v>0</v>
      </c>
      <c r="C42">
        <v>2</v>
      </c>
      <c r="D42">
        <v>22</v>
      </c>
      <c r="E42" t="s">
        <v>117</v>
      </c>
      <c r="F42" t="s">
        <v>5762</v>
      </c>
      <c r="G42" t="s">
        <v>57</v>
      </c>
      <c r="H42">
        <v>29481</v>
      </c>
      <c r="I42">
        <v>29702</v>
      </c>
      <c r="J42" t="s">
        <v>118</v>
      </c>
      <c r="K42">
        <v>74</v>
      </c>
      <c r="L42" t="s">
        <v>59</v>
      </c>
      <c r="M42">
        <v>5</v>
      </c>
      <c r="N42" t="str">
        <f>HYPERLINK("Gene22-zp_tree_all.dnd", "Gene22-tree")</f>
        <v>Gene22-tree</v>
      </c>
      <c r="O42">
        <v>4</v>
      </c>
      <c r="P42">
        <v>1</v>
      </c>
      <c r="Q42">
        <v>3</v>
      </c>
      <c r="R42">
        <v>1</v>
      </c>
      <c r="S42">
        <v>0.25</v>
      </c>
      <c r="T42" t="s">
        <v>119</v>
      </c>
      <c r="U42" t="s">
        <v>61</v>
      </c>
      <c r="V42" t="s">
        <v>62</v>
      </c>
      <c r="W42" t="s">
        <v>62</v>
      </c>
      <c r="X42">
        <v>1</v>
      </c>
      <c r="Y42">
        <v>2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3</v>
      </c>
      <c r="AM42">
        <v>1</v>
      </c>
      <c r="AN42">
        <v>7</v>
      </c>
      <c r="AO42">
        <v>1</v>
      </c>
      <c r="AP42">
        <v>3</v>
      </c>
      <c r="AQ42">
        <v>1</v>
      </c>
      <c r="AR42" t="s">
        <v>120</v>
      </c>
      <c r="AS42" t="s">
        <v>121</v>
      </c>
      <c r="AT42">
        <v>1.002</v>
      </c>
      <c r="AU42" t="s">
        <v>65</v>
      </c>
      <c r="AV42">
        <v>10</v>
      </c>
      <c r="AW42">
        <v>2</v>
      </c>
      <c r="AX42" t="s">
        <v>122</v>
      </c>
      <c r="AY42" t="s">
        <v>123</v>
      </c>
      <c r="AZ42" t="s">
        <v>124</v>
      </c>
      <c r="BA42">
        <v>4.5949999999999998E-2</v>
      </c>
      <c r="BB42">
        <v>1</v>
      </c>
      <c r="BC42" t="s">
        <v>69</v>
      </c>
      <c r="BD42">
        <v>0.05</v>
      </c>
      <c r="BE42">
        <v>0.05</v>
      </c>
    </row>
    <row r="43" spans="1:57">
      <c r="A43">
        <v>0</v>
      </c>
      <c r="B43">
        <v>0</v>
      </c>
      <c r="C43">
        <v>0</v>
      </c>
      <c r="D43">
        <v>3897</v>
      </c>
      <c r="E43" t="s">
        <v>5269</v>
      </c>
      <c r="F43" t="s">
        <v>5762</v>
      </c>
      <c r="G43" t="s">
        <v>62</v>
      </c>
      <c r="H43">
        <v>3861001</v>
      </c>
      <c r="I43">
        <v>3861222</v>
      </c>
      <c r="J43" t="s">
        <v>118</v>
      </c>
      <c r="K43">
        <v>74</v>
      </c>
      <c r="L43" t="s">
        <v>59</v>
      </c>
      <c r="M43">
        <v>5</v>
      </c>
      <c r="N43" t="str">
        <f>HYPERLINK("Gene3897-zp_tree_all.dnd", "Gene3897-tree")</f>
        <v>Gene3897-tree</v>
      </c>
      <c r="O43">
        <v>4</v>
      </c>
      <c r="P43">
        <v>0</v>
      </c>
      <c r="Q43">
        <v>4</v>
      </c>
      <c r="R43">
        <v>0</v>
      </c>
      <c r="S43">
        <v>0</v>
      </c>
      <c r="T43" t="s">
        <v>60</v>
      </c>
      <c r="U43" t="s">
        <v>62</v>
      </c>
      <c r="V43" t="s">
        <v>62</v>
      </c>
      <c r="W43" t="s">
        <v>62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2</v>
      </c>
      <c r="AM43">
        <v>1</v>
      </c>
      <c r="AN43">
        <v>3</v>
      </c>
      <c r="AO43">
        <v>0</v>
      </c>
      <c r="AP43">
        <v>2</v>
      </c>
      <c r="AQ43">
        <v>0</v>
      </c>
      <c r="AR43" t="s">
        <v>64</v>
      </c>
      <c r="AS43" t="s">
        <v>64</v>
      </c>
      <c r="AT43">
        <v>0</v>
      </c>
      <c r="AU43" t="s">
        <v>65</v>
      </c>
      <c r="AV43">
        <v>5</v>
      </c>
      <c r="AW43">
        <v>0</v>
      </c>
      <c r="AX43" t="s">
        <v>5270</v>
      </c>
      <c r="AY43" t="s">
        <v>5271</v>
      </c>
      <c r="AZ43" t="s">
        <v>64</v>
      </c>
      <c r="BA43">
        <v>0</v>
      </c>
      <c r="BB43">
        <v>1</v>
      </c>
      <c r="BC43" t="s">
        <v>69</v>
      </c>
      <c r="BD43">
        <v>0</v>
      </c>
      <c r="BE43">
        <v>0</v>
      </c>
    </row>
    <row r="44" spans="1:57">
      <c r="A44">
        <v>0</v>
      </c>
      <c r="B44">
        <v>0</v>
      </c>
      <c r="C44">
        <v>0</v>
      </c>
      <c r="D44">
        <v>2371</v>
      </c>
      <c r="E44" t="s">
        <v>3086</v>
      </c>
      <c r="F44" t="s">
        <v>5762</v>
      </c>
      <c r="G44" t="s">
        <v>62</v>
      </c>
      <c r="H44">
        <v>2384537</v>
      </c>
      <c r="I44">
        <v>2384761</v>
      </c>
      <c r="J44" t="s">
        <v>3087</v>
      </c>
      <c r="K44">
        <v>75</v>
      </c>
      <c r="L44" t="s">
        <v>59</v>
      </c>
      <c r="M44">
        <v>5</v>
      </c>
      <c r="N44" t="str">
        <f>HYPERLINK("Gene2371-zp_tree_all.dnd", "Gene2371-tree")</f>
        <v>Gene2371-tree</v>
      </c>
      <c r="O44">
        <v>5</v>
      </c>
      <c r="P44">
        <v>0</v>
      </c>
      <c r="Q44">
        <v>5</v>
      </c>
      <c r="R44">
        <v>0</v>
      </c>
      <c r="S44">
        <v>0</v>
      </c>
      <c r="T44" t="s">
        <v>98</v>
      </c>
      <c r="U44" t="s">
        <v>62</v>
      </c>
      <c r="V44" t="s">
        <v>62</v>
      </c>
      <c r="W44" t="s">
        <v>62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4</v>
      </c>
      <c r="AM44">
        <v>1</v>
      </c>
      <c r="AN44">
        <v>8</v>
      </c>
      <c r="AO44">
        <v>0</v>
      </c>
      <c r="AP44">
        <v>4</v>
      </c>
      <c r="AQ44">
        <v>1</v>
      </c>
      <c r="AR44" t="s">
        <v>64</v>
      </c>
      <c r="AS44" t="s">
        <v>3088</v>
      </c>
      <c r="AT44">
        <v>0</v>
      </c>
      <c r="AU44" t="s">
        <v>65</v>
      </c>
      <c r="AV44">
        <v>12</v>
      </c>
      <c r="AW44">
        <v>1</v>
      </c>
      <c r="AX44" t="s">
        <v>3089</v>
      </c>
      <c r="AY44" t="s">
        <v>3090</v>
      </c>
      <c r="AZ44" t="s">
        <v>3091</v>
      </c>
      <c r="BA44">
        <v>2.648E-2</v>
      </c>
      <c r="BB44">
        <v>1</v>
      </c>
      <c r="BC44" t="s">
        <v>69</v>
      </c>
      <c r="BD44">
        <v>-4.7E-2</v>
      </c>
      <c r="BE44">
        <v>-4.7E-2</v>
      </c>
    </row>
    <row r="45" spans="1:57">
      <c r="A45">
        <v>0</v>
      </c>
      <c r="B45">
        <v>0</v>
      </c>
      <c r="C45">
        <v>0</v>
      </c>
      <c r="D45">
        <v>54</v>
      </c>
      <c r="E45" t="s">
        <v>215</v>
      </c>
      <c r="F45" t="s">
        <v>5762</v>
      </c>
      <c r="G45" t="s">
        <v>57</v>
      </c>
      <c r="H45">
        <v>60130</v>
      </c>
      <c r="I45">
        <v>60357</v>
      </c>
      <c r="J45" t="s">
        <v>216</v>
      </c>
      <c r="K45">
        <v>76</v>
      </c>
      <c r="L45" t="s">
        <v>59</v>
      </c>
      <c r="M45">
        <v>5</v>
      </c>
      <c r="N45" t="str">
        <f>HYPERLINK("Gene54-zp_tree_all.dnd", "Gene54-tree")</f>
        <v>Gene54-tree</v>
      </c>
      <c r="O45">
        <v>3</v>
      </c>
      <c r="P45">
        <v>2</v>
      </c>
      <c r="Q45">
        <v>2</v>
      </c>
      <c r="R45">
        <v>2</v>
      </c>
      <c r="S45">
        <v>0.5</v>
      </c>
      <c r="T45" t="s">
        <v>217</v>
      </c>
      <c r="U45" t="s">
        <v>135</v>
      </c>
      <c r="V45" t="s">
        <v>62</v>
      </c>
      <c r="W45" t="s">
        <v>62</v>
      </c>
      <c r="X45">
        <v>0</v>
      </c>
      <c r="Y45">
        <v>0</v>
      </c>
      <c r="Z45">
        <v>4</v>
      </c>
      <c r="AA45">
        <v>0</v>
      </c>
      <c r="AB45">
        <v>0</v>
      </c>
      <c r="AC45">
        <v>0</v>
      </c>
      <c r="AD45">
        <v>0</v>
      </c>
      <c r="AE45">
        <v>2</v>
      </c>
      <c r="AF45">
        <v>0</v>
      </c>
      <c r="AG45">
        <v>0</v>
      </c>
      <c r="AH45">
        <v>0</v>
      </c>
      <c r="AI45">
        <v>0</v>
      </c>
      <c r="AJ45">
        <v>2</v>
      </c>
      <c r="AK45">
        <v>0</v>
      </c>
      <c r="AL45">
        <v>3</v>
      </c>
      <c r="AM45">
        <v>1</v>
      </c>
      <c r="AN45">
        <v>2</v>
      </c>
      <c r="AO45">
        <v>2</v>
      </c>
      <c r="AP45">
        <v>3</v>
      </c>
      <c r="AQ45">
        <v>2</v>
      </c>
      <c r="AR45" t="s">
        <v>218</v>
      </c>
      <c r="AS45" t="s">
        <v>219</v>
      </c>
      <c r="AT45">
        <v>0.60699999999999998</v>
      </c>
      <c r="AU45" t="s">
        <v>65</v>
      </c>
      <c r="AV45">
        <v>5</v>
      </c>
      <c r="AW45">
        <v>4</v>
      </c>
      <c r="AX45" t="s">
        <v>220</v>
      </c>
      <c r="AY45" t="s">
        <v>221</v>
      </c>
      <c r="AZ45" t="s">
        <v>222</v>
      </c>
      <c r="BA45">
        <v>0.19470000000000001</v>
      </c>
      <c r="BB45">
        <v>0.98899999999999999</v>
      </c>
      <c r="BC45" t="s">
        <v>69</v>
      </c>
      <c r="BD45">
        <v>0.79</v>
      </c>
      <c r="BE45">
        <v>0.79</v>
      </c>
    </row>
    <row r="46" spans="1:57">
      <c r="A46">
        <v>0</v>
      </c>
      <c r="B46">
        <v>0</v>
      </c>
      <c r="C46">
        <v>0</v>
      </c>
      <c r="D46">
        <v>1799</v>
      </c>
      <c r="E46" t="s">
        <v>2693</v>
      </c>
      <c r="F46" t="s">
        <v>5762</v>
      </c>
      <c r="G46" t="s">
        <v>57</v>
      </c>
      <c r="H46">
        <v>1868144</v>
      </c>
      <c r="I46">
        <v>1868371</v>
      </c>
      <c r="J46" t="s">
        <v>170</v>
      </c>
      <c r="K46">
        <v>76</v>
      </c>
      <c r="L46" t="s">
        <v>59</v>
      </c>
      <c r="M46">
        <v>5</v>
      </c>
      <c r="N46" t="str">
        <f>HYPERLINK("Gene1799-zp_tree_all.dnd", "Gene1799-tree")</f>
        <v>Gene1799-tree</v>
      </c>
      <c r="O46">
        <v>5</v>
      </c>
      <c r="P46">
        <v>0</v>
      </c>
      <c r="Q46">
        <v>4</v>
      </c>
      <c r="R46">
        <v>0</v>
      </c>
      <c r="S46">
        <v>0</v>
      </c>
      <c r="T46" t="s">
        <v>150</v>
      </c>
      <c r="U46" t="s">
        <v>62</v>
      </c>
      <c r="V46" t="s">
        <v>62</v>
      </c>
      <c r="W46" t="s">
        <v>62</v>
      </c>
      <c r="X46">
        <v>0</v>
      </c>
      <c r="Y46">
        <v>0</v>
      </c>
      <c r="Z46">
        <v>2</v>
      </c>
      <c r="AA46">
        <v>0</v>
      </c>
      <c r="AB46">
        <v>0</v>
      </c>
      <c r="AC46">
        <v>0</v>
      </c>
      <c r="AD46">
        <v>0</v>
      </c>
      <c r="AE46">
        <v>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2</v>
      </c>
      <c r="AM46">
        <v>1</v>
      </c>
      <c r="AN46">
        <v>3</v>
      </c>
      <c r="AO46">
        <v>0</v>
      </c>
      <c r="AP46">
        <v>2</v>
      </c>
      <c r="AQ46">
        <v>2</v>
      </c>
      <c r="AR46" t="s">
        <v>64</v>
      </c>
      <c r="AS46" t="s">
        <v>2694</v>
      </c>
      <c r="AT46">
        <v>0</v>
      </c>
      <c r="AU46" t="s">
        <v>65</v>
      </c>
      <c r="AV46">
        <v>5</v>
      </c>
      <c r="AW46">
        <v>2</v>
      </c>
      <c r="AX46" t="s">
        <v>2695</v>
      </c>
      <c r="AY46" t="s">
        <v>2696</v>
      </c>
      <c r="AZ46" t="s">
        <v>2697</v>
      </c>
      <c r="BA46">
        <v>0.10881</v>
      </c>
      <c r="BB46">
        <v>0.98799999999999999</v>
      </c>
      <c r="BC46" t="s">
        <v>69</v>
      </c>
      <c r="BD46">
        <v>0.91300000000000003</v>
      </c>
      <c r="BE46">
        <v>0.91300000000000003</v>
      </c>
    </row>
    <row r="47" spans="1:57">
      <c r="A47">
        <v>0</v>
      </c>
      <c r="B47">
        <v>0</v>
      </c>
      <c r="C47">
        <v>0</v>
      </c>
      <c r="D47">
        <v>3645</v>
      </c>
      <c r="E47" t="s">
        <v>4923</v>
      </c>
      <c r="F47" t="s">
        <v>5762</v>
      </c>
      <c r="G47" t="s">
        <v>62</v>
      </c>
      <c r="H47">
        <v>3615119</v>
      </c>
      <c r="I47">
        <v>3615346</v>
      </c>
      <c r="J47" t="s">
        <v>3769</v>
      </c>
      <c r="K47">
        <v>76</v>
      </c>
      <c r="L47" t="s">
        <v>59</v>
      </c>
      <c r="M47">
        <v>5</v>
      </c>
      <c r="N47" t="str">
        <f>HYPERLINK("Gene3645-zp_tree_all.dnd", "Gene3645-tree")</f>
        <v>Gene3645-tree</v>
      </c>
      <c r="O47">
        <v>3</v>
      </c>
      <c r="P47">
        <v>1</v>
      </c>
      <c r="Q47">
        <v>3</v>
      </c>
      <c r="R47">
        <v>1</v>
      </c>
      <c r="S47">
        <v>0.25</v>
      </c>
      <c r="T47" t="s">
        <v>84</v>
      </c>
      <c r="U47" t="s">
        <v>61</v>
      </c>
      <c r="V47" t="s">
        <v>62</v>
      </c>
      <c r="W47" t="s">
        <v>62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3</v>
      </c>
      <c r="AM47">
        <v>1</v>
      </c>
      <c r="AN47">
        <v>4</v>
      </c>
      <c r="AO47">
        <v>1</v>
      </c>
      <c r="AP47">
        <v>4</v>
      </c>
      <c r="AQ47">
        <v>0</v>
      </c>
      <c r="AR47" t="s">
        <v>4924</v>
      </c>
      <c r="AS47" t="s">
        <v>64</v>
      </c>
      <c r="AT47">
        <v>0.69299999999999995</v>
      </c>
      <c r="AU47" t="s">
        <v>65</v>
      </c>
      <c r="AV47">
        <v>8</v>
      </c>
      <c r="AW47">
        <v>1</v>
      </c>
      <c r="AX47" t="s">
        <v>4925</v>
      </c>
      <c r="AY47" t="s">
        <v>4926</v>
      </c>
      <c r="AZ47" t="s">
        <v>4927</v>
      </c>
      <c r="BA47">
        <v>6.1440000000000002E-2</v>
      </c>
      <c r="BB47">
        <v>1</v>
      </c>
      <c r="BC47" t="s">
        <v>69</v>
      </c>
      <c r="BD47">
        <v>0.13200000000000001</v>
      </c>
      <c r="BE47">
        <v>0.13200000000000001</v>
      </c>
    </row>
    <row r="48" spans="1:57">
      <c r="A48">
        <v>0</v>
      </c>
      <c r="B48">
        <v>0</v>
      </c>
      <c r="C48">
        <v>0</v>
      </c>
      <c r="D48">
        <v>3490</v>
      </c>
      <c r="E48" t="s">
        <v>4787</v>
      </c>
      <c r="F48" t="s">
        <v>5762</v>
      </c>
      <c r="G48" t="s">
        <v>62</v>
      </c>
      <c r="H48">
        <v>3455096</v>
      </c>
      <c r="I48">
        <v>3455323</v>
      </c>
      <c r="J48" t="s">
        <v>390</v>
      </c>
      <c r="K48">
        <v>76</v>
      </c>
      <c r="L48" t="s">
        <v>59</v>
      </c>
      <c r="M48">
        <v>5</v>
      </c>
      <c r="N48" t="str">
        <f>HYPERLINK("Gene3490-zp_tree_all.dnd", "Gene3490-tree")</f>
        <v>Gene3490-tree</v>
      </c>
      <c r="O48">
        <v>4</v>
      </c>
      <c r="P48">
        <v>0</v>
      </c>
      <c r="Q48">
        <v>4</v>
      </c>
      <c r="R48">
        <v>0</v>
      </c>
      <c r="S48">
        <v>0</v>
      </c>
      <c r="T48" t="s">
        <v>60</v>
      </c>
      <c r="U48" t="s">
        <v>62</v>
      </c>
      <c r="V48" t="s">
        <v>62</v>
      </c>
      <c r="W48" t="s">
        <v>62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2</v>
      </c>
      <c r="AM48">
        <v>1</v>
      </c>
      <c r="AN48">
        <v>2</v>
      </c>
      <c r="AO48">
        <v>0</v>
      </c>
      <c r="AP48">
        <v>4</v>
      </c>
      <c r="AQ48">
        <v>0</v>
      </c>
      <c r="AR48" t="s">
        <v>64</v>
      </c>
      <c r="AS48" t="s">
        <v>64</v>
      </c>
      <c r="AT48">
        <v>0</v>
      </c>
      <c r="AU48" t="s">
        <v>65</v>
      </c>
      <c r="AV48">
        <v>6</v>
      </c>
      <c r="AW48">
        <v>0</v>
      </c>
      <c r="AX48" t="s">
        <v>4788</v>
      </c>
      <c r="AY48" t="s">
        <v>4789</v>
      </c>
      <c r="AZ48" t="s">
        <v>64</v>
      </c>
      <c r="BA48">
        <v>0</v>
      </c>
      <c r="BB48">
        <v>1</v>
      </c>
      <c r="BC48" t="s">
        <v>69</v>
      </c>
      <c r="BD48">
        <v>0.76400000000000001</v>
      </c>
      <c r="BE48">
        <v>0.76400000000000001</v>
      </c>
    </row>
    <row r="49" spans="1:57">
      <c r="A49">
        <v>0</v>
      </c>
      <c r="B49">
        <v>0</v>
      </c>
      <c r="C49">
        <v>0</v>
      </c>
      <c r="D49">
        <v>3492</v>
      </c>
      <c r="E49" t="s">
        <v>4790</v>
      </c>
      <c r="F49" t="s">
        <v>5762</v>
      </c>
      <c r="G49" t="s">
        <v>62</v>
      </c>
      <c r="H49">
        <v>3456285</v>
      </c>
      <c r="I49">
        <v>3456515</v>
      </c>
      <c r="J49" t="s">
        <v>4791</v>
      </c>
      <c r="K49">
        <v>77</v>
      </c>
      <c r="L49" t="s">
        <v>59</v>
      </c>
      <c r="M49">
        <v>5</v>
      </c>
      <c r="N49" t="str">
        <f>HYPERLINK("Gene3492-zp_tree_all.dnd", "Gene3492-tree")</f>
        <v>Gene3492-tree</v>
      </c>
      <c r="O49">
        <v>5</v>
      </c>
      <c r="P49">
        <v>0</v>
      </c>
      <c r="Q49">
        <v>5</v>
      </c>
      <c r="R49">
        <v>0</v>
      </c>
      <c r="S49">
        <v>0</v>
      </c>
      <c r="T49" t="s">
        <v>98</v>
      </c>
      <c r="U49" t="s">
        <v>62</v>
      </c>
      <c r="V49" t="s">
        <v>62</v>
      </c>
      <c r="W49" t="s">
        <v>62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3</v>
      </c>
      <c r="AM49">
        <v>2</v>
      </c>
      <c r="AN49">
        <v>6</v>
      </c>
      <c r="AO49">
        <v>0</v>
      </c>
      <c r="AP49">
        <v>2</v>
      </c>
      <c r="AQ49">
        <v>1</v>
      </c>
      <c r="AR49" t="s">
        <v>64</v>
      </c>
      <c r="AS49" t="s">
        <v>4792</v>
      </c>
      <c r="AT49">
        <v>0.70699999999999996</v>
      </c>
      <c r="AU49" t="s">
        <v>65</v>
      </c>
      <c r="AV49">
        <v>8</v>
      </c>
      <c r="AW49">
        <v>1</v>
      </c>
      <c r="AX49" t="s">
        <v>4793</v>
      </c>
      <c r="AY49" t="s">
        <v>4794</v>
      </c>
      <c r="AZ49" t="s">
        <v>4795</v>
      </c>
      <c r="BA49">
        <v>4.6980000000000001E-2</v>
      </c>
      <c r="BB49">
        <v>1</v>
      </c>
      <c r="BC49" t="s">
        <v>69</v>
      </c>
      <c r="BD49">
        <v>-0.19700000000000001</v>
      </c>
      <c r="BE49">
        <v>-0.19700000000000001</v>
      </c>
    </row>
    <row r="50" spans="1:57">
      <c r="A50">
        <v>0</v>
      </c>
      <c r="B50">
        <v>0</v>
      </c>
      <c r="C50">
        <v>0</v>
      </c>
      <c r="D50">
        <v>3061</v>
      </c>
      <c r="E50" t="s">
        <v>4125</v>
      </c>
      <c r="F50" t="s">
        <v>5762</v>
      </c>
      <c r="G50" t="s">
        <v>62</v>
      </c>
      <c r="H50">
        <v>3011558</v>
      </c>
      <c r="I50">
        <v>3011791</v>
      </c>
      <c r="J50" t="s">
        <v>118</v>
      </c>
      <c r="K50">
        <v>78</v>
      </c>
      <c r="L50" t="s">
        <v>1779</v>
      </c>
      <c r="M50">
        <v>4</v>
      </c>
      <c r="N50" t="str">
        <f>HYPERLINK("Gene3061-zp_tree_all.dnd", "Gene3061-tree")</f>
        <v>Gene3061-tree</v>
      </c>
      <c r="O50">
        <v>3</v>
      </c>
      <c r="P50">
        <v>1</v>
      </c>
      <c r="Q50">
        <v>3</v>
      </c>
      <c r="R50">
        <v>1</v>
      </c>
      <c r="S50">
        <v>0.25</v>
      </c>
      <c r="T50" t="s">
        <v>84</v>
      </c>
      <c r="U50" t="s">
        <v>61</v>
      </c>
      <c r="V50" t="s">
        <v>62</v>
      </c>
      <c r="W50" t="s">
        <v>62</v>
      </c>
      <c r="X50">
        <v>0</v>
      </c>
      <c r="Y50">
        <v>0</v>
      </c>
      <c r="Z50">
        <v>5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3</v>
      </c>
      <c r="AM50">
        <v>1</v>
      </c>
      <c r="AN50">
        <v>3</v>
      </c>
      <c r="AO50">
        <v>1</v>
      </c>
      <c r="AP50">
        <v>2</v>
      </c>
      <c r="AQ50">
        <v>4</v>
      </c>
      <c r="AR50" t="s">
        <v>4126</v>
      </c>
      <c r="AS50" t="s">
        <v>4127</v>
      </c>
      <c r="AT50">
        <v>4.3120000000000003</v>
      </c>
      <c r="AU50" t="s">
        <v>65</v>
      </c>
      <c r="AV50">
        <v>5</v>
      </c>
      <c r="AW50">
        <v>5</v>
      </c>
      <c r="AX50" t="s">
        <v>4128</v>
      </c>
      <c r="AY50" t="s">
        <v>4129</v>
      </c>
      <c r="AZ50" t="s">
        <v>4130</v>
      </c>
      <c r="BA50">
        <v>0.28038000000000002</v>
      </c>
      <c r="BB50">
        <v>0.91500000000000004</v>
      </c>
      <c r="BC50" t="s">
        <v>793</v>
      </c>
      <c r="BD50">
        <v>1.0009999999999999</v>
      </c>
      <c r="BE50">
        <v>1.0009999999999999</v>
      </c>
    </row>
    <row r="51" spans="1:57">
      <c r="A51">
        <v>0</v>
      </c>
      <c r="B51">
        <v>0</v>
      </c>
      <c r="C51">
        <v>0</v>
      </c>
      <c r="D51">
        <v>3301</v>
      </c>
      <c r="E51" t="s">
        <v>4489</v>
      </c>
      <c r="F51" t="s">
        <v>5762</v>
      </c>
      <c r="G51" t="s">
        <v>62</v>
      </c>
      <c r="H51">
        <v>3264268</v>
      </c>
      <c r="I51">
        <v>3264501</v>
      </c>
      <c r="J51" t="s">
        <v>118</v>
      </c>
      <c r="K51">
        <v>78</v>
      </c>
      <c r="L51" t="s">
        <v>59</v>
      </c>
      <c r="M51">
        <v>5</v>
      </c>
      <c r="N51" t="str">
        <f>HYPERLINK("Gene3301-zp_tree_all.dnd", "Gene3301-tree")</f>
        <v>Gene3301-tree</v>
      </c>
      <c r="O51">
        <v>4</v>
      </c>
      <c r="P51">
        <v>1</v>
      </c>
      <c r="Q51">
        <v>4</v>
      </c>
      <c r="R51">
        <v>1</v>
      </c>
      <c r="S51">
        <v>0.2</v>
      </c>
      <c r="T51" t="s">
        <v>60</v>
      </c>
      <c r="U51" t="s">
        <v>61</v>
      </c>
      <c r="V51" t="s">
        <v>62</v>
      </c>
      <c r="W51" t="s">
        <v>62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3</v>
      </c>
      <c r="AM51">
        <v>1</v>
      </c>
      <c r="AN51">
        <v>7</v>
      </c>
      <c r="AO51">
        <v>1</v>
      </c>
      <c r="AP51">
        <v>3</v>
      </c>
      <c r="AQ51">
        <v>0</v>
      </c>
      <c r="AR51" t="s">
        <v>4490</v>
      </c>
      <c r="AS51" t="s">
        <v>64</v>
      </c>
      <c r="AT51">
        <v>0.753</v>
      </c>
      <c r="AU51" t="s">
        <v>65</v>
      </c>
      <c r="AV51">
        <v>10</v>
      </c>
      <c r="AW51">
        <v>1</v>
      </c>
      <c r="AX51" t="s">
        <v>4491</v>
      </c>
      <c r="AY51" t="s">
        <v>4492</v>
      </c>
      <c r="AZ51" t="s">
        <v>4493</v>
      </c>
      <c r="BA51">
        <v>2.545E-2</v>
      </c>
      <c r="BB51">
        <v>1</v>
      </c>
      <c r="BC51" t="s">
        <v>69</v>
      </c>
      <c r="BD51">
        <v>-0.38200000000000001</v>
      </c>
      <c r="BE51">
        <v>-0.38200000000000001</v>
      </c>
    </row>
    <row r="52" spans="1:57">
      <c r="A52">
        <v>0</v>
      </c>
      <c r="B52">
        <v>0</v>
      </c>
      <c r="C52">
        <v>0</v>
      </c>
      <c r="D52">
        <v>3337</v>
      </c>
      <c r="E52" t="s">
        <v>4547</v>
      </c>
      <c r="F52" t="s">
        <v>5762</v>
      </c>
      <c r="G52" t="s">
        <v>62</v>
      </c>
      <c r="H52">
        <v>3308371</v>
      </c>
      <c r="I52">
        <v>3308604</v>
      </c>
      <c r="J52" t="s">
        <v>118</v>
      </c>
      <c r="K52">
        <v>78</v>
      </c>
      <c r="L52" t="s">
        <v>59</v>
      </c>
      <c r="M52">
        <v>5</v>
      </c>
      <c r="N52" t="str">
        <f>HYPERLINK("Gene3337-zp_tree_all.dnd", "Gene3337-tree")</f>
        <v>Gene3337-tree</v>
      </c>
      <c r="O52">
        <v>4</v>
      </c>
      <c r="P52">
        <v>0</v>
      </c>
      <c r="Q52">
        <v>4</v>
      </c>
      <c r="R52">
        <v>0</v>
      </c>
      <c r="S52">
        <v>0</v>
      </c>
      <c r="T52" t="s">
        <v>60</v>
      </c>
      <c r="U52" t="s">
        <v>62</v>
      </c>
      <c r="V52" t="s">
        <v>62</v>
      </c>
      <c r="W52" t="s">
        <v>62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3</v>
      </c>
      <c r="AM52">
        <v>0</v>
      </c>
      <c r="AN52">
        <v>9</v>
      </c>
      <c r="AO52">
        <v>0</v>
      </c>
      <c r="AP52">
        <v>0</v>
      </c>
      <c r="AQ52">
        <v>0</v>
      </c>
      <c r="AR52" t="s">
        <v>64</v>
      </c>
      <c r="AS52" t="s">
        <v>64</v>
      </c>
      <c r="AT52">
        <v>0</v>
      </c>
      <c r="AU52" t="s">
        <v>65</v>
      </c>
      <c r="AV52">
        <v>9</v>
      </c>
      <c r="AW52">
        <v>0</v>
      </c>
      <c r="AX52" t="s">
        <v>4548</v>
      </c>
      <c r="AY52" t="s">
        <v>4549</v>
      </c>
      <c r="AZ52" t="s">
        <v>64</v>
      </c>
      <c r="BA52">
        <v>0</v>
      </c>
      <c r="BB52">
        <v>1</v>
      </c>
      <c r="BC52" t="s">
        <v>69</v>
      </c>
      <c r="BD52">
        <v>0.79</v>
      </c>
      <c r="BE52">
        <v>0.79</v>
      </c>
    </row>
    <row r="53" spans="1:57">
      <c r="A53">
        <v>0</v>
      </c>
      <c r="B53">
        <v>0</v>
      </c>
      <c r="C53">
        <v>2</v>
      </c>
      <c r="D53">
        <v>3308</v>
      </c>
      <c r="E53" t="s">
        <v>4494</v>
      </c>
      <c r="F53" t="s">
        <v>5762</v>
      </c>
      <c r="G53" t="s">
        <v>62</v>
      </c>
      <c r="H53">
        <v>3275835</v>
      </c>
      <c r="I53">
        <v>3276071</v>
      </c>
      <c r="J53" t="s">
        <v>4495</v>
      </c>
      <c r="K53">
        <v>79</v>
      </c>
      <c r="L53" t="s">
        <v>59</v>
      </c>
      <c r="M53">
        <v>5</v>
      </c>
      <c r="N53" t="str">
        <f>HYPERLINK("Gene3308-zp_tree_all.dnd", "Gene3308-tree")</f>
        <v>Gene3308-tree</v>
      </c>
      <c r="O53">
        <v>4</v>
      </c>
      <c r="P53">
        <v>1</v>
      </c>
      <c r="Q53">
        <v>3</v>
      </c>
      <c r="R53">
        <v>1</v>
      </c>
      <c r="S53">
        <v>0.25</v>
      </c>
      <c r="T53" t="s">
        <v>119</v>
      </c>
      <c r="U53" t="s">
        <v>61</v>
      </c>
      <c r="V53" t="s">
        <v>62</v>
      </c>
      <c r="W53" t="s">
        <v>62</v>
      </c>
      <c r="X53">
        <v>1</v>
      </c>
      <c r="Y53">
        <v>2</v>
      </c>
      <c r="Z53">
        <v>2</v>
      </c>
      <c r="AA53">
        <v>0.5</v>
      </c>
      <c r="AB53">
        <v>0</v>
      </c>
      <c r="AC53">
        <v>0</v>
      </c>
      <c r="AD53">
        <v>0</v>
      </c>
      <c r="AE53">
        <v>3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3</v>
      </c>
      <c r="AM53">
        <v>1</v>
      </c>
      <c r="AN53">
        <v>6</v>
      </c>
      <c r="AO53">
        <v>1</v>
      </c>
      <c r="AP53">
        <v>2</v>
      </c>
      <c r="AQ53">
        <v>3</v>
      </c>
      <c r="AR53" t="s">
        <v>4496</v>
      </c>
      <c r="AS53" t="s">
        <v>4497</v>
      </c>
      <c r="AT53">
        <v>6.4589999999999996</v>
      </c>
      <c r="AU53" t="s">
        <v>65</v>
      </c>
      <c r="AV53">
        <v>8</v>
      </c>
      <c r="AW53">
        <v>4</v>
      </c>
      <c r="AX53" t="s">
        <v>4498</v>
      </c>
      <c r="AY53" t="s">
        <v>4499</v>
      </c>
      <c r="AZ53" t="s">
        <v>4500</v>
      </c>
      <c r="BA53">
        <v>0.15023</v>
      </c>
      <c r="BB53">
        <v>0.97899999999999998</v>
      </c>
      <c r="BC53" t="s">
        <v>69</v>
      </c>
      <c r="BD53">
        <v>0.30099999999999999</v>
      </c>
      <c r="BE53">
        <v>0.30099999999999999</v>
      </c>
    </row>
    <row r="54" spans="1:57">
      <c r="A54">
        <v>0</v>
      </c>
      <c r="B54">
        <v>0</v>
      </c>
      <c r="C54">
        <v>0</v>
      </c>
      <c r="D54">
        <v>1558</v>
      </c>
      <c r="E54" t="s">
        <v>2109</v>
      </c>
      <c r="F54" t="s">
        <v>5762</v>
      </c>
      <c r="G54" t="s">
        <v>57</v>
      </c>
      <c r="H54">
        <v>1568065</v>
      </c>
      <c r="I54">
        <v>1568301</v>
      </c>
      <c r="J54" t="s">
        <v>170</v>
      </c>
      <c r="K54">
        <v>79</v>
      </c>
      <c r="L54" t="s">
        <v>59</v>
      </c>
      <c r="M54">
        <v>5</v>
      </c>
      <c r="N54" t="str">
        <f>HYPERLINK("Gene1558-zp_tree_all.dnd", "Gene1558-tree")</f>
        <v>Gene1558-tree</v>
      </c>
      <c r="O54">
        <v>0</v>
      </c>
      <c r="P54">
        <v>4</v>
      </c>
      <c r="Q54">
        <v>0</v>
      </c>
      <c r="R54">
        <v>4</v>
      </c>
      <c r="S54">
        <v>1</v>
      </c>
      <c r="T54" t="s">
        <v>62</v>
      </c>
      <c r="U54" t="s">
        <v>60</v>
      </c>
      <c r="V54" t="s">
        <v>62</v>
      </c>
      <c r="W54" t="s">
        <v>62</v>
      </c>
      <c r="X54">
        <v>0</v>
      </c>
      <c r="Y54">
        <v>0</v>
      </c>
      <c r="Z54">
        <v>4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4</v>
      </c>
      <c r="AK54">
        <v>0</v>
      </c>
      <c r="AL54">
        <v>2</v>
      </c>
      <c r="AM54">
        <v>1</v>
      </c>
      <c r="AN54">
        <v>1</v>
      </c>
      <c r="AO54">
        <v>3</v>
      </c>
      <c r="AP54">
        <v>8</v>
      </c>
      <c r="AQ54">
        <v>1</v>
      </c>
      <c r="AR54" t="s">
        <v>2110</v>
      </c>
      <c r="AS54" t="s">
        <v>2111</v>
      </c>
      <c r="AT54">
        <v>1.2250000000000001</v>
      </c>
      <c r="AU54" t="s">
        <v>65</v>
      </c>
      <c r="AV54">
        <v>9</v>
      </c>
      <c r="AW54">
        <v>4</v>
      </c>
      <c r="AX54" t="s">
        <v>2112</v>
      </c>
      <c r="AY54" t="s">
        <v>2113</v>
      </c>
      <c r="AZ54" t="s">
        <v>2114</v>
      </c>
      <c r="BA54">
        <v>7.4130000000000001E-2</v>
      </c>
      <c r="BB54">
        <v>1</v>
      </c>
      <c r="BC54" t="s">
        <v>69</v>
      </c>
      <c r="BD54">
        <v>0.88500000000000001</v>
      </c>
      <c r="BE54">
        <v>0.88500000000000001</v>
      </c>
    </row>
    <row r="55" spans="1:57">
      <c r="A55">
        <v>0</v>
      </c>
      <c r="B55">
        <v>0</v>
      </c>
      <c r="C55">
        <v>0</v>
      </c>
      <c r="D55">
        <v>1467</v>
      </c>
      <c r="E55" t="s">
        <v>1941</v>
      </c>
      <c r="F55" t="s">
        <v>5762</v>
      </c>
      <c r="G55" t="s">
        <v>57</v>
      </c>
      <c r="H55">
        <v>1484117</v>
      </c>
      <c r="I55">
        <v>1484353</v>
      </c>
      <c r="J55" t="s">
        <v>1942</v>
      </c>
      <c r="K55">
        <v>79</v>
      </c>
      <c r="L55" t="s">
        <v>59</v>
      </c>
      <c r="M55">
        <v>5</v>
      </c>
      <c r="N55" t="str">
        <f>HYPERLINK("Gene1467-zp_tree_all.dnd", "Gene1467-tree")</f>
        <v>Gene1467-tree</v>
      </c>
      <c r="O55">
        <v>5</v>
      </c>
      <c r="P55">
        <v>0</v>
      </c>
      <c r="Q55">
        <v>5</v>
      </c>
      <c r="R55">
        <v>0</v>
      </c>
      <c r="S55">
        <v>0</v>
      </c>
      <c r="T55" t="s">
        <v>98</v>
      </c>
      <c r="U55" t="s">
        <v>62</v>
      </c>
      <c r="V55" t="s">
        <v>62</v>
      </c>
      <c r="W55" t="s">
        <v>62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4</v>
      </c>
      <c r="AM55">
        <v>2</v>
      </c>
      <c r="AN55">
        <v>4</v>
      </c>
      <c r="AO55">
        <v>0</v>
      </c>
      <c r="AP55">
        <v>2</v>
      </c>
      <c r="AQ55">
        <v>0</v>
      </c>
      <c r="AR55" t="s">
        <v>64</v>
      </c>
      <c r="AS55" t="s">
        <v>64</v>
      </c>
      <c r="AT55">
        <v>0</v>
      </c>
      <c r="AU55" t="s">
        <v>65</v>
      </c>
      <c r="AV55">
        <v>6</v>
      </c>
      <c r="AW55">
        <v>0</v>
      </c>
      <c r="AX55" t="s">
        <v>1943</v>
      </c>
      <c r="AY55" t="s">
        <v>1944</v>
      </c>
      <c r="AZ55" t="s">
        <v>64</v>
      </c>
      <c r="BA55">
        <v>0</v>
      </c>
      <c r="BB55">
        <v>1</v>
      </c>
      <c r="BC55" t="s">
        <v>69</v>
      </c>
      <c r="BD55">
        <v>-0.191</v>
      </c>
      <c r="BE55">
        <v>-0.191</v>
      </c>
    </row>
    <row r="56" spans="1:57">
      <c r="A56">
        <v>0</v>
      </c>
      <c r="B56">
        <v>0</v>
      </c>
      <c r="C56">
        <v>0</v>
      </c>
      <c r="D56">
        <v>4240</v>
      </c>
      <c r="E56" t="s">
        <v>5693</v>
      </c>
      <c r="F56" t="s">
        <v>5762</v>
      </c>
      <c r="G56" t="s">
        <v>62</v>
      </c>
      <c r="H56">
        <v>4198606</v>
      </c>
      <c r="I56">
        <v>4198842</v>
      </c>
      <c r="J56" t="s">
        <v>5694</v>
      </c>
      <c r="K56">
        <v>79</v>
      </c>
      <c r="L56" t="s">
        <v>59</v>
      </c>
      <c r="M56">
        <v>5</v>
      </c>
      <c r="N56" t="str">
        <f>HYPERLINK("Gene4240-zp_tree_all.dnd", "Gene4240-tree")</f>
        <v>Gene4240-tree</v>
      </c>
      <c r="O56">
        <v>5</v>
      </c>
      <c r="P56">
        <v>0</v>
      </c>
      <c r="Q56">
        <v>4</v>
      </c>
      <c r="R56">
        <v>0</v>
      </c>
      <c r="S56">
        <v>0</v>
      </c>
      <c r="T56" t="s">
        <v>150</v>
      </c>
      <c r="U56" t="s">
        <v>62</v>
      </c>
      <c r="V56" t="s">
        <v>62</v>
      </c>
      <c r="W56" t="s">
        <v>62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3</v>
      </c>
      <c r="AM56">
        <v>1</v>
      </c>
      <c r="AN56">
        <v>3</v>
      </c>
      <c r="AO56">
        <v>0</v>
      </c>
      <c r="AP56">
        <v>2</v>
      </c>
      <c r="AQ56">
        <v>0</v>
      </c>
      <c r="AR56" t="s">
        <v>64</v>
      </c>
      <c r="AS56" t="s">
        <v>64</v>
      </c>
      <c r="AT56">
        <v>0</v>
      </c>
      <c r="AU56" t="s">
        <v>65</v>
      </c>
      <c r="AV56">
        <v>5</v>
      </c>
      <c r="AW56">
        <v>0</v>
      </c>
      <c r="AX56" t="s">
        <v>5695</v>
      </c>
      <c r="AY56" t="s">
        <v>5696</v>
      </c>
      <c r="AZ56" t="s">
        <v>64</v>
      </c>
      <c r="BA56">
        <v>0</v>
      </c>
      <c r="BB56">
        <v>1</v>
      </c>
      <c r="BC56" t="s">
        <v>69</v>
      </c>
      <c r="BD56">
        <v>0.95699999999999996</v>
      </c>
      <c r="BE56">
        <v>0.95699999999999996</v>
      </c>
    </row>
    <row r="57" spans="1:57">
      <c r="A57">
        <v>0</v>
      </c>
      <c r="B57">
        <v>0</v>
      </c>
      <c r="C57">
        <v>0</v>
      </c>
      <c r="D57">
        <v>3173</v>
      </c>
      <c r="E57" t="s">
        <v>4316</v>
      </c>
      <c r="F57" t="s">
        <v>5762</v>
      </c>
      <c r="G57" t="s">
        <v>62</v>
      </c>
      <c r="H57">
        <v>3131155</v>
      </c>
      <c r="I57">
        <v>3131394</v>
      </c>
      <c r="J57" t="s">
        <v>118</v>
      </c>
      <c r="K57">
        <v>80</v>
      </c>
      <c r="L57" t="s">
        <v>59</v>
      </c>
      <c r="M57">
        <v>5</v>
      </c>
      <c r="N57" t="str">
        <f>HYPERLINK("Gene3173-zp_tree_all.dnd", "Gene3173-tree")</f>
        <v>Gene3173-tree</v>
      </c>
      <c r="O57">
        <v>2</v>
      </c>
      <c r="P57">
        <v>3</v>
      </c>
      <c r="Q57">
        <v>2</v>
      </c>
      <c r="R57">
        <v>3</v>
      </c>
      <c r="S57">
        <v>0.6</v>
      </c>
      <c r="T57" t="s">
        <v>135</v>
      </c>
      <c r="U57" t="s">
        <v>84</v>
      </c>
      <c r="V57" t="s">
        <v>62</v>
      </c>
      <c r="W57" t="s">
        <v>62</v>
      </c>
      <c r="X57">
        <v>0</v>
      </c>
      <c r="Y57">
        <v>0</v>
      </c>
      <c r="Z57">
        <v>3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3</v>
      </c>
      <c r="AK57">
        <v>0</v>
      </c>
      <c r="AL57">
        <v>4</v>
      </c>
      <c r="AM57">
        <v>2</v>
      </c>
      <c r="AN57">
        <v>2</v>
      </c>
      <c r="AO57">
        <v>3</v>
      </c>
      <c r="AP57">
        <v>9</v>
      </c>
      <c r="AQ57">
        <v>0</v>
      </c>
      <c r="AR57" t="s">
        <v>4317</v>
      </c>
      <c r="AS57" t="s">
        <v>64</v>
      </c>
      <c r="AT57">
        <v>1.5</v>
      </c>
      <c r="AU57" t="s">
        <v>65</v>
      </c>
      <c r="AV57">
        <v>11</v>
      </c>
      <c r="AW57">
        <v>3</v>
      </c>
      <c r="AX57" t="s">
        <v>4318</v>
      </c>
      <c r="AY57" t="s">
        <v>4319</v>
      </c>
      <c r="AZ57" t="s">
        <v>4320</v>
      </c>
      <c r="BA57">
        <v>5.0700000000000002E-2</v>
      </c>
      <c r="BB57">
        <v>1</v>
      </c>
      <c r="BC57" t="s">
        <v>69</v>
      </c>
      <c r="BD57">
        <v>0.73799999999999999</v>
      </c>
      <c r="BE57">
        <v>0.73799999999999999</v>
      </c>
    </row>
    <row r="58" spans="1:57">
      <c r="A58">
        <v>0</v>
      </c>
      <c r="B58">
        <v>0</v>
      </c>
      <c r="C58">
        <v>0</v>
      </c>
      <c r="D58">
        <v>1477</v>
      </c>
      <c r="E58" t="s">
        <v>1961</v>
      </c>
      <c r="F58" t="s">
        <v>5762</v>
      </c>
      <c r="G58" t="s">
        <v>57</v>
      </c>
      <c r="H58">
        <v>1490939</v>
      </c>
      <c r="I58">
        <v>1491181</v>
      </c>
      <c r="J58" t="s">
        <v>170</v>
      </c>
      <c r="K58">
        <v>81</v>
      </c>
      <c r="L58" t="s">
        <v>59</v>
      </c>
      <c r="M58">
        <v>5</v>
      </c>
      <c r="N58" t="str">
        <f>HYPERLINK("Gene1477-zp_tree_all.dnd", "Gene1477-tree")</f>
        <v>Gene1477-tree</v>
      </c>
      <c r="O58">
        <v>5</v>
      </c>
      <c r="P58">
        <v>0</v>
      </c>
      <c r="Q58">
        <v>5</v>
      </c>
      <c r="R58">
        <v>0</v>
      </c>
      <c r="S58">
        <v>0</v>
      </c>
      <c r="T58" t="s">
        <v>98</v>
      </c>
      <c r="U58" t="s">
        <v>62</v>
      </c>
      <c r="V58" t="s">
        <v>62</v>
      </c>
      <c r="W58" t="s">
        <v>62</v>
      </c>
      <c r="X58">
        <v>0</v>
      </c>
      <c r="Y58">
        <v>0</v>
      </c>
      <c r="Z58">
        <v>2</v>
      </c>
      <c r="AA58">
        <v>0</v>
      </c>
      <c r="AB58">
        <v>0</v>
      </c>
      <c r="AC58">
        <v>0</v>
      </c>
      <c r="AD58">
        <v>0</v>
      </c>
      <c r="AE58">
        <v>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4</v>
      </c>
      <c r="AM58">
        <v>2</v>
      </c>
      <c r="AN58">
        <v>6</v>
      </c>
      <c r="AO58">
        <v>0</v>
      </c>
      <c r="AP58">
        <v>5</v>
      </c>
      <c r="AQ58">
        <v>2</v>
      </c>
      <c r="AR58" t="s">
        <v>64</v>
      </c>
      <c r="AS58" t="s">
        <v>1962</v>
      </c>
      <c r="AT58">
        <v>1.028</v>
      </c>
      <c r="AU58" t="s">
        <v>65</v>
      </c>
      <c r="AV58">
        <v>11</v>
      </c>
      <c r="AW58">
        <v>2</v>
      </c>
      <c r="AX58" t="s">
        <v>1963</v>
      </c>
      <c r="AY58" t="s">
        <v>1964</v>
      </c>
      <c r="AZ58" t="s">
        <v>1965</v>
      </c>
      <c r="BA58">
        <v>5.6399999999999999E-2</v>
      </c>
      <c r="BB58">
        <v>1</v>
      </c>
      <c r="BC58" t="s">
        <v>69</v>
      </c>
      <c r="BD58">
        <v>0.41899999999999998</v>
      </c>
      <c r="BE58">
        <v>0.41899999999999998</v>
      </c>
    </row>
    <row r="59" spans="1:57">
      <c r="A59">
        <v>0</v>
      </c>
      <c r="B59">
        <v>0</v>
      </c>
      <c r="C59">
        <v>0</v>
      </c>
      <c r="D59">
        <v>1597</v>
      </c>
      <c r="E59" t="s">
        <v>2236</v>
      </c>
      <c r="F59" t="s">
        <v>5762</v>
      </c>
      <c r="G59" t="s">
        <v>57</v>
      </c>
      <c r="H59">
        <v>1608919</v>
      </c>
      <c r="I59">
        <v>1609161</v>
      </c>
      <c r="J59" t="s">
        <v>2237</v>
      </c>
      <c r="K59">
        <v>81</v>
      </c>
      <c r="L59" t="s">
        <v>59</v>
      </c>
      <c r="M59">
        <v>5</v>
      </c>
      <c r="N59" t="str">
        <f>HYPERLINK("Gene1597-zp_tree_all.dnd", "Gene1597-tree")</f>
        <v>Gene1597-tree</v>
      </c>
      <c r="O59">
        <v>5</v>
      </c>
      <c r="P59">
        <v>0</v>
      </c>
      <c r="Q59">
        <v>5</v>
      </c>
      <c r="R59">
        <v>0</v>
      </c>
      <c r="S59">
        <v>0</v>
      </c>
      <c r="T59" t="s">
        <v>98</v>
      </c>
      <c r="U59" t="s">
        <v>62</v>
      </c>
      <c r="V59" t="s">
        <v>62</v>
      </c>
      <c r="W59" t="s">
        <v>62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2</v>
      </c>
      <c r="AM59">
        <v>2</v>
      </c>
      <c r="AN59">
        <v>3</v>
      </c>
      <c r="AO59">
        <v>0</v>
      </c>
      <c r="AP59">
        <v>8</v>
      </c>
      <c r="AQ59">
        <v>1</v>
      </c>
      <c r="AR59" t="s">
        <v>64</v>
      </c>
      <c r="AS59" t="s">
        <v>2238</v>
      </c>
      <c r="AT59">
        <v>1.323</v>
      </c>
      <c r="AU59" t="s">
        <v>65</v>
      </c>
      <c r="AV59">
        <v>11</v>
      </c>
      <c r="AW59">
        <v>1</v>
      </c>
      <c r="AX59" t="s">
        <v>2239</v>
      </c>
      <c r="AY59" t="s">
        <v>2240</v>
      </c>
      <c r="AZ59" t="s">
        <v>2241</v>
      </c>
      <c r="BA59">
        <v>3.0939999999999999E-2</v>
      </c>
      <c r="BB59">
        <v>1</v>
      </c>
      <c r="BC59" t="s">
        <v>69</v>
      </c>
      <c r="BD59">
        <v>1.3420000000000001</v>
      </c>
      <c r="BE59">
        <v>0.59599999999999997</v>
      </c>
    </row>
    <row r="60" spans="1:57">
      <c r="A60">
        <v>0</v>
      </c>
      <c r="B60">
        <v>0</v>
      </c>
      <c r="C60">
        <v>0</v>
      </c>
      <c r="D60">
        <v>206</v>
      </c>
      <c r="E60" t="s">
        <v>658</v>
      </c>
      <c r="F60" t="s">
        <v>5762</v>
      </c>
      <c r="G60" t="s">
        <v>57</v>
      </c>
      <c r="H60">
        <v>228066</v>
      </c>
      <c r="I60">
        <v>228311</v>
      </c>
      <c r="J60" t="s">
        <v>659</v>
      </c>
      <c r="K60">
        <v>82</v>
      </c>
      <c r="L60" t="s">
        <v>59</v>
      </c>
      <c r="M60">
        <v>5</v>
      </c>
      <c r="N60" t="str">
        <f>HYPERLINK("Gene206-zp_tree_all.dnd", "Gene206-tree")</f>
        <v>Gene206-tree</v>
      </c>
      <c r="O60">
        <v>2</v>
      </c>
      <c r="P60">
        <v>3</v>
      </c>
      <c r="Q60">
        <v>1</v>
      </c>
      <c r="R60">
        <v>3</v>
      </c>
      <c r="S60">
        <v>0.75</v>
      </c>
      <c r="T60" t="s">
        <v>61</v>
      </c>
      <c r="U60" t="s">
        <v>84</v>
      </c>
      <c r="V60" t="s">
        <v>62</v>
      </c>
      <c r="W60" t="s">
        <v>62</v>
      </c>
      <c r="X60">
        <v>0</v>
      </c>
      <c r="Y60">
        <v>0</v>
      </c>
      <c r="Z60">
        <v>4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3</v>
      </c>
      <c r="AK60">
        <v>0</v>
      </c>
      <c r="AL60">
        <v>4</v>
      </c>
      <c r="AM60">
        <v>1</v>
      </c>
      <c r="AN60">
        <v>6</v>
      </c>
      <c r="AO60">
        <v>3</v>
      </c>
      <c r="AP60">
        <v>4</v>
      </c>
      <c r="AQ60">
        <v>1</v>
      </c>
      <c r="AR60" t="s">
        <v>660</v>
      </c>
      <c r="AS60" t="s">
        <v>661</v>
      </c>
      <c r="AT60">
        <v>1.4990000000000001</v>
      </c>
      <c r="AU60" t="s">
        <v>65</v>
      </c>
      <c r="AV60">
        <v>10</v>
      </c>
      <c r="AW60">
        <v>4</v>
      </c>
      <c r="AX60" t="s">
        <v>662</v>
      </c>
      <c r="AY60" t="s">
        <v>663</v>
      </c>
      <c r="AZ60" t="s">
        <v>664</v>
      </c>
      <c r="BA60">
        <v>8.5279999999999995E-2</v>
      </c>
      <c r="BB60">
        <v>1</v>
      </c>
      <c r="BC60" t="s">
        <v>69</v>
      </c>
      <c r="BD60">
        <v>8.6999999999999994E-2</v>
      </c>
      <c r="BE60">
        <v>8.6999999999999994E-2</v>
      </c>
    </row>
    <row r="61" spans="1:57">
      <c r="A61">
        <v>0</v>
      </c>
      <c r="B61">
        <v>0</v>
      </c>
      <c r="C61">
        <v>0</v>
      </c>
      <c r="D61">
        <v>3186</v>
      </c>
      <c r="E61" t="s">
        <v>4353</v>
      </c>
      <c r="F61" t="s">
        <v>5762</v>
      </c>
      <c r="G61" t="s">
        <v>62</v>
      </c>
      <c r="H61">
        <v>3138981</v>
      </c>
      <c r="I61">
        <v>3139226</v>
      </c>
      <c r="J61" t="s">
        <v>4354</v>
      </c>
      <c r="K61">
        <v>82</v>
      </c>
      <c r="L61" t="s">
        <v>59</v>
      </c>
      <c r="M61">
        <v>5</v>
      </c>
      <c r="N61" t="str">
        <f>HYPERLINK("Gene3186-zp_tree_all.dnd", "Gene3186-tree")</f>
        <v>Gene3186-tree</v>
      </c>
      <c r="O61">
        <v>5</v>
      </c>
      <c r="P61">
        <v>0</v>
      </c>
      <c r="Q61">
        <v>5</v>
      </c>
      <c r="R61">
        <v>0</v>
      </c>
      <c r="S61">
        <v>0</v>
      </c>
      <c r="T61" t="s">
        <v>98</v>
      </c>
      <c r="U61" t="s">
        <v>62</v>
      </c>
      <c r="V61" t="s">
        <v>62</v>
      </c>
      <c r="W61" t="s">
        <v>62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4</v>
      </c>
      <c r="AM61">
        <v>2</v>
      </c>
      <c r="AN61">
        <v>10</v>
      </c>
      <c r="AO61">
        <v>0</v>
      </c>
      <c r="AP61">
        <v>10</v>
      </c>
      <c r="AQ61">
        <v>0</v>
      </c>
      <c r="AR61" t="s">
        <v>64</v>
      </c>
      <c r="AS61" t="s">
        <v>64</v>
      </c>
      <c r="AT61">
        <v>0</v>
      </c>
      <c r="AU61" t="s">
        <v>65</v>
      </c>
      <c r="AV61">
        <v>20</v>
      </c>
      <c r="AW61">
        <v>0</v>
      </c>
      <c r="AX61" t="s">
        <v>4355</v>
      </c>
      <c r="AY61" t="s">
        <v>4356</v>
      </c>
      <c r="AZ61" t="s">
        <v>64</v>
      </c>
      <c r="BA61">
        <v>0</v>
      </c>
      <c r="BB61">
        <v>1</v>
      </c>
      <c r="BC61" t="s">
        <v>69</v>
      </c>
      <c r="BD61">
        <v>0.64800000000000002</v>
      </c>
      <c r="BE61">
        <v>0.307</v>
      </c>
    </row>
    <row r="62" spans="1:57">
      <c r="A62">
        <v>0</v>
      </c>
      <c r="B62">
        <v>0</v>
      </c>
      <c r="C62">
        <v>0</v>
      </c>
      <c r="D62">
        <v>109</v>
      </c>
      <c r="E62" t="s">
        <v>432</v>
      </c>
      <c r="F62" t="s">
        <v>5762</v>
      </c>
      <c r="G62" t="s">
        <v>57</v>
      </c>
      <c r="H62">
        <v>129340</v>
      </c>
      <c r="I62">
        <v>129585</v>
      </c>
      <c r="J62" t="s">
        <v>433</v>
      </c>
      <c r="K62">
        <v>82</v>
      </c>
      <c r="L62" t="s">
        <v>59</v>
      </c>
      <c r="M62">
        <v>5</v>
      </c>
      <c r="N62" t="str">
        <f>HYPERLINK("Gene109-zp_tree_all.dnd", "Gene109-tree")</f>
        <v>Gene109-tree</v>
      </c>
      <c r="O62">
        <v>4</v>
      </c>
      <c r="P62">
        <v>0</v>
      </c>
      <c r="Q62">
        <v>4</v>
      </c>
      <c r="R62">
        <v>0</v>
      </c>
      <c r="S62">
        <v>0</v>
      </c>
      <c r="T62" t="s">
        <v>60</v>
      </c>
      <c r="U62" t="s">
        <v>62</v>
      </c>
      <c r="V62" t="s">
        <v>62</v>
      </c>
      <c r="W62" t="s">
        <v>62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3</v>
      </c>
      <c r="AM62">
        <v>1</v>
      </c>
      <c r="AN62">
        <v>3</v>
      </c>
      <c r="AO62">
        <v>0</v>
      </c>
      <c r="AP62">
        <v>1</v>
      </c>
      <c r="AQ62">
        <v>0</v>
      </c>
      <c r="AR62" t="s">
        <v>64</v>
      </c>
      <c r="AS62" t="s">
        <v>64</v>
      </c>
      <c r="AT62">
        <v>0</v>
      </c>
      <c r="AU62" t="s">
        <v>65</v>
      </c>
      <c r="AV62">
        <v>4</v>
      </c>
      <c r="AW62">
        <v>0</v>
      </c>
      <c r="AX62" t="s">
        <v>434</v>
      </c>
      <c r="AY62" t="s">
        <v>435</v>
      </c>
      <c r="AZ62" t="s">
        <v>64</v>
      </c>
      <c r="BA62">
        <v>0</v>
      </c>
      <c r="BB62">
        <v>1</v>
      </c>
      <c r="BC62" t="s">
        <v>69</v>
      </c>
      <c r="BD62">
        <v>-0.41</v>
      </c>
      <c r="BE62">
        <v>-0.41</v>
      </c>
    </row>
    <row r="63" spans="1:57">
      <c r="A63">
        <v>0</v>
      </c>
      <c r="B63">
        <v>0</v>
      </c>
      <c r="C63">
        <v>2</v>
      </c>
      <c r="D63">
        <v>2267</v>
      </c>
      <c r="E63" t="s">
        <v>2927</v>
      </c>
      <c r="F63" t="s">
        <v>5762</v>
      </c>
      <c r="G63" t="s">
        <v>62</v>
      </c>
      <c r="H63">
        <v>2292435</v>
      </c>
      <c r="I63">
        <v>2292683</v>
      </c>
      <c r="J63" t="s">
        <v>170</v>
      </c>
      <c r="K63">
        <v>83</v>
      </c>
      <c r="L63" t="s">
        <v>59</v>
      </c>
      <c r="M63">
        <v>5</v>
      </c>
      <c r="N63" t="str">
        <f>HYPERLINK("Gene2267-zp_tree_all.dnd", "Gene2267-tree")</f>
        <v>Gene2267-tree</v>
      </c>
      <c r="O63">
        <v>2</v>
      </c>
      <c r="P63">
        <v>2</v>
      </c>
      <c r="Q63">
        <v>2</v>
      </c>
      <c r="R63">
        <v>2</v>
      </c>
      <c r="S63">
        <v>0.5</v>
      </c>
      <c r="T63" t="s">
        <v>135</v>
      </c>
      <c r="U63" t="s">
        <v>135</v>
      </c>
      <c r="V63" t="s">
        <v>62</v>
      </c>
      <c r="W63" t="s">
        <v>62</v>
      </c>
      <c r="X63">
        <v>1</v>
      </c>
      <c r="Y63">
        <v>2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2</v>
      </c>
      <c r="AI63">
        <v>2</v>
      </c>
      <c r="AJ63">
        <v>0</v>
      </c>
      <c r="AK63">
        <v>1</v>
      </c>
      <c r="AL63">
        <v>3</v>
      </c>
      <c r="AM63">
        <v>1</v>
      </c>
      <c r="AN63">
        <v>2</v>
      </c>
      <c r="AO63">
        <v>2</v>
      </c>
      <c r="AP63">
        <v>1</v>
      </c>
      <c r="AQ63">
        <v>0</v>
      </c>
      <c r="AR63" t="s">
        <v>2928</v>
      </c>
      <c r="AS63" t="s">
        <v>64</v>
      </c>
      <c r="AT63">
        <v>1.732</v>
      </c>
      <c r="AU63" t="s">
        <v>65</v>
      </c>
      <c r="AV63">
        <v>3</v>
      </c>
      <c r="AW63">
        <v>2</v>
      </c>
      <c r="AX63" t="s">
        <v>2929</v>
      </c>
      <c r="AY63" t="s">
        <v>2930</v>
      </c>
      <c r="AZ63" t="s">
        <v>2931</v>
      </c>
      <c r="BA63">
        <v>0.14358000000000001</v>
      </c>
      <c r="BB63">
        <v>1</v>
      </c>
      <c r="BC63" t="s">
        <v>69</v>
      </c>
      <c r="BD63">
        <v>0.56200000000000006</v>
      </c>
      <c r="BE63">
        <v>0.56200000000000006</v>
      </c>
    </row>
    <row r="64" spans="1:57">
      <c r="A64">
        <v>0</v>
      </c>
      <c r="B64">
        <v>0</v>
      </c>
      <c r="C64">
        <v>0</v>
      </c>
      <c r="D64">
        <v>1223</v>
      </c>
      <c r="E64" t="s">
        <v>1703</v>
      </c>
      <c r="F64" t="s">
        <v>5762</v>
      </c>
      <c r="G64" t="s">
        <v>57</v>
      </c>
      <c r="H64">
        <v>1256109</v>
      </c>
      <c r="I64">
        <v>1256360</v>
      </c>
      <c r="J64" t="s">
        <v>1082</v>
      </c>
      <c r="K64">
        <v>84</v>
      </c>
      <c r="L64" t="s">
        <v>112</v>
      </c>
      <c r="M64">
        <v>4</v>
      </c>
      <c r="N64" t="str">
        <f>HYPERLINK("Gene1223-zp_tree_all.dnd", "Gene1223-tree")</f>
        <v>Gene1223-tree</v>
      </c>
      <c r="O64">
        <v>3</v>
      </c>
      <c r="P64">
        <v>1</v>
      </c>
      <c r="Q64">
        <v>3</v>
      </c>
      <c r="R64">
        <v>1</v>
      </c>
      <c r="S64">
        <v>0.25</v>
      </c>
      <c r="T64" t="s">
        <v>84</v>
      </c>
      <c r="U64" t="s">
        <v>61</v>
      </c>
      <c r="V64" t="s">
        <v>62</v>
      </c>
      <c r="W64" t="s">
        <v>62</v>
      </c>
      <c r="X64">
        <v>0</v>
      </c>
      <c r="Y64">
        <v>0</v>
      </c>
      <c r="Z64">
        <v>3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3</v>
      </c>
      <c r="AK64">
        <v>0</v>
      </c>
      <c r="AL64">
        <v>4</v>
      </c>
      <c r="AM64">
        <v>1</v>
      </c>
      <c r="AN64">
        <v>12</v>
      </c>
      <c r="AO64">
        <v>3</v>
      </c>
      <c r="AP64">
        <v>1</v>
      </c>
      <c r="AQ64">
        <v>0</v>
      </c>
      <c r="AR64" t="s">
        <v>1704</v>
      </c>
      <c r="AS64" t="s">
        <v>64</v>
      </c>
      <c r="AT64">
        <v>0.496</v>
      </c>
      <c r="AU64" t="s">
        <v>65</v>
      </c>
      <c r="AV64">
        <v>13</v>
      </c>
      <c r="AW64">
        <v>3</v>
      </c>
      <c r="AX64" t="s">
        <v>1705</v>
      </c>
      <c r="AY64" t="s">
        <v>1706</v>
      </c>
      <c r="AZ64" t="s">
        <v>1707</v>
      </c>
      <c r="BA64">
        <v>5.8560000000000001E-2</v>
      </c>
      <c r="BB64">
        <v>1</v>
      </c>
      <c r="BC64" t="s">
        <v>69</v>
      </c>
      <c r="BD64">
        <v>-0.22600000000000001</v>
      </c>
      <c r="BE64">
        <v>-0.84699999999999998</v>
      </c>
    </row>
    <row r="65" spans="1:57">
      <c r="A65">
        <v>0</v>
      </c>
      <c r="B65">
        <v>0</v>
      </c>
      <c r="C65">
        <v>0</v>
      </c>
      <c r="D65">
        <v>2531</v>
      </c>
      <c r="E65" t="s">
        <v>3313</v>
      </c>
      <c r="F65" t="s">
        <v>5762</v>
      </c>
      <c r="G65" t="s">
        <v>62</v>
      </c>
      <c r="H65">
        <v>2526672</v>
      </c>
      <c r="I65">
        <v>2526923</v>
      </c>
      <c r="J65" t="s">
        <v>3314</v>
      </c>
      <c r="K65">
        <v>84</v>
      </c>
      <c r="L65" t="s">
        <v>59</v>
      </c>
      <c r="M65">
        <v>5</v>
      </c>
      <c r="N65" t="str">
        <f>HYPERLINK("Gene2531-zp_tree_all.dnd", "Gene2531-tree")</f>
        <v>Gene2531-tree</v>
      </c>
      <c r="O65">
        <v>3</v>
      </c>
      <c r="P65">
        <v>2</v>
      </c>
      <c r="Q65">
        <v>2</v>
      </c>
      <c r="R65">
        <v>2</v>
      </c>
      <c r="S65">
        <v>0.5</v>
      </c>
      <c r="T65" t="s">
        <v>217</v>
      </c>
      <c r="U65" t="s">
        <v>135</v>
      </c>
      <c r="V65" t="s">
        <v>62</v>
      </c>
      <c r="W65" t="s">
        <v>62</v>
      </c>
      <c r="X65">
        <v>0</v>
      </c>
      <c r="Y65">
        <v>0</v>
      </c>
      <c r="Z65">
        <v>2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2</v>
      </c>
      <c r="AK65">
        <v>0</v>
      </c>
      <c r="AL65">
        <v>3</v>
      </c>
      <c r="AM65">
        <v>1</v>
      </c>
      <c r="AN65">
        <v>6</v>
      </c>
      <c r="AO65">
        <v>3</v>
      </c>
      <c r="AP65">
        <v>7</v>
      </c>
      <c r="AQ65">
        <v>0</v>
      </c>
      <c r="AR65" t="s">
        <v>3315</v>
      </c>
      <c r="AS65" t="s">
        <v>64</v>
      </c>
      <c r="AT65">
        <v>0.64900000000000002</v>
      </c>
      <c r="AU65" t="s">
        <v>65</v>
      </c>
      <c r="AV65">
        <v>13</v>
      </c>
      <c r="AW65">
        <v>3</v>
      </c>
      <c r="AX65" t="s">
        <v>3316</v>
      </c>
      <c r="AY65" t="s">
        <v>3317</v>
      </c>
      <c r="AZ65" t="s">
        <v>3318</v>
      </c>
      <c r="BA65">
        <v>4.1520000000000001E-2</v>
      </c>
      <c r="BB65">
        <v>1</v>
      </c>
      <c r="BC65" t="s">
        <v>69</v>
      </c>
      <c r="BD65">
        <v>0.52100000000000002</v>
      </c>
      <c r="BE65">
        <v>-0.56399999999999995</v>
      </c>
    </row>
    <row r="66" spans="1:57">
      <c r="A66">
        <v>0</v>
      </c>
      <c r="B66">
        <v>0</v>
      </c>
      <c r="C66">
        <v>0</v>
      </c>
      <c r="D66">
        <v>680</v>
      </c>
      <c r="E66" t="s">
        <v>1126</v>
      </c>
      <c r="F66" t="s">
        <v>5762</v>
      </c>
      <c r="G66" t="s">
        <v>57</v>
      </c>
      <c r="H66">
        <v>702319</v>
      </c>
      <c r="I66">
        <v>702570</v>
      </c>
      <c r="J66" t="s">
        <v>1127</v>
      </c>
      <c r="K66">
        <v>84</v>
      </c>
      <c r="L66" t="s">
        <v>59</v>
      </c>
      <c r="M66">
        <v>5</v>
      </c>
      <c r="N66" t="str">
        <f>HYPERLINK("Gene680-zp_tree_all.dnd", "Gene680-tree")</f>
        <v>Gene680-tree</v>
      </c>
      <c r="O66">
        <v>4</v>
      </c>
      <c r="P66">
        <v>1</v>
      </c>
      <c r="Q66">
        <v>4</v>
      </c>
      <c r="R66">
        <v>1</v>
      </c>
      <c r="S66">
        <v>0.2</v>
      </c>
      <c r="T66" t="s">
        <v>60</v>
      </c>
      <c r="U66" t="s">
        <v>61</v>
      </c>
      <c r="V66" t="s">
        <v>62</v>
      </c>
      <c r="W66" t="s">
        <v>62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0</v>
      </c>
      <c r="AL66">
        <v>4</v>
      </c>
      <c r="AM66">
        <v>2</v>
      </c>
      <c r="AN66">
        <v>7</v>
      </c>
      <c r="AO66">
        <v>1</v>
      </c>
      <c r="AP66">
        <v>5</v>
      </c>
      <c r="AQ66">
        <v>0</v>
      </c>
      <c r="AR66" t="s">
        <v>1128</v>
      </c>
      <c r="AS66" t="s">
        <v>64</v>
      </c>
      <c r="AT66">
        <v>0.61799999999999999</v>
      </c>
      <c r="AU66" t="s">
        <v>65</v>
      </c>
      <c r="AV66">
        <v>12</v>
      </c>
      <c r="AW66">
        <v>1</v>
      </c>
      <c r="AX66" t="s">
        <v>1129</v>
      </c>
      <c r="AY66" t="s">
        <v>1130</v>
      </c>
      <c r="AZ66" t="s">
        <v>1131</v>
      </c>
      <c r="BA66">
        <v>1.7510000000000001E-2</v>
      </c>
      <c r="BB66">
        <v>1</v>
      </c>
      <c r="BC66" t="s">
        <v>69</v>
      </c>
      <c r="BD66">
        <v>-4.7E-2</v>
      </c>
      <c r="BE66">
        <v>-4.7E-2</v>
      </c>
    </row>
    <row r="67" spans="1:57">
      <c r="A67">
        <v>0</v>
      </c>
      <c r="B67">
        <v>0</v>
      </c>
      <c r="C67">
        <v>0</v>
      </c>
      <c r="D67">
        <v>2978</v>
      </c>
      <c r="E67" t="s">
        <v>3960</v>
      </c>
      <c r="F67" t="s">
        <v>5762</v>
      </c>
      <c r="G67" t="s">
        <v>62</v>
      </c>
      <c r="H67">
        <v>2925643</v>
      </c>
      <c r="I67">
        <v>2925897</v>
      </c>
      <c r="J67" t="s">
        <v>3961</v>
      </c>
      <c r="K67">
        <v>85</v>
      </c>
      <c r="L67" t="s">
        <v>59</v>
      </c>
      <c r="M67">
        <v>5</v>
      </c>
      <c r="N67" t="str">
        <f>HYPERLINK("Gene2978-zp_tree_all.dnd", "Gene2978-tree")</f>
        <v>Gene2978-tree</v>
      </c>
      <c r="O67">
        <v>3</v>
      </c>
      <c r="P67">
        <v>1</v>
      </c>
      <c r="Q67">
        <v>3</v>
      </c>
      <c r="R67">
        <v>1</v>
      </c>
      <c r="S67">
        <v>0.25</v>
      </c>
      <c r="T67" t="s">
        <v>84</v>
      </c>
      <c r="U67" t="s">
        <v>61</v>
      </c>
      <c r="V67" t="s">
        <v>62</v>
      </c>
      <c r="W67" t="s">
        <v>62</v>
      </c>
      <c r="X67">
        <v>0</v>
      </c>
      <c r="Y67">
        <v>0</v>
      </c>
      <c r="Z67">
        <v>2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3</v>
      </c>
      <c r="AM67">
        <v>1</v>
      </c>
      <c r="AN67">
        <v>2</v>
      </c>
      <c r="AO67">
        <v>1</v>
      </c>
      <c r="AP67">
        <v>1</v>
      </c>
      <c r="AQ67">
        <v>1</v>
      </c>
      <c r="AR67" t="s">
        <v>3962</v>
      </c>
      <c r="AS67" t="s">
        <v>3963</v>
      </c>
      <c r="AT67">
        <v>0.69299999999999995</v>
      </c>
      <c r="AU67" t="s">
        <v>65</v>
      </c>
      <c r="AV67">
        <v>3</v>
      </c>
      <c r="AW67">
        <v>2</v>
      </c>
      <c r="AX67" t="s">
        <v>3964</v>
      </c>
      <c r="AY67" t="s">
        <v>3965</v>
      </c>
      <c r="AZ67" t="s">
        <v>3966</v>
      </c>
      <c r="BA67">
        <v>0.18690000000000001</v>
      </c>
      <c r="BB67">
        <v>0.88200000000000001</v>
      </c>
      <c r="BC67" t="s">
        <v>793</v>
      </c>
      <c r="BD67">
        <v>0</v>
      </c>
      <c r="BE67">
        <v>0</v>
      </c>
    </row>
    <row r="68" spans="1:57">
      <c r="A68">
        <v>0</v>
      </c>
      <c r="B68">
        <v>0</v>
      </c>
      <c r="C68">
        <v>0</v>
      </c>
      <c r="D68">
        <v>1749</v>
      </c>
      <c r="E68" t="s">
        <v>2660</v>
      </c>
      <c r="F68" t="s">
        <v>5762</v>
      </c>
      <c r="G68" t="s">
        <v>57</v>
      </c>
      <c r="H68">
        <v>1760464</v>
      </c>
      <c r="I68">
        <v>1760718</v>
      </c>
      <c r="J68" t="s">
        <v>2097</v>
      </c>
      <c r="K68">
        <v>85</v>
      </c>
      <c r="L68" t="s">
        <v>59</v>
      </c>
      <c r="M68">
        <v>5</v>
      </c>
      <c r="N68" t="str">
        <f>HYPERLINK("Gene1749-zp_tree_all.dnd", "Gene1749-tree")</f>
        <v>Gene1749-tree</v>
      </c>
      <c r="O68">
        <v>4</v>
      </c>
      <c r="P68">
        <v>0</v>
      </c>
      <c r="Q68">
        <v>4</v>
      </c>
      <c r="R68">
        <v>0</v>
      </c>
      <c r="S68">
        <v>0</v>
      </c>
      <c r="T68" t="s">
        <v>60</v>
      </c>
      <c r="U68" t="s">
        <v>62</v>
      </c>
      <c r="V68" t="s">
        <v>62</v>
      </c>
      <c r="W68" t="s">
        <v>62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2</v>
      </c>
      <c r="AM68">
        <v>1</v>
      </c>
      <c r="AN68">
        <v>3</v>
      </c>
      <c r="AO68">
        <v>0</v>
      </c>
      <c r="AP68">
        <v>2</v>
      </c>
      <c r="AQ68">
        <v>1</v>
      </c>
      <c r="AR68" t="s">
        <v>64</v>
      </c>
      <c r="AS68" t="s">
        <v>2661</v>
      </c>
      <c r="AT68">
        <v>0</v>
      </c>
      <c r="AU68" t="s">
        <v>65</v>
      </c>
      <c r="AV68">
        <v>5</v>
      </c>
      <c r="AW68">
        <v>1</v>
      </c>
      <c r="AX68" t="s">
        <v>2662</v>
      </c>
      <c r="AY68" t="s">
        <v>2663</v>
      </c>
      <c r="AZ68" t="s">
        <v>2664</v>
      </c>
      <c r="BA68">
        <v>5.4370000000000002E-2</v>
      </c>
      <c r="BB68">
        <v>1</v>
      </c>
      <c r="BC68" t="s">
        <v>69</v>
      </c>
      <c r="BD68">
        <v>0.28599999999999998</v>
      </c>
      <c r="BE68">
        <v>0.28599999999999998</v>
      </c>
    </row>
    <row r="69" spans="1:57">
      <c r="A69">
        <v>0</v>
      </c>
      <c r="B69">
        <v>0</v>
      </c>
      <c r="C69">
        <v>0</v>
      </c>
      <c r="D69">
        <v>1416</v>
      </c>
      <c r="E69" t="s">
        <v>1853</v>
      </c>
      <c r="F69" t="s">
        <v>5762</v>
      </c>
      <c r="G69" t="s">
        <v>57</v>
      </c>
      <c r="H69">
        <v>1430684</v>
      </c>
      <c r="I69">
        <v>1430938</v>
      </c>
      <c r="J69" t="s">
        <v>1854</v>
      </c>
      <c r="K69">
        <v>85</v>
      </c>
      <c r="L69" t="s">
        <v>59</v>
      </c>
      <c r="M69">
        <v>5</v>
      </c>
      <c r="N69" t="str">
        <f>HYPERLINK("Gene1416-zp_tree_all.dnd", "Gene1416-tree")</f>
        <v>Gene1416-tree</v>
      </c>
      <c r="O69">
        <v>4</v>
      </c>
      <c r="P69">
        <v>0</v>
      </c>
      <c r="Q69">
        <v>4</v>
      </c>
      <c r="R69">
        <v>0</v>
      </c>
      <c r="S69">
        <v>0</v>
      </c>
      <c r="T69" t="s">
        <v>60</v>
      </c>
      <c r="U69" t="s">
        <v>62</v>
      </c>
      <c r="V69" t="s">
        <v>62</v>
      </c>
      <c r="W69" t="s">
        <v>62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2</v>
      </c>
      <c r="AM69">
        <v>1</v>
      </c>
      <c r="AN69">
        <v>2</v>
      </c>
      <c r="AO69">
        <v>0</v>
      </c>
      <c r="AP69">
        <v>3</v>
      </c>
      <c r="AQ69">
        <v>0</v>
      </c>
      <c r="AR69" t="s">
        <v>64</v>
      </c>
      <c r="AS69" t="s">
        <v>64</v>
      </c>
      <c r="AT69">
        <v>0</v>
      </c>
      <c r="AU69" t="s">
        <v>65</v>
      </c>
      <c r="AV69">
        <v>5</v>
      </c>
      <c r="AW69">
        <v>0</v>
      </c>
      <c r="AX69" t="s">
        <v>1855</v>
      </c>
      <c r="AY69" t="s">
        <v>1856</v>
      </c>
      <c r="AZ69" t="s">
        <v>64</v>
      </c>
      <c r="BA69">
        <v>0</v>
      </c>
      <c r="BB69">
        <v>1</v>
      </c>
      <c r="BC69" t="s">
        <v>69</v>
      </c>
      <c r="BD69">
        <v>0.56200000000000006</v>
      </c>
      <c r="BE69">
        <v>0.56200000000000006</v>
      </c>
    </row>
    <row r="70" spans="1:57">
      <c r="A70">
        <v>0</v>
      </c>
      <c r="B70">
        <v>0</v>
      </c>
      <c r="C70">
        <v>0</v>
      </c>
      <c r="D70">
        <v>3262</v>
      </c>
      <c r="E70" t="s">
        <v>4414</v>
      </c>
      <c r="F70" t="s">
        <v>5762</v>
      </c>
      <c r="G70" t="s">
        <v>62</v>
      </c>
      <c r="H70">
        <v>3228434</v>
      </c>
      <c r="I70">
        <v>3228691</v>
      </c>
      <c r="J70" t="s">
        <v>118</v>
      </c>
      <c r="K70">
        <v>86</v>
      </c>
      <c r="L70" t="s">
        <v>83</v>
      </c>
      <c r="M70">
        <v>4</v>
      </c>
      <c r="N70" t="str">
        <f>HYPERLINK("Gene3262-zp_tree_all.dnd", "Gene3262-tree")</f>
        <v>Gene3262-tree</v>
      </c>
      <c r="O70">
        <v>1</v>
      </c>
      <c r="P70">
        <v>3</v>
      </c>
      <c r="Q70">
        <v>1</v>
      </c>
      <c r="R70">
        <v>3</v>
      </c>
      <c r="S70">
        <v>0.75</v>
      </c>
      <c r="T70" t="s">
        <v>61</v>
      </c>
      <c r="U70" t="s">
        <v>84</v>
      </c>
      <c r="V70" t="s">
        <v>62</v>
      </c>
      <c r="W70" t="s">
        <v>62</v>
      </c>
      <c r="X70">
        <v>0</v>
      </c>
      <c r="Y70">
        <v>0</v>
      </c>
      <c r="Z70">
        <v>7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7</v>
      </c>
      <c r="AK70">
        <v>0</v>
      </c>
      <c r="AL70">
        <v>3</v>
      </c>
      <c r="AM70">
        <v>1</v>
      </c>
      <c r="AN70">
        <v>7</v>
      </c>
      <c r="AO70">
        <v>6</v>
      </c>
      <c r="AP70">
        <v>0</v>
      </c>
      <c r="AQ70">
        <v>1</v>
      </c>
      <c r="AR70" t="s">
        <v>4415</v>
      </c>
      <c r="AS70" t="s">
        <v>64</v>
      </c>
      <c r="AT70">
        <v>1.335</v>
      </c>
      <c r="AU70" t="s">
        <v>65</v>
      </c>
      <c r="AV70">
        <v>7</v>
      </c>
      <c r="AW70">
        <v>7</v>
      </c>
      <c r="AX70" t="s">
        <v>4416</v>
      </c>
      <c r="AY70" t="s">
        <v>4417</v>
      </c>
      <c r="AZ70" t="s">
        <v>4418</v>
      </c>
      <c r="BA70">
        <v>0.25509999999999999</v>
      </c>
      <c r="BB70">
        <v>0.99</v>
      </c>
      <c r="BC70" t="s">
        <v>69</v>
      </c>
      <c r="BD70">
        <v>-0.624</v>
      </c>
      <c r="BE70">
        <v>-0.624</v>
      </c>
    </row>
    <row r="71" spans="1:57">
      <c r="A71">
        <v>0</v>
      </c>
      <c r="B71">
        <v>0</v>
      </c>
      <c r="C71">
        <v>0</v>
      </c>
      <c r="D71">
        <v>1759</v>
      </c>
      <c r="E71" t="s">
        <v>2676</v>
      </c>
      <c r="F71" t="s">
        <v>5762</v>
      </c>
      <c r="G71" t="s">
        <v>57</v>
      </c>
      <c r="H71">
        <v>1769935</v>
      </c>
      <c r="I71">
        <v>1770192</v>
      </c>
      <c r="J71" t="s">
        <v>2677</v>
      </c>
      <c r="K71">
        <v>86</v>
      </c>
      <c r="L71" t="s">
        <v>59</v>
      </c>
      <c r="M71">
        <v>5</v>
      </c>
      <c r="N71" t="str">
        <f>HYPERLINK("Gene1759-zp_tree_all.dnd", "Gene1759-tree")</f>
        <v>Gene1759-tree</v>
      </c>
      <c r="O71">
        <v>4</v>
      </c>
      <c r="P71">
        <v>0</v>
      </c>
      <c r="Q71">
        <v>4</v>
      </c>
      <c r="R71">
        <v>0</v>
      </c>
      <c r="S71">
        <v>0</v>
      </c>
      <c r="T71" t="s">
        <v>60</v>
      </c>
      <c r="U71" t="s">
        <v>62</v>
      </c>
      <c r="V71" t="s">
        <v>62</v>
      </c>
      <c r="W71" t="s">
        <v>62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3</v>
      </c>
      <c r="AM71">
        <v>1</v>
      </c>
      <c r="AN71">
        <v>4</v>
      </c>
      <c r="AO71">
        <v>0</v>
      </c>
      <c r="AP71">
        <v>7</v>
      </c>
      <c r="AQ71">
        <v>0</v>
      </c>
      <c r="AR71" t="s">
        <v>64</v>
      </c>
      <c r="AS71" t="s">
        <v>64</v>
      </c>
      <c r="AT71">
        <v>0</v>
      </c>
      <c r="AU71" t="s">
        <v>65</v>
      </c>
      <c r="AV71">
        <v>11</v>
      </c>
      <c r="AW71">
        <v>0</v>
      </c>
      <c r="AX71" t="s">
        <v>2678</v>
      </c>
      <c r="AY71" t="s">
        <v>2679</v>
      </c>
      <c r="AZ71" t="s">
        <v>64</v>
      </c>
      <c r="BA71">
        <v>0</v>
      </c>
      <c r="BB71">
        <v>1</v>
      </c>
      <c r="BC71" t="s">
        <v>69</v>
      </c>
      <c r="BD71">
        <v>0.98099999999999998</v>
      </c>
      <c r="BE71">
        <v>0.98099999999999998</v>
      </c>
    </row>
    <row r="72" spans="1:57">
      <c r="A72">
        <v>0</v>
      </c>
      <c r="B72">
        <v>0</v>
      </c>
      <c r="C72">
        <v>0</v>
      </c>
      <c r="D72">
        <v>3227</v>
      </c>
      <c r="E72" t="s">
        <v>4373</v>
      </c>
      <c r="F72" t="s">
        <v>5762</v>
      </c>
      <c r="G72" t="s">
        <v>62</v>
      </c>
      <c r="H72">
        <v>3190465</v>
      </c>
      <c r="I72">
        <v>3190725</v>
      </c>
      <c r="J72" t="s">
        <v>118</v>
      </c>
      <c r="K72">
        <v>87</v>
      </c>
      <c r="L72" t="s">
        <v>59</v>
      </c>
      <c r="M72">
        <v>5</v>
      </c>
      <c r="N72" t="str">
        <f>HYPERLINK("Gene3227-zp_tree_all.dnd", "Gene3227-tree")</f>
        <v>Gene3227-tree</v>
      </c>
      <c r="O72">
        <v>5</v>
      </c>
      <c r="P72">
        <v>0</v>
      </c>
      <c r="Q72">
        <v>5</v>
      </c>
      <c r="R72">
        <v>0</v>
      </c>
      <c r="S72">
        <v>0</v>
      </c>
      <c r="T72" t="s">
        <v>98</v>
      </c>
      <c r="U72" t="s">
        <v>62</v>
      </c>
      <c r="V72" t="s">
        <v>62</v>
      </c>
      <c r="W72" t="s">
        <v>62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4</v>
      </c>
      <c r="AM72">
        <v>2</v>
      </c>
      <c r="AN72">
        <v>7</v>
      </c>
      <c r="AO72">
        <v>0</v>
      </c>
      <c r="AP72">
        <v>8</v>
      </c>
      <c r="AQ72">
        <v>0</v>
      </c>
      <c r="AR72" t="s">
        <v>64</v>
      </c>
      <c r="AS72" t="s">
        <v>64</v>
      </c>
      <c r="AT72">
        <v>0</v>
      </c>
      <c r="AU72" t="s">
        <v>65</v>
      </c>
      <c r="AV72">
        <v>15</v>
      </c>
      <c r="AW72">
        <v>0</v>
      </c>
      <c r="AX72" t="s">
        <v>4374</v>
      </c>
      <c r="AY72" t="s">
        <v>4375</v>
      </c>
      <c r="AZ72" t="s">
        <v>64</v>
      </c>
      <c r="BA72">
        <v>0</v>
      </c>
      <c r="BB72">
        <v>1</v>
      </c>
      <c r="BC72" t="s">
        <v>69</v>
      </c>
      <c r="BD72">
        <v>0.52100000000000002</v>
      </c>
      <c r="BE72">
        <v>0.52100000000000002</v>
      </c>
    </row>
    <row r="73" spans="1:57">
      <c r="A73">
        <v>0</v>
      </c>
      <c r="B73">
        <v>0</v>
      </c>
      <c r="C73">
        <v>0</v>
      </c>
      <c r="D73">
        <v>836</v>
      </c>
      <c r="E73" t="s">
        <v>1280</v>
      </c>
      <c r="F73" t="s">
        <v>5762</v>
      </c>
      <c r="G73" t="s">
        <v>57</v>
      </c>
      <c r="H73">
        <v>875428</v>
      </c>
      <c r="I73">
        <v>875691</v>
      </c>
      <c r="J73" t="s">
        <v>170</v>
      </c>
      <c r="K73">
        <v>88</v>
      </c>
      <c r="L73" t="s">
        <v>83</v>
      </c>
      <c r="M73">
        <v>4</v>
      </c>
      <c r="N73" t="str">
        <f>HYPERLINK("Gene836-zp_tree_all.dnd", "Gene836-tree")</f>
        <v>Gene836-tree</v>
      </c>
      <c r="O73">
        <v>0</v>
      </c>
      <c r="P73">
        <v>4</v>
      </c>
      <c r="Q73">
        <v>0</v>
      </c>
      <c r="R73">
        <v>4</v>
      </c>
      <c r="S73">
        <v>1</v>
      </c>
      <c r="T73" t="s">
        <v>62</v>
      </c>
      <c r="U73" t="s">
        <v>60</v>
      </c>
      <c r="V73" t="s">
        <v>62</v>
      </c>
      <c r="W73" t="s">
        <v>62</v>
      </c>
      <c r="X73">
        <v>0</v>
      </c>
      <c r="Y73">
        <v>0</v>
      </c>
      <c r="Z73">
        <v>4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4</v>
      </c>
      <c r="AK73">
        <v>0</v>
      </c>
      <c r="AL73">
        <v>3</v>
      </c>
      <c r="AM73">
        <v>0</v>
      </c>
      <c r="AN73">
        <v>2</v>
      </c>
      <c r="AO73">
        <v>4</v>
      </c>
      <c r="AP73">
        <v>0</v>
      </c>
      <c r="AQ73">
        <v>0</v>
      </c>
      <c r="AR73" t="s">
        <v>1281</v>
      </c>
      <c r="AS73" t="s">
        <v>64</v>
      </c>
      <c r="AT73">
        <v>0.81499999999999995</v>
      </c>
      <c r="AU73" t="s">
        <v>65</v>
      </c>
      <c r="AV73">
        <v>2</v>
      </c>
      <c r="AW73">
        <v>4</v>
      </c>
      <c r="AX73" t="s">
        <v>1282</v>
      </c>
      <c r="AY73" t="s">
        <v>1283</v>
      </c>
      <c r="AZ73" t="s">
        <v>1284</v>
      </c>
      <c r="BA73">
        <v>0.53502000000000005</v>
      </c>
      <c r="BB73">
        <v>0.59299999999999997</v>
      </c>
      <c r="BC73" t="s">
        <v>793</v>
      </c>
      <c r="BD73">
        <v>-0.80900000000000005</v>
      </c>
      <c r="BE73">
        <v>-0.80900000000000005</v>
      </c>
    </row>
    <row r="74" spans="1:57">
      <c r="A74">
        <v>0</v>
      </c>
      <c r="B74">
        <v>0</v>
      </c>
      <c r="C74">
        <v>0</v>
      </c>
      <c r="D74">
        <v>3671</v>
      </c>
      <c r="E74" t="s">
        <v>4974</v>
      </c>
      <c r="F74" t="s">
        <v>5762</v>
      </c>
      <c r="G74" t="s">
        <v>62</v>
      </c>
      <c r="H74">
        <v>3640288</v>
      </c>
      <c r="I74">
        <v>3640551</v>
      </c>
      <c r="J74" t="s">
        <v>4975</v>
      </c>
      <c r="K74">
        <v>88</v>
      </c>
      <c r="L74" t="s">
        <v>59</v>
      </c>
      <c r="M74">
        <v>5</v>
      </c>
      <c r="N74" t="str">
        <f>HYPERLINK("Gene3671-zp_tree_all.dnd", "Gene3671-tree")</f>
        <v>Gene3671-tree</v>
      </c>
      <c r="O74">
        <v>0</v>
      </c>
      <c r="P74">
        <v>4</v>
      </c>
      <c r="Q74">
        <v>0</v>
      </c>
      <c r="R74">
        <v>4</v>
      </c>
      <c r="S74">
        <v>1</v>
      </c>
      <c r="T74" t="s">
        <v>62</v>
      </c>
      <c r="U74" t="s">
        <v>60</v>
      </c>
      <c r="V74" t="s">
        <v>62</v>
      </c>
      <c r="W74" t="s">
        <v>62</v>
      </c>
      <c r="X74">
        <v>0</v>
      </c>
      <c r="Y74">
        <v>0</v>
      </c>
      <c r="Z74">
        <v>7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7</v>
      </c>
      <c r="AK74">
        <v>0</v>
      </c>
      <c r="AL74">
        <v>3</v>
      </c>
      <c r="AM74">
        <v>1</v>
      </c>
      <c r="AN74">
        <v>2</v>
      </c>
      <c r="AO74">
        <v>3</v>
      </c>
      <c r="AP74">
        <v>5</v>
      </c>
      <c r="AQ74">
        <v>4</v>
      </c>
      <c r="AR74" t="s">
        <v>4976</v>
      </c>
      <c r="AS74" t="s">
        <v>4977</v>
      </c>
      <c r="AT74">
        <v>0.41799999999999998</v>
      </c>
      <c r="AU74" t="s">
        <v>65</v>
      </c>
      <c r="AV74">
        <v>7</v>
      </c>
      <c r="AW74">
        <v>7</v>
      </c>
      <c r="AX74" t="s">
        <v>4978</v>
      </c>
      <c r="AY74" t="s">
        <v>4979</v>
      </c>
      <c r="AZ74" t="s">
        <v>4980</v>
      </c>
      <c r="BA74">
        <v>0.25206000000000001</v>
      </c>
      <c r="BB74">
        <v>0.94699999999999995</v>
      </c>
      <c r="BC74" t="s">
        <v>793</v>
      </c>
      <c r="BD74">
        <v>1.117</v>
      </c>
      <c r="BE74">
        <v>0.65200000000000002</v>
      </c>
    </row>
    <row r="75" spans="1:57">
      <c r="A75">
        <v>0</v>
      </c>
      <c r="B75">
        <v>0</v>
      </c>
      <c r="C75">
        <v>0</v>
      </c>
      <c r="D75">
        <v>2884</v>
      </c>
      <c r="E75" t="s">
        <v>3755</v>
      </c>
      <c r="F75" t="s">
        <v>5762</v>
      </c>
      <c r="G75" t="s">
        <v>62</v>
      </c>
      <c r="H75">
        <v>2832427</v>
      </c>
      <c r="I75">
        <v>2832690</v>
      </c>
      <c r="J75" t="s">
        <v>3756</v>
      </c>
      <c r="K75">
        <v>88</v>
      </c>
      <c r="L75" t="s">
        <v>59</v>
      </c>
      <c r="M75">
        <v>5</v>
      </c>
      <c r="N75" t="str">
        <f>HYPERLINK("Gene2884-zp_tree_all.dnd", "Gene2884-tree")</f>
        <v>Gene2884-tree</v>
      </c>
      <c r="O75">
        <v>3</v>
      </c>
      <c r="P75">
        <v>2</v>
      </c>
      <c r="Q75">
        <v>2</v>
      </c>
      <c r="R75">
        <v>2</v>
      </c>
      <c r="S75">
        <v>0.5</v>
      </c>
      <c r="T75" t="s">
        <v>217</v>
      </c>
      <c r="U75" t="s">
        <v>135</v>
      </c>
      <c r="V75" t="s">
        <v>62</v>
      </c>
      <c r="W75" t="s">
        <v>62</v>
      </c>
      <c r="X75">
        <v>0</v>
      </c>
      <c r="Y75">
        <v>0</v>
      </c>
      <c r="Z75">
        <v>3</v>
      </c>
      <c r="AA75">
        <v>0</v>
      </c>
      <c r="AB75">
        <v>0</v>
      </c>
      <c r="AC75">
        <v>0</v>
      </c>
      <c r="AD75">
        <v>0</v>
      </c>
      <c r="AE75">
        <v>2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2</v>
      </c>
      <c r="AM75">
        <v>1</v>
      </c>
      <c r="AN75">
        <v>2</v>
      </c>
      <c r="AO75">
        <v>1</v>
      </c>
      <c r="AP75">
        <v>3</v>
      </c>
      <c r="AQ75">
        <v>2</v>
      </c>
      <c r="AR75" t="s">
        <v>3757</v>
      </c>
      <c r="AS75" t="s">
        <v>3758</v>
      </c>
      <c r="AT75">
        <v>0.437</v>
      </c>
      <c r="AU75" t="s">
        <v>65</v>
      </c>
      <c r="AV75">
        <v>5</v>
      </c>
      <c r="AW75">
        <v>3</v>
      </c>
      <c r="AX75" t="s">
        <v>3759</v>
      </c>
      <c r="AY75" t="s">
        <v>3760</v>
      </c>
      <c r="AZ75" t="s">
        <v>3761</v>
      </c>
      <c r="BA75">
        <v>0.18525</v>
      </c>
      <c r="BB75">
        <v>0.97399999999999998</v>
      </c>
      <c r="BC75" t="s">
        <v>69</v>
      </c>
      <c r="BD75">
        <v>1.028</v>
      </c>
      <c r="BE75">
        <v>1.028</v>
      </c>
    </row>
    <row r="76" spans="1:57">
      <c r="A76">
        <v>0</v>
      </c>
      <c r="B76">
        <v>0</v>
      </c>
      <c r="C76">
        <v>0</v>
      </c>
      <c r="D76">
        <v>1524</v>
      </c>
      <c r="E76" t="s">
        <v>2051</v>
      </c>
      <c r="F76" t="s">
        <v>5762</v>
      </c>
      <c r="G76" t="s">
        <v>57</v>
      </c>
      <c r="H76">
        <v>1535936</v>
      </c>
      <c r="I76">
        <v>1536199</v>
      </c>
      <c r="J76" t="s">
        <v>118</v>
      </c>
      <c r="K76">
        <v>88</v>
      </c>
      <c r="L76" t="s">
        <v>83</v>
      </c>
      <c r="M76">
        <v>4</v>
      </c>
      <c r="N76" t="str">
        <f>HYPERLINK("Gene1524-zp_tree_all.dnd", "Gene1524-tree")</f>
        <v>Gene1524-tree</v>
      </c>
      <c r="O76">
        <v>2</v>
      </c>
      <c r="P76">
        <v>2</v>
      </c>
      <c r="Q76">
        <v>2</v>
      </c>
      <c r="R76">
        <v>2</v>
      </c>
      <c r="S76">
        <v>0.5</v>
      </c>
      <c r="T76" t="s">
        <v>135</v>
      </c>
      <c r="U76" t="s">
        <v>135</v>
      </c>
      <c r="V76" t="s">
        <v>62</v>
      </c>
      <c r="W76" t="s">
        <v>62</v>
      </c>
      <c r="X76">
        <v>0</v>
      </c>
      <c r="Y76">
        <v>0</v>
      </c>
      <c r="Z76">
        <v>2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2</v>
      </c>
      <c r="AK76">
        <v>0</v>
      </c>
      <c r="AL76">
        <v>2</v>
      </c>
      <c r="AM76">
        <v>1</v>
      </c>
      <c r="AN76">
        <v>12</v>
      </c>
      <c r="AO76">
        <v>1</v>
      </c>
      <c r="AP76">
        <v>0</v>
      </c>
      <c r="AQ76">
        <v>1</v>
      </c>
      <c r="AR76" t="s">
        <v>2052</v>
      </c>
      <c r="AS76" t="s">
        <v>64</v>
      </c>
      <c r="AT76">
        <v>0.81899999999999995</v>
      </c>
      <c r="AU76" t="s">
        <v>65</v>
      </c>
      <c r="AV76">
        <v>12</v>
      </c>
      <c r="AW76">
        <v>2</v>
      </c>
      <c r="AX76" t="s">
        <v>2053</v>
      </c>
      <c r="AY76" t="s">
        <v>2054</v>
      </c>
      <c r="AZ76" t="s">
        <v>2055</v>
      </c>
      <c r="BA76">
        <v>4.5069999999999999E-2</v>
      </c>
      <c r="BB76">
        <v>1</v>
      </c>
      <c r="BC76" t="s">
        <v>69</v>
      </c>
      <c r="BD76">
        <v>-0.624</v>
      </c>
      <c r="BE76">
        <v>-0.624</v>
      </c>
    </row>
    <row r="77" spans="1:57">
      <c r="A77">
        <v>0</v>
      </c>
      <c r="B77">
        <v>0</v>
      </c>
      <c r="C77">
        <v>0</v>
      </c>
      <c r="D77">
        <v>922</v>
      </c>
      <c r="E77" t="s">
        <v>1357</v>
      </c>
      <c r="F77" t="s">
        <v>5762</v>
      </c>
      <c r="G77" t="s">
        <v>57</v>
      </c>
      <c r="H77">
        <v>965909</v>
      </c>
      <c r="I77">
        <v>966175</v>
      </c>
      <c r="J77" t="s">
        <v>1358</v>
      </c>
      <c r="K77">
        <v>89</v>
      </c>
      <c r="L77" t="s">
        <v>59</v>
      </c>
      <c r="M77">
        <v>5</v>
      </c>
      <c r="N77" t="str">
        <f>HYPERLINK("Gene922-zp_tree_all.dnd", "Gene922-tree")</f>
        <v>Gene922-tree</v>
      </c>
      <c r="O77">
        <v>2</v>
      </c>
      <c r="P77">
        <v>2</v>
      </c>
      <c r="Q77">
        <v>2</v>
      </c>
      <c r="R77">
        <v>2</v>
      </c>
      <c r="S77">
        <v>0.5</v>
      </c>
      <c r="T77" t="s">
        <v>135</v>
      </c>
      <c r="U77" t="s">
        <v>135</v>
      </c>
      <c r="V77" t="s">
        <v>62</v>
      </c>
      <c r="W77" t="s">
        <v>62</v>
      </c>
      <c r="X77">
        <v>0</v>
      </c>
      <c r="Y77">
        <v>0</v>
      </c>
      <c r="Z77">
        <v>5</v>
      </c>
      <c r="AA77">
        <v>0</v>
      </c>
      <c r="AB77">
        <v>0</v>
      </c>
      <c r="AC77">
        <v>0</v>
      </c>
      <c r="AD77">
        <v>0</v>
      </c>
      <c r="AE77">
        <v>2</v>
      </c>
      <c r="AF77">
        <v>0</v>
      </c>
      <c r="AG77">
        <v>0</v>
      </c>
      <c r="AH77">
        <v>0</v>
      </c>
      <c r="AI77">
        <v>0</v>
      </c>
      <c r="AJ77">
        <v>3</v>
      </c>
      <c r="AK77">
        <v>0</v>
      </c>
      <c r="AL77">
        <v>3</v>
      </c>
      <c r="AM77">
        <v>1</v>
      </c>
      <c r="AN77">
        <v>5</v>
      </c>
      <c r="AO77">
        <v>3</v>
      </c>
      <c r="AP77">
        <v>7</v>
      </c>
      <c r="AQ77">
        <v>2</v>
      </c>
      <c r="AR77" t="s">
        <v>1359</v>
      </c>
      <c r="AS77" t="s">
        <v>1360</v>
      </c>
      <c r="AT77">
        <v>1.2769999999999999</v>
      </c>
      <c r="AU77" t="s">
        <v>65</v>
      </c>
      <c r="AV77">
        <v>12</v>
      </c>
      <c r="AW77">
        <v>5</v>
      </c>
      <c r="AX77" t="s">
        <v>1361</v>
      </c>
      <c r="AY77" t="s">
        <v>1362</v>
      </c>
      <c r="AZ77" t="s">
        <v>1363</v>
      </c>
      <c r="BA77">
        <v>0.10141</v>
      </c>
      <c r="BB77">
        <v>1</v>
      </c>
      <c r="BC77" t="s">
        <v>69</v>
      </c>
      <c r="BD77">
        <v>0.39600000000000002</v>
      </c>
      <c r="BE77">
        <v>0.39600000000000002</v>
      </c>
    </row>
    <row r="78" spans="1:57">
      <c r="A78">
        <v>0</v>
      </c>
      <c r="B78">
        <v>0</v>
      </c>
      <c r="C78">
        <v>0</v>
      </c>
      <c r="D78">
        <v>3163</v>
      </c>
      <c r="E78" t="s">
        <v>4292</v>
      </c>
      <c r="F78" t="s">
        <v>5762</v>
      </c>
      <c r="G78" t="s">
        <v>62</v>
      </c>
      <c r="H78">
        <v>3119568</v>
      </c>
      <c r="I78">
        <v>3119837</v>
      </c>
      <c r="J78" t="s">
        <v>118</v>
      </c>
      <c r="K78">
        <v>90</v>
      </c>
      <c r="L78" t="s">
        <v>83</v>
      </c>
      <c r="M78">
        <v>4</v>
      </c>
      <c r="N78" t="str">
        <f>HYPERLINK("Gene3163-zp_tree_all.dnd", "Gene3163-tree")</f>
        <v>Gene3163-tree</v>
      </c>
      <c r="O78">
        <v>3</v>
      </c>
      <c r="P78">
        <v>1</v>
      </c>
      <c r="Q78">
        <v>3</v>
      </c>
      <c r="R78">
        <v>1</v>
      </c>
      <c r="S78">
        <v>0.25</v>
      </c>
      <c r="T78" t="s">
        <v>84</v>
      </c>
      <c r="U78" t="s">
        <v>61</v>
      </c>
      <c r="V78" t="s">
        <v>62</v>
      </c>
      <c r="W78" t="s">
        <v>62</v>
      </c>
      <c r="X78">
        <v>0</v>
      </c>
      <c r="Y78">
        <v>0</v>
      </c>
      <c r="Z78">
        <v>4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4</v>
      </c>
      <c r="AK78">
        <v>0</v>
      </c>
      <c r="AL78">
        <v>3</v>
      </c>
      <c r="AM78">
        <v>1</v>
      </c>
      <c r="AN78">
        <v>8</v>
      </c>
      <c r="AO78">
        <v>4</v>
      </c>
      <c r="AP78">
        <v>2</v>
      </c>
      <c r="AQ78">
        <v>0</v>
      </c>
      <c r="AR78" t="s">
        <v>4293</v>
      </c>
      <c r="AS78" t="s">
        <v>64</v>
      </c>
      <c r="AT78">
        <v>0.61299999999999999</v>
      </c>
      <c r="AU78" t="s">
        <v>65</v>
      </c>
      <c r="AV78">
        <v>10</v>
      </c>
      <c r="AW78">
        <v>4</v>
      </c>
      <c r="AX78" t="s">
        <v>4294</v>
      </c>
      <c r="AY78" t="s">
        <v>4295</v>
      </c>
      <c r="AZ78" t="s">
        <v>4296</v>
      </c>
      <c r="BA78">
        <v>8.8679999999999995E-2</v>
      </c>
      <c r="BB78">
        <v>1</v>
      </c>
      <c r="BC78" t="s">
        <v>69</v>
      </c>
      <c r="BD78">
        <v>-0.40300000000000002</v>
      </c>
      <c r="BE78">
        <v>-0.40300000000000002</v>
      </c>
    </row>
    <row r="79" spans="1:57">
      <c r="A79">
        <v>0</v>
      </c>
      <c r="B79">
        <v>0</v>
      </c>
      <c r="C79">
        <v>0</v>
      </c>
      <c r="D79">
        <v>1560</v>
      </c>
      <c r="E79" t="s">
        <v>2119</v>
      </c>
      <c r="F79" t="s">
        <v>5762</v>
      </c>
      <c r="G79" t="s">
        <v>57</v>
      </c>
      <c r="H79">
        <v>1568924</v>
      </c>
      <c r="I79">
        <v>1569193</v>
      </c>
      <c r="J79" t="s">
        <v>170</v>
      </c>
      <c r="K79">
        <v>90</v>
      </c>
      <c r="L79" t="s">
        <v>59</v>
      </c>
      <c r="M79">
        <v>5</v>
      </c>
      <c r="N79" t="str">
        <f>HYPERLINK("Gene1560-zp_tree_all.dnd", "Gene1560-tree")</f>
        <v>Gene1560-tree</v>
      </c>
      <c r="O79">
        <v>2</v>
      </c>
      <c r="P79">
        <v>2</v>
      </c>
      <c r="Q79">
        <v>2</v>
      </c>
      <c r="R79">
        <v>2</v>
      </c>
      <c r="S79">
        <v>0.5</v>
      </c>
      <c r="T79" t="s">
        <v>135</v>
      </c>
      <c r="U79" t="s">
        <v>135</v>
      </c>
      <c r="V79" t="s">
        <v>62</v>
      </c>
      <c r="W79" t="s">
        <v>62</v>
      </c>
      <c r="X79">
        <v>0</v>
      </c>
      <c r="Y79">
        <v>0</v>
      </c>
      <c r="Z79">
        <v>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2</v>
      </c>
      <c r="AK79">
        <v>0</v>
      </c>
      <c r="AL79">
        <v>3</v>
      </c>
      <c r="AM79">
        <v>1</v>
      </c>
      <c r="AN79">
        <v>11</v>
      </c>
      <c r="AO79">
        <v>2</v>
      </c>
      <c r="AP79">
        <v>1</v>
      </c>
      <c r="AQ79">
        <v>0</v>
      </c>
      <c r="AR79" t="s">
        <v>2120</v>
      </c>
      <c r="AS79" t="s">
        <v>64</v>
      </c>
      <c r="AT79">
        <v>1.0669999999999999</v>
      </c>
      <c r="AU79" t="s">
        <v>65</v>
      </c>
      <c r="AV79">
        <v>12</v>
      </c>
      <c r="AW79">
        <v>2</v>
      </c>
      <c r="AX79" t="s">
        <v>2121</v>
      </c>
      <c r="AY79" t="s">
        <v>2122</v>
      </c>
      <c r="AZ79" t="s">
        <v>2123</v>
      </c>
      <c r="BA79">
        <v>3.9570000000000001E-2</v>
      </c>
      <c r="BB79">
        <v>1</v>
      </c>
      <c r="BC79" t="s">
        <v>69</v>
      </c>
      <c r="BD79">
        <v>1.171</v>
      </c>
      <c r="BE79">
        <v>1.171</v>
      </c>
    </row>
    <row r="80" spans="1:57">
      <c r="A80">
        <v>0</v>
      </c>
      <c r="B80">
        <v>0</v>
      </c>
      <c r="C80">
        <v>0</v>
      </c>
      <c r="D80">
        <v>1601</v>
      </c>
      <c r="E80" t="s">
        <v>2262</v>
      </c>
      <c r="F80" t="s">
        <v>5762</v>
      </c>
      <c r="G80" t="s">
        <v>57</v>
      </c>
      <c r="H80">
        <v>1611321</v>
      </c>
      <c r="I80">
        <v>1611590</v>
      </c>
      <c r="J80" t="s">
        <v>2263</v>
      </c>
      <c r="K80">
        <v>90</v>
      </c>
      <c r="L80" t="s">
        <v>59</v>
      </c>
      <c r="M80">
        <v>5</v>
      </c>
      <c r="N80" t="str">
        <f>HYPERLINK("Gene1601-zp_tree_all.dnd", "Gene1601-tree")</f>
        <v>Gene1601-tree</v>
      </c>
      <c r="O80">
        <v>4</v>
      </c>
      <c r="P80">
        <v>1</v>
      </c>
      <c r="Q80">
        <v>4</v>
      </c>
      <c r="R80">
        <v>1</v>
      </c>
      <c r="S80">
        <v>0.2</v>
      </c>
      <c r="T80" t="s">
        <v>60</v>
      </c>
      <c r="U80" t="s">
        <v>61</v>
      </c>
      <c r="V80" t="s">
        <v>62</v>
      </c>
      <c r="W80" t="s">
        <v>62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4</v>
      </c>
      <c r="AM80">
        <v>2</v>
      </c>
      <c r="AN80">
        <v>9</v>
      </c>
      <c r="AO80">
        <v>1</v>
      </c>
      <c r="AP80">
        <v>7</v>
      </c>
      <c r="AQ80">
        <v>0</v>
      </c>
      <c r="AR80" t="s">
        <v>2264</v>
      </c>
      <c r="AS80" t="s">
        <v>64</v>
      </c>
      <c r="AT80">
        <v>0.56200000000000006</v>
      </c>
      <c r="AU80" t="s">
        <v>65</v>
      </c>
      <c r="AV80">
        <v>16</v>
      </c>
      <c r="AW80">
        <v>1</v>
      </c>
      <c r="AX80" t="s">
        <v>2265</v>
      </c>
      <c r="AY80" t="s">
        <v>2266</v>
      </c>
      <c r="AZ80" t="s">
        <v>2267</v>
      </c>
      <c r="BA80">
        <v>1.52E-2</v>
      </c>
      <c r="BB80">
        <v>1</v>
      </c>
      <c r="BC80" t="s">
        <v>69</v>
      </c>
      <c r="BD80">
        <v>3.5999999999999997E-2</v>
      </c>
      <c r="BE80">
        <v>3.5999999999999997E-2</v>
      </c>
    </row>
    <row r="81" spans="1:57">
      <c r="A81">
        <v>0</v>
      </c>
      <c r="B81">
        <v>0</v>
      </c>
      <c r="C81">
        <v>0</v>
      </c>
      <c r="D81">
        <v>1660</v>
      </c>
      <c r="E81" t="s">
        <v>2403</v>
      </c>
      <c r="F81" t="s">
        <v>5762</v>
      </c>
      <c r="G81" t="s">
        <v>57</v>
      </c>
      <c r="H81">
        <v>1673620</v>
      </c>
      <c r="I81">
        <v>1673889</v>
      </c>
      <c r="J81" t="s">
        <v>2404</v>
      </c>
      <c r="K81">
        <v>90</v>
      </c>
      <c r="L81" t="s">
        <v>59</v>
      </c>
      <c r="M81">
        <v>5</v>
      </c>
      <c r="N81" t="str">
        <f>HYPERLINK("Gene1660-zp_tree_all.dnd", "Gene1660-tree")</f>
        <v>Gene1660-tree</v>
      </c>
      <c r="O81">
        <v>4</v>
      </c>
      <c r="P81">
        <v>0</v>
      </c>
      <c r="Q81">
        <v>4</v>
      </c>
      <c r="R81">
        <v>0</v>
      </c>
      <c r="S81">
        <v>0</v>
      </c>
      <c r="T81" t="s">
        <v>60</v>
      </c>
      <c r="U81" t="s">
        <v>62</v>
      </c>
      <c r="V81" t="s">
        <v>62</v>
      </c>
      <c r="W81" t="s">
        <v>62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2</v>
      </c>
      <c r="AM81">
        <v>1</v>
      </c>
      <c r="AN81">
        <v>2</v>
      </c>
      <c r="AO81">
        <v>0</v>
      </c>
      <c r="AP81">
        <v>1</v>
      </c>
      <c r="AQ81">
        <v>0</v>
      </c>
      <c r="AR81" t="s">
        <v>64</v>
      </c>
      <c r="AS81" t="s">
        <v>64</v>
      </c>
      <c r="AT81">
        <v>0</v>
      </c>
      <c r="AU81" t="s">
        <v>65</v>
      </c>
      <c r="AV81">
        <v>3</v>
      </c>
      <c r="AW81">
        <v>0</v>
      </c>
      <c r="AX81" t="s">
        <v>2405</v>
      </c>
      <c r="AY81" t="s">
        <v>2406</v>
      </c>
      <c r="AZ81" t="s">
        <v>64</v>
      </c>
      <c r="BA81">
        <v>0</v>
      </c>
      <c r="BB81">
        <v>1</v>
      </c>
      <c r="BC81" t="s">
        <v>69</v>
      </c>
      <c r="BD81">
        <v>-0.17499999999999999</v>
      </c>
      <c r="BE81">
        <v>-0.17499999999999999</v>
      </c>
    </row>
    <row r="82" spans="1:57">
      <c r="A82">
        <v>0</v>
      </c>
      <c r="B82">
        <v>0</v>
      </c>
      <c r="C82">
        <v>0</v>
      </c>
      <c r="D82">
        <v>1723</v>
      </c>
      <c r="E82" t="s">
        <v>2585</v>
      </c>
      <c r="F82" t="s">
        <v>5762</v>
      </c>
      <c r="G82" t="s">
        <v>57</v>
      </c>
      <c r="H82">
        <v>1733410</v>
      </c>
      <c r="I82">
        <v>1733682</v>
      </c>
      <c r="J82" t="s">
        <v>2586</v>
      </c>
      <c r="K82">
        <v>91</v>
      </c>
      <c r="L82" t="s">
        <v>59</v>
      </c>
      <c r="M82">
        <v>5</v>
      </c>
      <c r="N82" t="str">
        <f>HYPERLINK("Gene1723-zp_tree_all.dnd", "Gene1723-tree")</f>
        <v>Gene1723-tree</v>
      </c>
      <c r="O82">
        <v>5</v>
      </c>
      <c r="P82">
        <v>0</v>
      </c>
      <c r="Q82">
        <v>5</v>
      </c>
      <c r="R82">
        <v>0</v>
      </c>
      <c r="S82">
        <v>0</v>
      </c>
      <c r="T82" t="s">
        <v>98</v>
      </c>
      <c r="U82" t="s">
        <v>62</v>
      </c>
      <c r="V82" t="s">
        <v>62</v>
      </c>
      <c r="W82" t="s">
        <v>62</v>
      </c>
      <c r="X82">
        <v>0</v>
      </c>
      <c r="Y82">
        <v>0</v>
      </c>
      <c r="Z82">
        <v>3</v>
      </c>
      <c r="AA82">
        <v>0</v>
      </c>
      <c r="AB82">
        <v>0</v>
      </c>
      <c r="AC82">
        <v>0</v>
      </c>
      <c r="AD82">
        <v>0</v>
      </c>
      <c r="AE82">
        <v>3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2</v>
      </c>
      <c r="AM82">
        <v>2</v>
      </c>
      <c r="AN82">
        <v>2</v>
      </c>
      <c r="AO82">
        <v>0</v>
      </c>
      <c r="AP82">
        <v>3</v>
      </c>
      <c r="AQ82">
        <v>3</v>
      </c>
      <c r="AR82" t="s">
        <v>64</v>
      </c>
      <c r="AS82" t="s">
        <v>2587</v>
      </c>
      <c r="AT82">
        <v>1.2689999999999999</v>
      </c>
      <c r="AU82" t="s">
        <v>65</v>
      </c>
      <c r="AV82">
        <v>5</v>
      </c>
      <c r="AW82">
        <v>3</v>
      </c>
      <c r="AX82" t="s">
        <v>2588</v>
      </c>
      <c r="AY82" t="s">
        <v>2589</v>
      </c>
      <c r="AZ82" t="s">
        <v>2590</v>
      </c>
      <c r="BA82">
        <v>0.18285000000000001</v>
      </c>
      <c r="BB82">
        <v>0.95699999999999996</v>
      </c>
      <c r="BC82" t="s">
        <v>69</v>
      </c>
      <c r="BD82">
        <v>1.028</v>
      </c>
      <c r="BE82">
        <v>1.028</v>
      </c>
    </row>
    <row r="83" spans="1:57">
      <c r="A83">
        <v>0</v>
      </c>
      <c r="B83">
        <v>0</v>
      </c>
      <c r="C83">
        <v>0</v>
      </c>
      <c r="D83">
        <v>3349</v>
      </c>
      <c r="E83" t="s">
        <v>4575</v>
      </c>
      <c r="F83" t="s">
        <v>5762</v>
      </c>
      <c r="G83" t="s">
        <v>62</v>
      </c>
      <c r="H83">
        <v>3319289</v>
      </c>
      <c r="I83">
        <v>3319561</v>
      </c>
      <c r="J83" t="s">
        <v>118</v>
      </c>
      <c r="K83">
        <v>91</v>
      </c>
      <c r="L83" t="s">
        <v>59</v>
      </c>
      <c r="M83">
        <v>5</v>
      </c>
      <c r="N83" t="str">
        <f>HYPERLINK("Gene3349-zp_tree_all.dnd", "Gene3349-tree")</f>
        <v>Gene3349-tree</v>
      </c>
      <c r="O83">
        <v>4</v>
      </c>
      <c r="P83">
        <v>1</v>
      </c>
      <c r="Q83">
        <v>3</v>
      </c>
      <c r="R83">
        <v>1</v>
      </c>
      <c r="S83">
        <v>0.25</v>
      </c>
      <c r="T83" t="s">
        <v>119</v>
      </c>
      <c r="U83" t="s">
        <v>61</v>
      </c>
      <c r="V83" t="s">
        <v>62</v>
      </c>
      <c r="W83" t="s">
        <v>62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0</v>
      </c>
      <c r="AL83">
        <v>3</v>
      </c>
      <c r="AM83">
        <v>1</v>
      </c>
      <c r="AN83">
        <v>5</v>
      </c>
      <c r="AO83">
        <v>1</v>
      </c>
      <c r="AP83">
        <v>4</v>
      </c>
      <c r="AQ83">
        <v>1</v>
      </c>
      <c r="AR83" t="s">
        <v>4576</v>
      </c>
      <c r="AS83" t="s">
        <v>4577</v>
      </c>
      <c r="AT83">
        <v>0.16400000000000001</v>
      </c>
      <c r="AU83" t="s">
        <v>65</v>
      </c>
      <c r="AV83">
        <v>9</v>
      </c>
      <c r="AW83">
        <v>2</v>
      </c>
      <c r="AX83" t="s">
        <v>4578</v>
      </c>
      <c r="AY83" t="s">
        <v>4579</v>
      </c>
      <c r="AZ83" t="s">
        <v>4580</v>
      </c>
      <c r="BA83">
        <v>5.5870000000000003E-2</v>
      </c>
      <c r="BB83">
        <v>1</v>
      </c>
      <c r="BC83" t="s">
        <v>69</v>
      </c>
      <c r="BD83">
        <v>0.59599999999999997</v>
      </c>
      <c r="BE83">
        <v>0.59599999999999997</v>
      </c>
    </row>
    <row r="84" spans="1:57">
      <c r="A84">
        <v>0</v>
      </c>
      <c r="B84">
        <v>0</v>
      </c>
      <c r="C84">
        <v>0</v>
      </c>
      <c r="D84">
        <v>1544</v>
      </c>
      <c r="E84" t="s">
        <v>2078</v>
      </c>
      <c r="F84" t="s">
        <v>5762</v>
      </c>
      <c r="G84" t="s">
        <v>57</v>
      </c>
      <c r="H84">
        <v>1552412</v>
      </c>
      <c r="I84">
        <v>1552690</v>
      </c>
      <c r="J84" t="s">
        <v>170</v>
      </c>
      <c r="K84">
        <v>93</v>
      </c>
      <c r="L84" t="s">
        <v>59</v>
      </c>
      <c r="M84">
        <v>5</v>
      </c>
      <c r="N84" t="str">
        <f>HYPERLINK("Gene1544-zp_tree_all.dnd", "Gene1544-tree")</f>
        <v>Gene1544-tree</v>
      </c>
      <c r="O84">
        <v>3</v>
      </c>
      <c r="P84">
        <v>1</v>
      </c>
      <c r="Q84">
        <v>3</v>
      </c>
      <c r="R84">
        <v>1</v>
      </c>
      <c r="S84">
        <v>0.25</v>
      </c>
      <c r="T84" t="s">
        <v>84</v>
      </c>
      <c r="U84" t="s">
        <v>61</v>
      </c>
      <c r="V84" t="s">
        <v>62</v>
      </c>
      <c r="W84" t="s">
        <v>62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3</v>
      </c>
      <c r="AM84">
        <v>0</v>
      </c>
      <c r="AN84">
        <v>4</v>
      </c>
      <c r="AO84">
        <v>1</v>
      </c>
      <c r="AP84">
        <v>0</v>
      </c>
      <c r="AQ84">
        <v>0</v>
      </c>
      <c r="AR84" t="s">
        <v>2079</v>
      </c>
      <c r="AS84" t="s">
        <v>64</v>
      </c>
      <c r="AT84">
        <v>0.81299999999999994</v>
      </c>
      <c r="AU84" t="s">
        <v>65</v>
      </c>
      <c r="AV84">
        <v>4</v>
      </c>
      <c r="AW84">
        <v>1</v>
      </c>
      <c r="AX84" t="s">
        <v>2080</v>
      </c>
      <c r="AY84" t="s">
        <v>2081</v>
      </c>
      <c r="AZ84" t="s">
        <v>2082</v>
      </c>
      <c r="BA84">
        <v>7.356E-2</v>
      </c>
      <c r="BB84">
        <v>1</v>
      </c>
      <c r="BC84" t="s">
        <v>69</v>
      </c>
      <c r="BD84">
        <v>0.95699999999999996</v>
      </c>
      <c r="BE84">
        <v>-0.41</v>
      </c>
    </row>
    <row r="85" spans="1:57">
      <c r="A85">
        <v>0</v>
      </c>
      <c r="B85">
        <v>0</v>
      </c>
      <c r="C85">
        <v>2</v>
      </c>
      <c r="D85">
        <v>2850</v>
      </c>
      <c r="E85" t="s">
        <v>3682</v>
      </c>
      <c r="F85" t="s">
        <v>5762</v>
      </c>
      <c r="G85" t="s">
        <v>62</v>
      </c>
      <c r="H85">
        <v>2797103</v>
      </c>
      <c r="I85">
        <v>2797381</v>
      </c>
      <c r="J85" t="s">
        <v>3683</v>
      </c>
      <c r="K85">
        <v>93</v>
      </c>
      <c r="L85" t="s">
        <v>59</v>
      </c>
      <c r="M85">
        <v>5</v>
      </c>
      <c r="N85" t="str">
        <f>HYPERLINK("Gene2850-zp_tree_all.dnd", "Gene2850-tree")</f>
        <v>Gene2850-tree</v>
      </c>
      <c r="O85">
        <v>3</v>
      </c>
      <c r="P85">
        <v>2</v>
      </c>
      <c r="Q85">
        <v>3</v>
      </c>
      <c r="R85">
        <v>2</v>
      </c>
      <c r="S85">
        <v>0.4</v>
      </c>
      <c r="T85" t="s">
        <v>84</v>
      </c>
      <c r="U85" t="s">
        <v>135</v>
      </c>
      <c r="V85" t="s">
        <v>62</v>
      </c>
      <c r="W85" t="s">
        <v>62</v>
      </c>
      <c r="X85">
        <v>1</v>
      </c>
      <c r="Y85">
        <v>2</v>
      </c>
      <c r="Z85">
        <v>2</v>
      </c>
      <c r="AA85">
        <v>0.5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3</v>
      </c>
      <c r="AK85">
        <v>0</v>
      </c>
      <c r="AL85">
        <v>5</v>
      </c>
      <c r="AM85">
        <v>2</v>
      </c>
      <c r="AN85">
        <v>10</v>
      </c>
      <c r="AO85">
        <v>3</v>
      </c>
      <c r="AP85">
        <v>4</v>
      </c>
      <c r="AQ85">
        <v>1</v>
      </c>
      <c r="AR85" t="s">
        <v>3684</v>
      </c>
      <c r="AS85" t="s">
        <v>3685</v>
      </c>
      <c r="AT85">
        <v>0.153</v>
      </c>
      <c r="AU85" t="s">
        <v>65</v>
      </c>
      <c r="AV85">
        <v>14</v>
      </c>
      <c r="AW85">
        <v>4</v>
      </c>
      <c r="AX85" t="s">
        <v>3686</v>
      </c>
      <c r="AY85" t="s">
        <v>3687</v>
      </c>
      <c r="AZ85" t="s">
        <v>3688</v>
      </c>
      <c r="BA85">
        <v>5.4809999999999998E-2</v>
      </c>
      <c r="BB85">
        <v>1</v>
      </c>
      <c r="BC85" t="s">
        <v>69</v>
      </c>
      <c r="BD85">
        <v>-7.5999999999999998E-2</v>
      </c>
      <c r="BE85">
        <v>-1.0309999999999999</v>
      </c>
    </row>
    <row r="86" spans="1:57">
      <c r="A86">
        <v>0</v>
      </c>
      <c r="B86">
        <v>0</v>
      </c>
      <c r="C86">
        <v>0</v>
      </c>
      <c r="D86">
        <v>2639</v>
      </c>
      <c r="E86" t="s">
        <v>3525</v>
      </c>
      <c r="F86" t="s">
        <v>5762</v>
      </c>
      <c r="G86" t="s">
        <v>62</v>
      </c>
      <c r="H86">
        <v>2616670</v>
      </c>
      <c r="I86">
        <v>2616948</v>
      </c>
      <c r="J86" t="s">
        <v>3526</v>
      </c>
      <c r="K86">
        <v>93</v>
      </c>
      <c r="L86" t="s">
        <v>59</v>
      </c>
      <c r="M86">
        <v>5</v>
      </c>
      <c r="N86" t="str">
        <f>HYPERLINK("Gene2639-zp_tree_all.dnd", "Gene2639-tree")</f>
        <v>Gene2639-tree</v>
      </c>
      <c r="O86">
        <v>5</v>
      </c>
      <c r="P86">
        <v>0</v>
      </c>
      <c r="Q86">
        <v>4</v>
      </c>
      <c r="R86">
        <v>0</v>
      </c>
      <c r="S86">
        <v>0</v>
      </c>
      <c r="T86" t="s">
        <v>150</v>
      </c>
      <c r="U86" t="s">
        <v>62</v>
      </c>
      <c r="V86" t="s">
        <v>62</v>
      </c>
      <c r="W86" t="s">
        <v>62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4</v>
      </c>
      <c r="AM86">
        <v>1</v>
      </c>
      <c r="AN86">
        <v>9</v>
      </c>
      <c r="AO86">
        <v>0</v>
      </c>
      <c r="AP86">
        <v>3</v>
      </c>
      <c r="AQ86">
        <v>0</v>
      </c>
      <c r="AR86" t="s">
        <v>64</v>
      </c>
      <c r="AS86" t="s">
        <v>64</v>
      </c>
      <c r="AT86">
        <v>0</v>
      </c>
      <c r="AU86" t="s">
        <v>65</v>
      </c>
      <c r="AV86">
        <v>12</v>
      </c>
      <c r="AW86">
        <v>0</v>
      </c>
      <c r="AX86" t="s">
        <v>3527</v>
      </c>
      <c r="AY86" t="s">
        <v>3528</v>
      </c>
      <c r="AZ86" t="s">
        <v>3529</v>
      </c>
      <c r="BA86">
        <v>6.8999999999999999E-3</v>
      </c>
      <c r="BB86">
        <v>1</v>
      </c>
      <c r="BC86" t="s">
        <v>69</v>
      </c>
      <c r="BD86">
        <v>-0.20100000000000001</v>
      </c>
      <c r="BE86">
        <v>-0.20100000000000001</v>
      </c>
    </row>
    <row r="87" spans="1:57">
      <c r="A87">
        <v>0</v>
      </c>
      <c r="B87">
        <v>0</v>
      </c>
      <c r="C87">
        <v>0</v>
      </c>
      <c r="D87">
        <v>3416</v>
      </c>
      <c r="E87" t="s">
        <v>4688</v>
      </c>
      <c r="F87" t="s">
        <v>5762</v>
      </c>
      <c r="G87" t="s">
        <v>62</v>
      </c>
      <c r="H87">
        <v>3378803</v>
      </c>
      <c r="I87">
        <v>3379087</v>
      </c>
      <c r="J87" t="s">
        <v>118</v>
      </c>
      <c r="K87">
        <v>95</v>
      </c>
      <c r="L87" t="s">
        <v>59</v>
      </c>
      <c r="M87">
        <v>5</v>
      </c>
      <c r="N87" t="str">
        <f>HYPERLINK("Gene3416-zp_tree_all.dnd", "Gene3416-tree")</f>
        <v>Gene3416-tree</v>
      </c>
      <c r="O87">
        <v>4</v>
      </c>
      <c r="P87">
        <v>1</v>
      </c>
      <c r="Q87">
        <v>3</v>
      </c>
      <c r="R87">
        <v>1</v>
      </c>
      <c r="S87">
        <v>0.25</v>
      </c>
      <c r="T87" t="s">
        <v>119</v>
      </c>
      <c r="U87" t="s">
        <v>61</v>
      </c>
      <c r="V87" t="s">
        <v>62</v>
      </c>
      <c r="W87" t="s">
        <v>62</v>
      </c>
      <c r="X87">
        <v>0</v>
      </c>
      <c r="Y87">
        <v>0</v>
      </c>
      <c r="Z87">
        <v>4</v>
      </c>
      <c r="AA87">
        <v>0</v>
      </c>
      <c r="AB87">
        <v>0</v>
      </c>
      <c r="AC87">
        <v>0</v>
      </c>
      <c r="AD87">
        <v>0</v>
      </c>
      <c r="AE87">
        <v>3</v>
      </c>
      <c r="AF87">
        <v>0</v>
      </c>
      <c r="AG87">
        <v>0</v>
      </c>
      <c r="AH87">
        <v>0</v>
      </c>
      <c r="AI87">
        <v>0</v>
      </c>
      <c r="AJ87">
        <v>1</v>
      </c>
      <c r="AK87">
        <v>0</v>
      </c>
      <c r="AL87">
        <v>4</v>
      </c>
      <c r="AM87">
        <v>1</v>
      </c>
      <c r="AN87">
        <v>8</v>
      </c>
      <c r="AO87">
        <v>1</v>
      </c>
      <c r="AP87">
        <v>3</v>
      </c>
      <c r="AQ87">
        <v>3</v>
      </c>
      <c r="AR87" t="s">
        <v>4689</v>
      </c>
      <c r="AS87" t="s">
        <v>4690</v>
      </c>
      <c r="AT87">
        <v>4.4569999999999999</v>
      </c>
      <c r="AU87" t="s">
        <v>65</v>
      </c>
      <c r="AV87">
        <v>11</v>
      </c>
      <c r="AW87">
        <v>4</v>
      </c>
      <c r="AX87" t="s">
        <v>4691</v>
      </c>
      <c r="AY87" t="s">
        <v>4692</v>
      </c>
      <c r="AZ87" t="s">
        <v>4693</v>
      </c>
      <c r="BA87">
        <v>0.10298</v>
      </c>
      <c r="BB87">
        <v>1</v>
      </c>
      <c r="BC87" t="s">
        <v>69</v>
      </c>
      <c r="BD87">
        <v>0.73799999999999999</v>
      </c>
      <c r="BE87">
        <v>0.30399999999999999</v>
      </c>
    </row>
    <row r="88" spans="1:57">
      <c r="A88">
        <v>0</v>
      </c>
      <c r="B88">
        <v>0</v>
      </c>
      <c r="C88">
        <v>0</v>
      </c>
      <c r="D88">
        <v>118</v>
      </c>
      <c r="E88" t="s">
        <v>474</v>
      </c>
      <c r="F88" t="s">
        <v>5762</v>
      </c>
      <c r="G88" t="s">
        <v>57</v>
      </c>
      <c r="H88">
        <v>136992</v>
      </c>
      <c r="I88">
        <v>137276</v>
      </c>
      <c r="J88" t="s">
        <v>475</v>
      </c>
      <c r="K88">
        <v>95</v>
      </c>
      <c r="L88" t="s">
        <v>59</v>
      </c>
      <c r="M88">
        <v>5</v>
      </c>
      <c r="N88" t="str">
        <f>HYPERLINK("Gene118-zp_tree_all.dnd", "Gene118-tree")</f>
        <v>Gene118-tree</v>
      </c>
      <c r="O88">
        <v>5</v>
      </c>
      <c r="P88">
        <v>0</v>
      </c>
      <c r="Q88">
        <v>4</v>
      </c>
      <c r="R88">
        <v>0</v>
      </c>
      <c r="S88">
        <v>0</v>
      </c>
      <c r="T88" t="s">
        <v>150</v>
      </c>
      <c r="U88" t="s">
        <v>62</v>
      </c>
      <c r="V88" t="s">
        <v>62</v>
      </c>
      <c r="W88" t="s">
        <v>62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2</v>
      </c>
      <c r="AM88">
        <v>1</v>
      </c>
      <c r="AN88">
        <v>4</v>
      </c>
      <c r="AO88">
        <v>0</v>
      </c>
      <c r="AP88">
        <v>0</v>
      </c>
      <c r="AQ88">
        <v>1</v>
      </c>
      <c r="AR88" t="s">
        <v>64</v>
      </c>
      <c r="AS88" t="s">
        <v>64</v>
      </c>
      <c r="AT88">
        <v>0</v>
      </c>
      <c r="AU88" t="s">
        <v>65</v>
      </c>
      <c r="AV88">
        <v>4</v>
      </c>
      <c r="AW88">
        <v>1</v>
      </c>
      <c r="AX88" t="s">
        <v>476</v>
      </c>
      <c r="AY88" t="s">
        <v>477</v>
      </c>
      <c r="AZ88" t="s">
        <v>478</v>
      </c>
      <c r="BA88">
        <v>9.1819999999999999E-2</v>
      </c>
      <c r="BB88">
        <v>0.98699999999999999</v>
      </c>
      <c r="BC88" t="s">
        <v>69</v>
      </c>
      <c r="BD88">
        <v>1.1240000000000001</v>
      </c>
      <c r="BE88">
        <v>1.1240000000000001</v>
      </c>
    </row>
    <row r="89" spans="1:57">
      <c r="A89">
        <v>0</v>
      </c>
      <c r="B89">
        <v>0</v>
      </c>
      <c r="C89">
        <v>0</v>
      </c>
      <c r="D89">
        <v>2669</v>
      </c>
      <c r="E89" t="s">
        <v>3598</v>
      </c>
      <c r="F89" t="s">
        <v>5762</v>
      </c>
      <c r="G89" t="s">
        <v>62</v>
      </c>
      <c r="H89">
        <v>2644349</v>
      </c>
      <c r="I89">
        <v>2644636</v>
      </c>
      <c r="J89" t="s">
        <v>3599</v>
      </c>
      <c r="K89">
        <v>96</v>
      </c>
      <c r="L89" t="s">
        <v>59</v>
      </c>
      <c r="M89">
        <v>5</v>
      </c>
      <c r="N89" t="str">
        <f>HYPERLINK("Gene2669-zp_tree_all.dnd", "Gene2669-tree")</f>
        <v>Gene2669-tree</v>
      </c>
      <c r="O89">
        <v>3</v>
      </c>
      <c r="P89">
        <v>2</v>
      </c>
      <c r="Q89">
        <v>2</v>
      </c>
      <c r="R89">
        <v>2</v>
      </c>
      <c r="S89">
        <v>0.5</v>
      </c>
      <c r="T89" t="s">
        <v>217</v>
      </c>
      <c r="U89" t="s">
        <v>135</v>
      </c>
      <c r="V89" t="s">
        <v>62</v>
      </c>
      <c r="W89" t="s">
        <v>62</v>
      </c>
      <c r="X89">
        <v>0</v>
      </c>
      <c r="Y89">
        <v>0</v>
      </c>
      <c r="Z89">
        <v>2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2</v>
      </c>
      <c r="AK89">
        <v>0</v>
      </c>
      <c r="AL89">
        <v>3</v>
      </c>
      <c r="AM89">
        <v>1</v>
      </c>
      <c r="AN89">
        <v>5</v>
      </c>
      <c r="AO89">
        <v>2</v>
      </c>
      <c r="AP89">
        <v>4</v>
      </c>
      <c r="AQ89">
        <v>0</v>
      </c>
      <c r="AR89" t="s">
        <v>3600</v>
      </c>
      <c r="AS89" t="s">
        <v>64</v>
      </c>
      <c r="AT89">
        <v>2.9750000000000001</v>
      </c>
      <c r="AU89" t="s">
        <v>286</v>
      </c>
      <c r="AV89">
        <v>9</v>
      </c>
      <c r="AW89">
        <v>2</v>
      </c>
      <c r="AX89" t="s">
        <v>3601</v>
      </c>
      <c r="AY89" t="s">
        <v>3602</v>
      </c>
      <c r="AZ89" t="s">
        <v>3603</v>
      </c>
      <c r="BA89">
        <v>5.7209999999999997E-2</v>
      </c>
      <c r="BB89">
        <v>1</v>
      </c>
      <c r="BC89" t="s">
        <v>69</v>
      </c>
      <c r="BD89">
        <v>0.625</v>
      </c>
      <c r="BE89">
        <v>-0.19700000000000001</v>
      </c>
    </row>
    <row r="90" spans="1:57">
      <c r="A90">
        <v>0</v>
      </c>
      <c r="B90">
        <v>0</v>
      </c>
      <c r="C90">
        <v>0</v>
      </c>
      <c r="D90">
        <v>702</v>
      </c>
      <c r="E90" t="s">
        <v>1156</v>
      </c>
      <c r="F90" t="s">
        <v>5762</v>
      </c>
      <c r="G90" t="s">
        <v>57</v>
      </c>
      <c r="H90">
        <v>728732</v>
      </c>
      <c r="I90">
        <v>729019</v>
      </c>
      <c r="J90" t="s">
        <v>1157</v>
      </c>
      <c r="K90">
        <v>96</v>
      </c>
      <c r="L90" t="s">
        <v>59</v>
      </c>
      <c r="M90">
        <v>5</v>
      </c>
      <c r="N90" t="str">
        <f>HYPERLINK("Gene702-zp_tree_all.dnd", "Gene702-tree")</f>
        <v>Gene702-tree</v>
      </c>
      <c r="O90">
        <v>4</v>
      </c>
      <c r="P90">
        <v>0</v>
      </c>
      <c r="Q90">
        <v>4</v>
      </c>
      <c r="R90">
        <v>0</v>
      </c>
      <c r="S90">
        <v>0</v>
      </c>
      <c r="T90" t="s">
        <v>60</v>
      </c>
      <c r="U90" t="s">
        <v>62</v>
      </c>
      <c r="V90" t="s">
        <v>62</v>
      </c>
      <c r="W90" t="s">
        <v>62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2</v>
      </c>
      <c r="AM90">
        <v>1</v>
      </c>
      <c r="AN90">
        <v>2</v>
      </c>
      <c r="AO90">
        <v>0</v>
      </c>
      <c r="AP90">
        <v>6</v>
      </c>
      <c r="AQ90">
        <v>0</v>
      </c>
      <c r="AR90" t="s">
        <v>64</v>
      </c>
      <c r="AS90" t="s">
        <v>64</v>
      </c>
      <c r="AT90">
        <v>0</v>
      </c>
      <c r="AU90" t="s">
        <v>65</v>
      </c>
      <c r="AV90">
        <v>8</v>
      </c>
      <c r="AW90">
        <v>0</v>
      </c>
      <c r="AX90" t="s">
        <v>1158</v>
      </c>
      <c r="AY90" t="s">
        <v>1159</v>
      </c>
      <c r="AZ90" t="s">
        <v>64</v>
      </c>
      <c r="BA90">
        <v>0</v>
      </c>
      <c r="BB90">
        <v>1</v>
      </c>
      <c r="BC90" t="s">
        <v>69</v>
      </c>
      <c r="BD90">
        <v>1.028</v>
      </c>
      <c r="BE90">
        <v>1.028</v>
      </c>
    </row>
    <row r="91" spans="1:57">
      <c r="A91">
        <v>0</v>
      </c>
      <c r="B91">
        <v>0</v>
      </c>
      <c r="C91">
        <v>0</v>
      </c>
      <c r="D91">
        <v>2522</v>
      </c>
      <c r="E91" t="s">
        <v>3290</v>
      </c>
      <c r="F91" t="s">
        <v>5762</v>
      </c>
      <c r="G91" t="s">
        <v>62</v>
      </c>
      <c r="H91">
        <v>2515617</v>
      </c>
      <c r="I91">
        <v>2515907</v>
      </c>
      <c r="J91" t="s">
        <v>1146</v>
      </c>
      <c r="K91">
        <v>97</v>
      </c>
      <c r="L91" t="s">
        <v>112</v>
      </c>
      <c r="M91">
        <v>4</v>
      </c>
      <c r="N91" t="str">
        <f>HYPERLINK("Gene2522-zp_tree_all.dnd", "Gene2522-tree")</f>
        <v>Gene2522-tree</v>
      </c>
      <c r="O91">
        <v>2</v>
      </c>
      <c r="P91">
        <v>2</v>
      </c>
      <c r="Q91">
        <v>2</v>
      </c>
      <c r="R91">
        <v>2</v>
      </c>
      <c r="S91">
        <v>0.5</v>
      </c>
      <c r="T91" t="s">
        <v>135</v>
      </c>
      <c r="U91" t="s">
        <v>135</v>
      </c>
      <c r="V91" t="s">
        <v>62</v>
      </c>
      <c r="W91" t="s">
        <v>62</v>
      </c>
      <c r="X91">
        <v>0</v>
      </c>
      <c r="Y91">
        <v>0</v>
      </c>
      <c r="Z91">
        <v>7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7</v>
      </c>
      <c r="AK91">
        <v>0</v>
      </c>
      <c r="AL91">
        <v>3</v>
      </c>
      <c r="AM91">
        <v>0</v>
      </c>
      <c r="AN91">
        <v>10</v>
      </c>
      <c r="AO91">
        <v>7</v>
      </c>
      <c r="AP91">
        <v>0</v>
      </c>
      <c r="AQ91">
        <v>0</v>
      </c>
      <c r="AR91" t="s">
        <v>3291</v>
      </c>
      <c r="AS91" t="s">
        <v>64</v>
      </c>
      <c r="AT91">
        <v>0.89700000000000002</v>
      </c>
      <c r="AU91" t="s">
        <v>65</v>
      </c>
      <c r="AV91">
        <v>10</v>
      </c>
      <c r="AW91">
        <v>7</v>
      </c>
      <c r="AX91" t="s">
        <v>3292</v>
      </c>
      <c r="AY91" t="s">
        <v>3293</v>
      </c>
      <c r="AZ91" t="s">
        <v>3294</v>
      </c>
      <c r="BA91">
        <v>0.20941000000000001</v>
      </c>
      <c r="BB91">
        <v>0.99</v>
      </c>
      <c r="BC91" t="s">
        <v>69</v>
      </c>
      <c r="BD91">
        <v>-0.46</v>
      </c>
      <c r="BE91">
        <v>-1.044</v>
      </c>
    </row>
    <row r="92" spans="1:57">
      <c r="A92">
        <v>0</v>
      </c>
      <c r="B92">
        <v>0</v>
      </c>
      <c r="C92">
        <v>0</v>
      </c>
      <c r="D92">
        <v>49</v>
      </c>
      <c r="E92" t="s">
        <v>191</v>
      </c>
      <c r="F92" t="s">
        <v>5762</v>
      </c>
      <c r="G92" t="s">
        <v>57</v>
      </c>
      <c r="H92">
        <v>55866</v>
      </c>
      <c r="I92">
        <v>56156</v>
      </c>
      <c r="J92" t="s">
        <v>192</v>
      </c>
      <c r="K92">
        <v>97</v>
      </c>
      <c r="L92" t="s">
        <v>59</v>
      </c>
      <c r="M92">
        <v>5</v>
      </c>
      <c r="N92" t="str">
        <f>HYPERLINK("Gene49-zp_tree_all.dnd", "Gene49-tree")</f>
        <v>Gene49-tree</v>
      </c>
      <c r="O92">
        <v>3</v>
      </c>
      <c r="P92">
        <v>1</v>
      </c>
      <c r="Q92">
        <v>3</v>
      </c>
      <c r="R92">
        <v>1</v>
      </c>
      <c r="S92">
        <v>0.25</v>
      </c>
      <c r="T92" t="s">
        <v>84</v>
      </c>
      <c r="U92" t="s">
        <v>61</v>
      </c>
      <c r="V92" t="s">
        <v>62</v>
      </c>
      <c r="W92" t="s">
        <v>62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</v>
      </c>
      <c r="AK92">
        <v>0</v>
      </c>
      <c r="AL92">
        <v>2</v>
      </c>
      <c r="AM92">
        <v>1</v>
      </c>
      <c r="AN92">
        <v>1</v>
      </c>
      <c r="AO92">
        <v>1</v>
      </c>
      <c r="AP92">
        <v>2</v>
      </c>
      <c r="AQ92">
        <v>0</v>
      </c>
      <c r="AR92" t="s">
        <v>193</v>
      </c>
      <c r="AS92" t="s">
        <v>64</v>
      </c>
      <c r="AT92">
        <v>0.70699999999999996</v>
      </c>
      <c r="AU92" t="s">
        <v>65</v>
      </c>
      <c r="AV92">
        <v>3</v>
      </c>
      <c r="AW92">
        <v>1</v>
      </c>
      <c r="AX92" t="s">
        <v>194</v>
      </c>
      <c r="AY92" t="s">
        <v>195</v>
      </c>
      <c r="AZ92" t="s">
        <v>196</v>
      </c>
      <c r="BA92">
        <v>8.1920000000000007E-2</v>
      </c>
      <c r="BB92">
        <v>0.98299999999999998</v>
      </c>
      <c r="BC92" t="s">
        <v>69</v>
      </c>
      <c r="BD92">
        <v>0.27300000000000002</v>
      </c>
      <c r="BE92">
        <v>0.27300000000000002</v>
      </c>
    </row>
    <row r="93" spans="1:57">
      <c r="A93">
        <v>0</v>
      </c>
      <c r="B93">
        <v>0</v>
      </c>
      <c r="C93">
        <v>2</v>
      </c>
      <c r="D93">
        <v>2880</v>
      </c>
      <c r="E93" t="s">
        <v>3749</v>
      </c>
      <c r="F93" t="s">
        <v>5762</v>
      </c>
      <c r="G93" t="s">
        <v>62</v>
      </c>
      <c r="H93">
        <v>2829155</v>
      </c>
      <c r="I93">
        <v>2829448</v>
      </c>
      <c r="J93" t="s">
        <v>3750</v>
      </c>
      <c r="K93">
        <v>98</v>
      </c>
      <c r="L93" t="s">
        <v>59</v>
      </c>
      <c r="M93">
        <v>5</v>
      </c>
      <c r="N93" t="str">
        <f>HYPERLINK("Gene2880-zp_tree_all.dnd", "Gene2880-tree")</f>
        <v>Gene2880-tree</v>
      </c>
      <c r="O93">
        <v>0</v>
      </c>
      <c r="P93">
        <v>5</v>
      </c>
      <c r="Q93">
        <v>0</v>
      </c>
      <c r="R93">
        <v>5</v>
      </c>
      <c r="S93">
        <v>1</v>
      </c>
      <c r="T93" t="s">
        <v>62</v>
      </c>
      <c r="U93" t="s">
        <v>98</v>
      </c>
      <c r="V93" t="s">
        <v>62</v>
      </c>
      <c r="W93" t="s">
        <v>62</v>
      </c>
      <c r="X93">
        <v>1</v>
      </c>
      <c r="Y93">
        <v>2</v>
      </c>
      <c r="Z93">
        <v>4</v>
      </c>
      <c r="AA93">
        <v>0.33333000000000002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2</v>
      </c>
      <c r="AI93">
        <v>2</v>
      </c>
      <c r="AJ93">
        <v>4</v>
      </c>
      <c r="AK93">
        <v>0.33333000000000002</v>
      </c>
      <c r="AL93">
        <v>2</v>
      </c>
      <c r="AM93">
        <v>2</v>
      </c>
      <c r="AN93">
        <v>0</v>
      </c>
      <c r="AO93">
        <v>2</v>
      </c>
      <c r="AP93">
        <v>6</v>
      </c>
      <c r="AQ93">
        <v>4</v>
      </c>
      <c r="AR93" t="s">
        <v>64</v>
      </c>
      <c r="AS93" t="s">
        <v>3751</v>
      </c>
      <c r="AT93">
        <v>1.129</v>
      </c>
      <c r="AU93" t="s">
        <v>65</v>
      </c>
      <c r="AV93">
        <v>6</v>
      </c>
      <c r="AW93">
        <v>6</v>
      </c>
      <c r="AX93" t="s">
        <v>3752</v>
      </c>
      <c r="AY93" t="s">
        <v>3753</v>
      </c>
      <c r="AZ93" t="s">
        <v>3754</v>
      </c>
      <c r="BA93">
        <v>0.22691</v>
      </c>
      <c r="BB93">
        <v>0.97899999999999998</v>
      </c>
      <c r="BC93" t="s">
        <v>69</v>
      </c>
      <c r="BD93">
        <v>1.306</v>
      </c>
      <c r="BE93">
        <v>1.306</v>
      </c>
    </row>
    <row r="94" spans="1:57">
      <c r="A94">
        <v>0</v>
      </c>
      <c r="B94">
        <v>0</v>
      </c>
      <c r="C94">
        <v>0</v>
      </c>
      <c r="D94">
        <v>188</v>
      </c>
      <c r="E94" t="s">
        <v>645</v>
      </c>
      <c r="F94" t="s">
        <v>5762</v>
      </c>
      <c r="G94" t="s">
        <v>57</v>
      </c>
      <c r="H94">
        <v>211429</v>
      </c>
      <c r="I94">
        <v>211728</v>
      </c>
      <c r="J94" t="s">
        <v>646</v>
      </c>
      <c r="K94">
        <v>100</v>
      </c>
      <c r="L94" t="s">
        <v>83</v>
      </c>
      <c r="M94">
        <v>4</v>
      </c>
      <c r="N94" t="str">
        <f>HYPERLINK("Gene188-zp_tree_all.dnd", "Gene188-tree")</f>
        <v>Gene188-tree</v>
      </c>
      <c r="O94">
        <v>2</v>
      </c>
      <c r="P94">
        <v>2</v>
      </c>
      <c r="Q94">
        <v>2</v>
      </c>
      <c r="R94">
        <v>2</v>
      </c>
      <c r="S94">
        <v>0.5</v>
      </c>
      <c r="T94" t="s">
        <v>135</v>
      </c>
      <c r="U94" t="s">
        <v>135</v>
      </c>
      <c r="V94" t="s">
        <v>62</v>
      </c>
      <c r="W94" t="s">
        <v>62</v>
      </c>
      <c r="X94">
        <v>0</v>
      </c>
      <c r="Y94">
        <v>0</v>
      </c>
      <c r="Z94">
        <v>2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2</v>
      </c>
      <c r="AK94">
        <v>0</v>
      </c>
      <c r="AL94">
        <v>4</v>
      </c>
      <c r="AM94">
        <v>1</v>
      </c>
      <c r="AN94">
        <v>7</v>
      </c>
      <c r="AO94">
        <v>2</v>
      </c>
      <c r="AP94">
        <v>7</v>
      </c>
      <c r="AQ94">
        <v>0</v>
      </c>
      <c r="AR94" t="s">
        <v>647</v>
      </c>
      <c r="AS94" t="s">
        <v>64</v>
      </c>
      <c r="AT94">
        <v>1.6220000000000001</v>
      </c>
      <c r="AU94" t="s">
        <v>65</v>
      </c>
      <c r="AV94">
        <v>14</v>
      </c>
      <c r="AW94">
        <v>2</v>
      </c>
      <c r="AX94" t="s">
        <v>648</v>
      </c>
      <c r="AY94" t="s">
        <v>649</v>
      </c>
      <c r="AZ94" t="s">
        <v>650</v>
      </c>
      <c r="BA94">
        <v>4.045E-2</v>
      </c>
      <c r="BB94">
        <v>1</v>
      </c>
      <c r="BC94" t="s">
        <v>69</v>
      </c>
      <c r="BD94">
        <v>1.369</v>
      </c>
      <c r="BE94">
        <v>0.04</v>
      </c>
    </row>
    <row r="95" spans="1:57">
      <c r="A95">
        <v>0</v>
      </c>
      <c r="B95">
        <v>0</v>
      </c>
      <c r="C95">
        <v>0</v>
      </c>
      <c r="D95">
        <v>3944</v>
      </c>
      <c r="E95" t="s">
        <v>5306</v>
      </c>
      <c r="F95" t="s">
        <v>5762</v>
      </c>
      <c r="G95" t="s">
        <v>62</v>
      </c>
      <c r="H95">
        <v>3907015</v>
      </c>
      <c r="I95">
        <v>3907314</v>
      </c>
      <c r="J95" t="s">
        <v>118</v>
      </c>
      <c r="K95">
        <v>100</v>
      </c>
      <c r="L95" t="s">
        <v>59</v>
      </c>
      <c r="M95">
        <v>5</v>
      </c>
      <c r="N95" t="str">
        <f>HYPERLINK("Gene3944-zp_tree_all.dnd", "Gene3944-tree")</f>
        <v>Gene3944-tree</v>
      </c>
      <c r="O95">
        <v>4</v>
      </c>
      <c r="P95">
        <v>0</v>
      </c>
      <c r="Q95">
        <v>4</v>
      </c>
      <c r="R95">
        <v>0</v>
      </c>
      <c r="S95">
        <v>0</v>
      </c>
      <c r="T95" t="s">
        <v>60</v>
      </c>
      <c r="U95" t="s">
        <v>62</v>
      </c>
      <c r="V95" t="s">
        <v>62</v>
      </c>
      <c r="W95" t="s">
        <v>62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3</v>
      </c>
      <c r="AM95">
        <v>1</v>
      </c>
      <c r="AN95">
        <v>6</v>
      </c>
      <c r="AO95">
        <v>0</v>
      </c>
      <c r="AP95">
        <v>5</v>
      </c>
      <c r="AQ95">
        <v>0</v>
      </c>
      <c r="AR95" t="s">
        <v>64</v>
      </c>
      <c r="AS95" t="s">
        <v>64</v>
      </c>
      <c r="AT95">
        <v>0</v>
      </c>
      <c r="AU95" t="s">
        <v>65</v>
      </c>
      <c r="AV95">
        <v>11</v>
      </c>
      <c r="AW95">
        <v>0</v>
      </c>
      <c r="AX95" t="s">
        <v>5307</v>
      </c>
      <c r="AY95" t="s">
        <v>5308</v>
      </c>
      <c r="AZ95" t="s">
        <v>64</v>
      </c>
      <c r="BA95">
        <v>0</v>
      </c>
      <c r="BB95">
        <v>1</v>
      </c>
      <c r="BC95" t="s">
        <v>69</v>
      </c>
      <c r="BD95">
        <v>0.745</v>
      </c>
      <c r="BE95">
        <v>0</v>
      </c>
    </row>
    <row r="96" spans="1:57">
      <c r="A96">
        <v>0</v>
      </c>
      <c r="B96">
        <v>0</v>
      </c>
      <c r="C96">
        <v>0</v>
      </c>
      <c r="D96">
        <v>3479</v>
      </c>
      <c r="E96" t="s">
        <v>4756</v>
      </c>
      <c r="F96" t="s">
        <v>5762</v>
      </c>
      <c r="G96" t="s">
        <v>62</v>
      </c>
      <c r="H96">
        <v>3443899</v>
      </c>
      <c r="I96">
        <v>3444201</v>
      </c>
      <c r="J96" t="s">
        <v>4757</v>
      </c>
      <c r="K96">
        <v>101</v>
      </c>
      <c r="L96" t="s">
        <v>112</v>
      </c>
      <c r="M96">
        <v>4</v>
      </c>
      <c r="N96" t="str">
        <f>HYPERLINK("Gene3479-zp_tree_all.dnd", "Gene3479-tree")</f>
        <v>Gene3479-tree</v>
      </c>
      <c r="O96">
        <v>3</v>
      </c>
      <c r="P96">
        <v>1</v>
      </c>
      <c r="Q96">
        <v>3</v>
      </c>
      <c r="R96">
        <v>1</v>
      </c>
      <c r="S96">
        <v>0.25</v>
      </c>
      <c r="T96" t="s">
        <v>84</v>
      </c>
      <c r="U96" t="s">
        <v>61</v>
      </c>
      <c r="V96" t="s">
        <v>62</v>
      </c>
      <c r="W96" t="s">
        <v>62</v>
      </c>
      <c r="X96">
        <v>0</v>
      </c>
      <c r="Y96">
        <v>0</v>
      </c>
      <c r="Z96">
        <v>2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2</v>
      </c>
      <c r="AK96">
        <v>0</v>
      </c>
      <c r="AL96">
        <v>4</v>
      </c>
      <c r="AM96">
        <v>1</v>
      </c>
      <c r="AN96">
        <v>14</v>
      </c>
      <c r="AO96">
        <v>2</v>
      </c>
      <c r="AP96">
        <v>4</v>
      </c>
      <c r="AQ96">
        <v>0</v>
      </c>
      <c r="AR96" t="s">
        <v>4758</v>
      </c>
      <c r="AS96" t="s">
        <v>64</v>
      </c>
      <c r="AT96">
        <v>0.57799999999999996</v>
      </c>
      <c r="AU96" t="s">
        <v>65</v>
      </c>
      <c r="AV96">
        <v>18</v>
      </c>
      <c r="AW96">
        <v>2</v>
      </c>
      <c r="AX96" t="s">
        <v>4759</v>
      </c>
      <c r="AY96" t="s">
        <v>4760</v>
      </c>
      <c r="AZ96" t="s">
        <v>4761</v>
      </c>
      <c r="BA96">
        <v>2.3390000000000001E-2</v>
      </c>
      <c r="BB96">
        <v>1</v>
      </c>
      <c r="BC96" t="s">
        <v>69</v>
      </c>
      <c r="BD96">
        <v>-0.03</v>
      </c>
      <c r="BE96">
        <v>-0.03</v>
      </c>
    </row>
    <row r="97" spans="1:57">
      <c r="A97">
        <v>0</v>
      </c>
      <c r="B97">
        <v>0</v>
      </c>
      <c r="C97">
        <v>0</v>
      </c>
      <c r="D97">
        <v>2912</v>
      </c>
      <c r="E97" t="s">
        <v>3807</v>
      </c>
      <c r="F97" t="s">
        <v>5762</v>
      </c>
      <c r="G97" t="s">
        <v>62</v>
      </c>
      <c r="H97">
        <v>2855521</v>
      </c>
      <c r="I97">
        <v>2855826</v>
      </c>
      <c r="J97" t="s">
        <v>3808</v>
      </c>
      <c r="K97">
        <v>102</v>
      </c>
      <c r="L97" t="s">
        <v>59</v>
      </c>
      <c r="M97">
        <v>5</v>
      </c>
      <c r="N97" t="str">
        <f>HYPERLINK("Gene2912-zp_tree_all.dnd", "Gene2912-tree")</f>
        <v>Gene2912-tree</v>
      </c>
      <c r="O97">
        <v>0</v>
      </c>
      <c r="P97">
        <v>4</v>
      </c>
      <c r="Q97">
        <v>0</v>
      </c>
      <c r="R97">
        <v>4</v>
      </c>
      <c r="S97">
        <v>1</v>
      </c>
      <c r="T97" t="s">
        <v>62</v>
      </c>
      <c r="U97" t="s">
        <v>60</v>
      </c>
      <c r="V97" t="s">
        <v>62</v>
      </c>
      <c r="W97" t="s">
        <v>62</v>
      </c>
      <c r="X97">
        <v>0</v>
      </c>
      <c r="Y97">
        <v>0</v>
      </c>
      <c r="Z97">
        <v>3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3</v>
      </c>
      <c r="AK97">
        <v>0</v>
      </c>
      <c r="AL97">
        <v>3</v>
      </c>
      <c r="AM97">
        <v>0</v>
      </c>
      <c r="AN97">
        <v>5</v>
      </c>
      <c r="AO97">
        <v>3</v>
      </c>
      <c r="AP97">
        <v>0</v>
      </c>
      <c r="AQ97">
        <v>0</v>
      </c>
      <c r="AR97" t="s">
        <v>3809</v>
      </c>
      <c r="AS97" t="s">
        <v>64</v>
      </c>
      <c r="AT97">
        <v>1.639</v>
      </c>
      <c r="AU97" t="s">
        <v>65</v>
      </c>
      <c r="AV97">
        <v>5</v>
      </c>
      <c r="AW97">
        <v>3</v>
      </c>
      <c r="AX97" t="s">
        <v>3810</v>
      </c>
      <c r="AY97" t="s">
        <v>3811</v>
      </c>
      <c r="AZ97" t="s">
        <v>3812</v>
      </c>
      <c r="BA97">
        <v>0.17363999999999999</v>
      </c>
      <c r="BB97">
        <v>0.96599999999999997</v>
      </c>
      <c r="BC97" t="s">
        <v>69</v>
      </c>
      <c r="BD97">
        <v>-1.1739999999999999</v>
      </c>
      <c r="BE97">
        <v>-1.1739999999999999</v>
      </c>
    </row>
    <row r="98" spans="1:57">
      <c r="A98">
        <v>0</v>
      </c>
      <c r="B98">
        <v>0</v>
      </c>
      <c r="C98">
        <v>0</v>
      </c>
      <c r="D98">
        <v>3997</v>
      </c>
      <c r="E98" t="s">
        <v>5400</v>
      </c>
      <c r="F98" t="s">
        <v>5762</v>
      </c>
      <c r="G98" t="s">
        <v>62</v>
      </c>
      <c r="H98">
        <v>3961569</v>
      </c>
      <c r="I98">
        <v>3961874</v>
      </c>
      <c r="J98" t="s">
        <v>5401</v>
      </c>
      <c r="K98">
        <v>102</v>
      </c>
      <c r="L98" t="s">
        <v>59</v>
      </c>
      <c r="M98">
        <v>5</v>
      </c>
      <c r="N98" t="str">
        <f>HYPERLINK("Gene3997-zp_tree_all.dnd", "Gene3997-tree")</f>
        <v>Gene3997-tree</v>
      </c>
      <c r="O98">
        <v>4</v>
      </c>
      <c r="P98">
        <v>1</v>
      </c>
      <c r="Q98">
        <v>4</v>
      </c>
      <c r="R98">
        <v>1</v>
      </c>
      <c r="S98">
        <v>0.2</v>
      </c>
      <c r="T98" t="s">
        <v>60</v>
      </c>
      <c r="U98" t="s">
        <v>61</v>
      </c>
      <c r="V98" t="s">
        <v>62</v>
      </c>
      <c r="W98" t="s">
        <v>62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3</v>
      </c>
      <c r="AM98">
        <v>2</v>
      </c>
      <c r="AN98">
        <v>13</v>
      </c>
      <c r="AO98">
        <v>1</v>
      </c>
      <c r="AP98">
        <v>7</v>
      </c>
      <c r="AQ98">
        <v>0</v>
      </c>
      <c r="AR98" t="s">
        <v>5402</v>
      </c>
      <c r="AS98" t="s">
        <v>64</v>
      </c>
      <c r="AT98">
        <v>0.73899999999999999</v>
      </c>
      <c r="AU98" t="s">
        <v>65</v>
      </c>
      <c r="AV98">
        <v>20</v>
      </c>
      <c r="AW98">
        <v>1</v>
      </c>
      <c r="AX98" t="s">
        <v>5403</v>
      </c>
      <c r="AY98" t="s">
        <v>5404</v>
      </c>
      <c r="AZ98" t="s">
        <v>5405</v>
      </c>
      <c r="BA98">
        <v>1.1860000000000001E-2</v>
      </c>
      <c r="BB98">
        <v>1</v>
      </c>
      <c r="BC98" t="s">
        <v>69</v>
      </c>
      <c r="BD98">
        <v>-0.154</v>
      </c>
      <c r="BE98">
        <v>-0.154</v>
      </c>
    </row>
    <row r="99" spans="1:57">
      <c r="A99">
        <v>0</v>
      </c>
      <c r="B99">
        <v>0</v>
      </c>
      <c r="C99">
        <v>0</v>
      </c>
      <c r="D99">
        <v>3146</v>
      </c>
      <c r="E99" t="s">
        <v>4265</v>
      </c>
      <c r="F99" t="s">
        <v>5762</v>
      </c>
      <c r="G99" t="s">
        <v>62</v>
      </c>
      <c r="H99">
        <v>3102204</v>
      </c>
      <c r="I99">
        <v>3102512</v>
      </c>
      <c r="J99" t="s">
        <v>3416</v>
      </c>
      <c r="K99">
        <v>103</v>
      </c>
      <c r="L99" t="s">
        <v>83</v>
      </c>
      <c r="M99">
        <v>4</v>
      </c>
      <c r="N99" t="str">
        <f>HYPERLINK("Gene3146-zp_tree_all.dnd", "Gene3146-tree")</f>
        <v>Gene3146-tree</v>
      </c>
      <c r="O99">
        <v>2</v>
      </c>
      <c r="P99">
        <v>2</v>
      </c>
      <c r="Q99">
        <v>2</v>
      </c>
      <c r="R99">
        <v>2</v>
      </c>
      <c r="S99">
        <v>0.5</v>
      </c>
      <c r="T99" t="s">
        <v>135</v>
      </c>
      <c r="U99" t="s">
        <v>135</v>
      </c>
      <c r="V99" t="s">
        <v>62</v>
      </c>
      <c r="W99" t="s">
        <v>62</v>
      </c>
      <c r="X99">
        <v>0</v>
      </c>
      <c r="Y99">
        <v>0</v>
      </c>
      <c r="Z99">
        <v>5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5</v>
      </c>
      <c r="AK99">
        <v>0</v>
      </c>
      <c r="AL99">
        <v>3</v>
      </c>
      <c r="AM99">
        <v>1</v>
      </c>
      <c r="AN99">
        <v>11</v>
      </c>
      <c r="AO99">
        <v>5</v>
      </c>
      <c r="AP99">
        <v>1</v>
      </c>
      <c r="AQ99">
        <v>0</v>
      </c>
      <c r="AR99" t="s">
        <v>4266</v>
      </c>
      <c r="AS99" t="s">
        <v>64</v>
      </c>
      <c r="AT99">
        <v>0.66800000000000004</v>
      </c>
      <c r="AU99" t="s">
        <v>65</v>
      </c>
      <c r="AV99">
        <v>12</v>
      </c>
      <c r="AW99">
        <v>5</v>
      </c>
      <c r="AX99" t="s">
        <v>4267</v>
      </c>
      <c r="AY99" t="s">
        <v>4268</v>
      </c>
      <c r="AZ99" t="s">
        <v>4269</v>
      </c>
      <c r="BA99">
        <v>8.7929999999999994E-2</v>
      </c>
      <c r="BB99">
        <v>1</v>
      </c>
      <c r="BC99" t="s">
        <v>69</v>
      </c>
      <c r="BD99">
        <v>-0.66700000000000004</v>
      </c>
      <c r="BE99">
        <v>-0.66700000000000004</v>
      </c>
    </row>
    <row r="100" spans="1:57">
      <c r="A100">
        <v>0</v>
      </c>
      <c r="B100">
        <v>0</v>
      </c>
      <c r="C100">
        <v>0</v>
      </c>
      <c r="D100">
        <v>2046</v>
      </c>
      <c r="E100" t="s">
        <v>2897</v>
      </c>
      <c r="F100" t="s">
        <v>5762</v>
      </c>
      <c r="G100" t="s">
        <v>62</v>
      </c>
      <c r="H100">
        <v>2136541</v>
      </c>
      <c r="I100">
        <v>2136852</v>
      </c>
      <c r="J100" t="s">
        <v>2898</v>
      </c>
      <c r="K100">
        <v>104</v>
      </c>
      <c r="L100" t="s">
        <v>112</v>
      </c>
      <c r="M100">
        <v>4</v>
      </c>
      <c r="N100" t="str">
        <f>HYPERLINK("Gene2046-zp_tree_all.dnd", "Gene2046-tree")</f>
        <v>Gene2046-tree</v>
      </c>
      <c r="O100">
        <v>3</v>
      </c>
      <c r="P100">
        <v>1</v>
      </c>
      <c r="Q100">
        <v>3</v>
      </c>
      <c r="R100">
        <v>1</v>
      </c>
      <c r="S100">
        <v>0.25</v>
      </c>
      <c r="T100" t="s">
        <v>84</v>
      </c>
      <c r="U100" t="s">
        <v>61</v>
      </c>
      <c r="V100" t="s">
        <v>62</v>
      </c>
      <c r="W100" t="s">
        <v>62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0</v>
      </c>
      <c r="AL100">
        <v>3</v>
      </c>
      <c r="AM100">
        <v>1</v>
      </c>
      <c r="AN100">
        <v>13</v>
      </c>
      <c r="AO100">
        <v>1</v>
      </c>
      <c r="AP100">
        <v>1</v>
      </c>
      <c r="AQ100">
        <v>0</v>
      </c>
      <c r="AR100" t="s">
        <v>2899</v>
      </c>
      <c r="AS100" t="s">
        <v>64</v>
      </c>
      <c r="AT100">
        <v>0.59299999999999997</v>
      </c>
      <c r="AU100" t="s">
        <v>65</v>
      </c>
      <c r="AV100">
        <v>14</v>
      </c>
      <c r="AW100">
        <v>1</v>
      </c>
      <c r="AX100" t="s">
        <v>2900</v>
      </c>
      <c r="AY100" t="s">
        <v>2901</v>
      </c>
      <c r="AZ100" t="s">
        <v>2902</v>
      </c>
      <c r="BA100">
        <v>1.9009999999999999E-2</v>
      </c>
      <c r="BB100">
        <v>1</v>
      </c>
      <c r="BC100" t="s">
        <v>69</v>
      </c>
      <c r="BD100">
        <v>-0.64</v>
      </c>
      <c r="BE100">
        <v>-0.64</v>
      </c>
    </row>
    <row r="101" spans="1:57">
      <c r="A101">
        <v>0</v>
      </c>
      <c r="B101">
        <v>0</v>
      </c>
      <c r="C101">
        <v>0</v>
      </c>
      <c r="D101">
        <v>693</v>
      </c>
      <c r="E101" t="s">
        <v>1152</v>
      </c>
      <c r="F101" t="s">
        <v>5762</v>
      </c>
      <c r="G101" t="s">
        <v>57</v>
      </c>
      <c r="H101">
        <v>716431</v>
      </c>
      <c r="I101">
        <v>716742</v>
      </c>
      <c r="J101" t="s">
        <v>1153</v>
      </c>
      <c r="K101">
        <v>104</v>
      </c>
      <c r="L101" t="s">
        <v>59</v>
      </c>
      <c r="M101">
        <v>5</v>
      </c>
      <c r="N101" t="str">
        <f>HYPERLINK("Gene693-zp_tree_all.dnd", "Gene693-tree")</f>
        <v>Gene693-tree</v>
      </c>
      <c r="O101">
        <v>5</v>
      </c>
      <c r="P101">
        <v>0</v>
      </c>
      <c r="Q101">
        <v>5</v>
      </c>
      <c r="R101">
        <v>0</v>
      </c>
      <c r="S101">
        <v>0</v>
      </c>
      <c r="T101" t="s">
        <v>98</v>
      </c>
      <c r="U101" t="s">
        <v>62</v>
      </c>
      <c r="V101" t="s">
        <v>62</v>
      </c>
      <c r="W101" t="s">
        <v>62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4</v>
      </c>
      <c r="AM101">
        <v>1</v>
      </c>
      <c r="AN101">
        <v>8</v>
      </c>
      <c r="AO101">
        <v>0</v>
      </c>
      <c r="AP101">
        <v>6</v>
      </c>
      <c r="AQ101">
        <v>0</v>
      </c>
      <c r="AR101" t="s">
        <v>64</v>
      </c>
      <c r="AS101" t="s">
        <v>64</v>
      </c>
      <c r="AT101">
        <v>0</v>
      </c>
      <c r="AU101" t="s">
        <v>65</v>
      </c>
      <c r="AV101">
        <v>14</v>
      </c>
      <c r="AW101">
        <v>0</v>
      </c>
      <c r="AX101" t="s">
        <v>1154</v>
      </c>
      <c r="AY101" t="s">
        <v>1155</v>
      </c>
      <c r="AZ101" t="s">
        <v>64</v>
      </c>
      <c r="BA101">
        <v>0</v>
      </c>
      <c r="BB101">
        <v>1</v>
      </c>
      <c r="BC101" t="s">
        <v>69</v>
      </c>
      <c r="BD101">
        <v>0.80400000000000005</v>
      </c>
      <c r="BE101">
        <v>-0.45200000000000001</v>
      </c>
    </row>
    <row r="102" spans="1:57">
      <c r="A102">
        <v>0</v>
      </c>
      <c r="B102">
        <v>0</v>
      </c>
      <c r="C102">
        <v>0</v>
      </c>
      <c r="D102">
        <v>1538</v>
      </c>
      <c r="E102" t="s">
        <v>2071</v>
      </c>
      <c r="F102" t="s">
        <v>5762</v>
      </c>
      <c r="G102" t="s">
        <v>57</v>
      </c>
      <c r="H102">
        <v>1548016</v>
      </c>
      <c r="I102">
        <v>1548330</v>
      </c>
      <c r="J102" t="s">
        <v>2072</v>
      </c>
      <c r="K102">
        <v>105</v>
      </c>
      <c r="L102" t="s">
        <v>59</v>
      </c>
      <c r="M102">
        <v>5</v>
      </c>
      <c r="N102" t="str">
        <f>HYPERLINK("Gene1538-zp_tree_all.dnd", "Gene1538-tree")</f>
        <v>Gene1538-tree</v>
      </c>
      <c r="O102">
        <v>3</v>
      </c>
      <c r="P102">
        <v>2</v>
      </c>
      <c r="Q102">
        <v>3</v>
      </c>
      <c r="R102">
        <v>2</v>
      </c>
      <c r="S102">
        <v>0.4</v>
      </c>
      <c r="T102" t="s">
        <v>84</v>
      </c>
      <c r="U102" t="s">
        <v>135</v>
      </c>
      <c r="V102" t="s">
        <v>62</v>
      </c>
      <c r="W102" t="s">
        <v>62</v>
      </c>
      <c r="X102">
        <v>0</v>
      </c>
      <c r="Y102">
        <v>0</v>
      </c>
      <c r="Z102">
        <v>2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2</v>
      </c>
      <c r="AK102">
        <v>0</v>
      </c>
      <c r="AL102">
        <v>3</v>
      </c>
      <c r="AM102">
        <v>2</v>
      </c>
      <c r="AN102">
        <v>4</v>
      </c>
      <c r="AO102">
        <v>2</v>
      </c>
      <c r="AP102">
        <v>9</v>
      </c>
      <c r="AQ102">
        <v>0</v>
      </c>
      <c r="AR102" t="s">
        <v>2073</v>
      </c>
      <c r="AS102" t="s">
        <v>64</v>
      </c>
      <c r="AT102">
        <v>2.758</v>
      </c>
      <c r="AU102" t="s">
        <v>286</v>
      </c>
      <c r="AV102">
        <v>13</v>
      </c>
      <c r="AW102">
        <v>2</v>
      </c>
      <c r="AX102" t="s">
        <v>2074</v>
      </c>
      <c r="AY102" t="s">
        <v>2075</v>
      </c>
      <c r="AZ102" t="s">
        <v>2076</v>
      </c>
      <c r="BA102">
        <v>4.0090000000000001E-2</v>
      </c>
      <c r="BB102">
        <v>1</v>
      </c>
      <c r="BC102" t="s">
        <v>69</v>
      </c>
      <c r="BD102">
        <v>0.73799999999999999</v>
      </c>
      <c r="BE102">
        <v>0.30399999999999999</v>
      </c>
    </row>
    <row r="103" spans="1:57">
      <c r="A103">
        <v>0</v>
      </c>
      <c r="B103">
        <v>0</v>
      </c>
      <c r="C103">
        <v>0</v>
      </c>
      <c r="D103">
        <v>3800</v>
      </c>
      <c r="E103" t="s">
        <v>5082</v>
      </c>
      <c r="F103" t="s">
        <v>5762</v>
      </c>
      <c r="G103" t="s">
        <v>62</v>
      </c>
      <c r="H103">
        <v>3768794</v>
      </c>
      <c r="I103">
        <v>3769108</v>
      </c>
      <c r="J103" t="s">
        <v>5083</v>
      </c>
      <c r="K103">
        <v>105</v>
      </c>
      <c r="L103" t="s">
        <v>83</v>
      </c>
      <c r="M103">
        <v>4</v>
      </c>
      <c r="N103" t="str">
        <f>HYPERLINK("Gene3800-zp_tree_all.dnd", "Gene3800-tree")</f>
        <v>Gene3800-tree</v>
      </c>
      <c r="O103">
        <v>3</v>
      </c>
      <c r="P103">
        <v>1</v>
      </c>
      <c r="Q103">
        <v>3</v>
      </c>
      <c r="R103">
        <v>1</v>
      </c>
      <c r="S103">
        <v>0.25</v>
      </c>
      <c r="T103" t="s">
        <v>84</v>
      </c>
      <c r="U103" t="s">
        <v>61</v>
      </c>
      <c r="V103" t="s">
        <v>62</v>
      </c>
      <c r="W103" t="s">
        <v>62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3</v>
      </c>
      <c r="AM103">
        <v>1</v>
      </c>
      <c r="AN103">
        <v>16</v>
      </c>
      <c r="AO103">
        <v>1</v>
      </c>
      <c r="AP103">
        <v>2</v>
      </c>
      <c r="AQ103">
        <v>0</v>
      </c>
      <c r="AR103" t="s">
        <v>5084</v>
      </c>
      <c r="AS103" t="s">
        <v>64</v>
      </c>
      <c r="AT103">
        <v>0.60699999999999998</v>
      </c>
      <c r="AU103" t="s">
        <v>65</v>
      </c>
      <c r="AV103">
        <v>18</v>
      </c>
      <c r="AW103">
        <v>1</v>
      </c>
      <c r="AX103" t="s">
        <v>5085</v>
      </c>
      <c r="AY103" t="s">
        <v>5086</v>
      </c>
      <c r="AZ103" t="s">
        <v>467</v>
      </c>
      <c r="BA103">
        <v>1.472E-2</v>
      </c>
      <c r="BB103">
        <v>1</v>
      </c>
      <c r="BC103" t="s">
        <v>69</v>
      </c>
      <c r="BD103">
        <v>-0.52400000000000002</v>
      </c>
      <c r="BE103">
        <v>-0.52400000000000002</v>
      </c>
    </row>
    <row r="104" spans="1:57">
      <c r="A104">
        <v>0</v>
      </c>
      <c r="B104">
        <v>2</v>
      </c>
      <c r="C104">
        <v>0</v>
      </c>
      <c r="D104">
        <v>3326</v>
      </c>
      <c r="E104" t="s">
        <v>4510</v>
      </c>
      <c r="F104" t="s">
        <v>5762</v>
      </c>
      <c r="G104" t="s">
        <v>62</v>
      </c>
      <c r="H104">
        <v>3299347</v>
      </c>
      <c r="I104">
        <v>3299664</v>
      </c>
      <c r="J104" t="s">
        <v>118</v>
      </c>
      <c r="K104">
        <v>106</v>
      </c>
      <c r="L104" t="s">
        <v>59</v>
      </c>
      <c r="M104">
        <v>5</v>
      </c>
      <c r="N104" t="str">
        <f>HYPERLINK("Gene3326-zp_tree_all.dnd", "Gene3326-tree")</f>
        <v>Gene3326-tree</v>
      </c>
      <c r="O104">
        <v>1</v>
      </c>
      <c r="P104">
        <v>4</v>
      </c>
      <c r="Q104">
        <v>1</v>
      </c>
      <c r="R104">
        <v>4</v>
      </c>
      <c r="S104">
        <v>0.8</v>
      </c>
      <c r="T104" t="s">
        <v>61</v>
      </c>
      <c r="U104" t="s">
        <v>60</v>
      </c>
      <c r="V104" t="s">
        <v>62</v>
      </c>
      <c r="W104" t="s">
        <v>62</v>
      </c>
      <c r="X104">
        <v>1</v>
      </c>
      <c r="Y104">
        <v>2</v>
      </c>
      <c r="Z104">
        <v>8</v>
      </c>
      <c r="AA104">
        <v>0.2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6</v>
      </c>
      <c r="AK104">
        <v>0</v>
      </c>
      <c r="AL104">
        <v>5</v>
      </c>
      <c r="AM104">
        <v>2</v>
      </c>
      <c r="AN104">
        <v>14</v>
      </c>
      <c r="AO104">
        <v>6</v>
      </c>
      <c r="AP104">
        <v>3</v>
      </c>
      <c r="AQ104">
        <v>4</v>
      </c>
      <c r="AR104" t="s">
        <v>4511</v>
      </c>
      <c r="AS104" t="s">
        <v>4512</v>
      </c>
      <c r="AT104">
        <v>2.4350000000000001</v>
      </c>
      <c r="AU104" t="s">
        <v>65</v>
      </c>
      <c r="AV104">
        <v>17</v>
      </c>
      <c r="AW104">
        <v>10</v>
      </c>
      <c r="AX104" t="s">
        <v>4513</v>
      </c>
      <c r="AY104" t="s">
        <v>4514</v>
      </c>
      <c r="AZ104" t="s">
        <v>4515</v>
      </c>
      <c r="BA104">
        <v>0.18124000000000001</v>
      </c>
      <c r="BB104">
        <v>1</v>
      </c>
      <c r="BC104" t="s">
        <v>69</v>
      </c>
      <c r="BD104">
        <v>-0.248</v>
      </c>
      <c r="BE104">
        <v>-0.248</v>
      </c>
    </row>
    <row r="105" spans="1:57">
      <c r="A105">
        <v>0</v>
      </c>
      <c r="B105">
        <v>0</v>
      </c>
      <c r="C105">
        <v>0</v>
      </c>
      <c r="D105">
        <v>3101</v>
      </c>
      <c r="E105" t="s">
        <v>4212</v>
      </c>
      <c r="F105" t="s">
        <v>5762</v>
      </c>
      <c r="G105" t="s">
        <v>62</v>
      </c>
      <c r="H105">
        <v>3054191</v>
      </c>
      <c r="I105">
        <v>3054511</v>
      </c>
      <c r="J105" t="s">
        <v>4213</v>
      </c>
      <c r="K105">
        <v>107</v>
      </c>
      <c r="L105" t="s">
        <v>112</v>
      </c>
      <c r="M105">
        <v>4</v>
      </c>
      <c r="N105" t="str">
        <f>HYPERLINK("Gene3101-zp_tree_all.dnd", "Gene3101-tree")</f>
        <v>Gene3101-tree</v>
      </c>
      <c r="O105">
        <v>2</v>
      </c>
      <c r="P105">
        <v>2</v>
      </c>
      <c r="Q105">
        <v>2</v>
      </c>
      <c r="R105">
        <v>2</v>
      </c>
      <c r="S105">
        <v>0.5</v>
      </c>
      <c r="T105" t="s">
        <v>135</v>
      </c>
      <c r="U105" t="s">
        <v>135</v>
      </c>
      <c r="V105" t="s">
        <v>62</v>
      </c>
      <c r="W105" t="s">
        <v>62</v>
      </c>
      <c r="X105">
        <v>0</v>
      </c>
      <c r="Y105">
        <v>0</v>
      </c>
      <c r="Z105">
        <v>3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3</v>
      </c>
      <c r="AK105">
        <v>0</v>
      </c>
      <c r="AL105">
        <v>4</v>
      </c>
      <c r="AM105">
        <v>0</v>
      </c>
      <c r="AN105">
        <v>14</v>
      </c>
      <c r="AO105">
        <v>3</v>
      </c>
      <c r="AP105">
        <v>0</v>
      </c>
      <c r="AQ105">
        <v>0</v>
      </c>
      <c r="AR105" t="s">
        <v>4214</v>
      </c>
      <c r="AS105" t="s">
        <v>64</v>
      </c>
      <c r="AT105">
        <v>0.80500000000000005</v>
      </c>
      <c r="AU105" t="s">
        <v>65</v>
      </c>
      <c r="AV105">
        <v>14</v>
      </c>
      <c r="AW105">
        <v>3</v>
      </c>
      <c r="AX105" t="s">
        <v>4215</v>
      </c>
      <c r="AY105" t="s">
        <v>4216</v>
      </c>
      <c r="AZ105" t="s">
        <v>4217</v>
      </c>
      <c r="BA105">
        <v>4.895E-2</v>
      </c>
      <c r="BB105">
        <v>1</v>
      </c>
      <c r="BC105" t="s">
        <v>69</v>
      </c>
      <c r="BD105">
        <v>-0.85099999999999998</v>
      </c>
      <c r="BE105">
        <v>-0.85099999999999998</v>
      </c>
    </row>
    <row r="106" spans="1:57">
      <c r="A106">
        <v>0</v>
      </c>
      <c r="B106">
        <v>0</v>
      </c>
      <c r="C106">
        <v>0</v>
      </c>
      <c r="D106">
        <v>2466</v>
      </c>
      <c r="E106" t="s">
        <v>3240</v>
      </c>
      <c r="F106" t="s">
        <v>5762</v>
      </c>
      <c r="G106" t="s">
        <v>62</v>
      </c>
      <c r="H106">
        <v>2461876</v>
      </c>
      <c r="I106">
        <v>2462196</v>
      </c>
      <c r="J106" t="s">
        <v>118</v>
      </c>
      <c r="K106">
        <v>107</v>
      </c>
      <c r="L106" t="s">
        <v>59</v>
      </c>
      <c r="M106">
        <v>5</v>
      </c>
      <c r="N106" t="str">
        <f>HYPERLINK("Gene2466-zp_tree_all.dnd", "Gene2466-tree")</f>
        <v>Gene2466-tree</v>
      </c>
      <c r="O106">
        <v>5</v>
      </c>
      <c r="P106">
        <v>0</v>
      </c>
      <c r="Q106">
        <v>5</v>
      </c>
      <c r="R106">
        <v>0</v>
      </c>
      <c r="S106">
        <v>0</v>
      </c>
      <c r="T106" t="s">
        <v>98</v>
      </c>
      <c r="U106" t="s">
        <v>62</v>
      </c>
      <c r="V106" t="s">
        <v>62</v>
      </c>
      <c r="W106" t="s">
        <v>62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3</v>
      </c>
      <c r="AM106">
        <v>1</v>
      </c>
      <c r="AN106">
        <v>4</v>
      </c>
      <c r="AO106">
        <v>0</v>
      </c>
      <c r="AP106">
        <v>8</v>
      </c>
      <c r="AQ106">
        <v>0</v>
      </c>
      <c r="AR106" t="s">
        <v>64</v>
      </c>
      <c r="AS106" t="s">
        <v>64</v>
      </c>
      <c r="AT106">
        <v>0</v>
      </c>
      <c r="AU106" t="s">
        <v>65</v>
      </c>
      <c r="AV106">
        <v>12</v>
      </c>
      <c r="AW106">
        <v>0</v>
      </c>
      <c r="AX106" t="s">
        <v>3241</v>
      </c>
      <c r="AY106" t="s">
        <v>3242</v>
      </c>
      <c r="AZ106" t="s">
        <v>64</v>
      </c>
      <c r="BA106">
        <v>0</v>
      </c>
      <c r="BB106">
        <v>1</v>
      </c>
      <c r="BC106" t="s">
        <v>69</v>
      </c>
      <c r="BD106">
        <v>0.80400000000000005</v>
      </c>
      <c r="BE106">
        <v>0.80400000000000005</v>
      </c>
    </row>
    <row r="107" spans="1:57">
      <c r="A107">
        <v>0</v>
      </c>
      <c r="B107">
        <v>2</v>
      </c>
      <c r="C107">
        <v>2</v>
      </c>
      <c r="D107">
        <v>3339</v>
      </c>
      <c r="E107" t="s">
        <v>4557</v>
      </c>
      <c r="F107" t="s">
        <v>5762</v>
      </c>
      <c r="G107" t="s">
        <v>62</v>
      </c>
      <c r="H107">
        <v>3309963</v>
      </c>
      <c r="I107">
        <v>3310286</v>
      </c>
      <c r="J107" t="s">
        <v>4558</v>
      </c>
      <c r="K107">
        <v>108</v>
      </c>
      <c r="L107" t="s">
        <v>59</v>
      </c>
      <c r="M107">
        <v>5</v>
      </c>
      <c r="N107" t="str">
        <f>HYPERLINK("Gene3339-zp_tree_all.dnd", "Gene3339-tree")</f>
        <v>Gene3339-tree</v>
      </c>
      <c r="O107">
        <v>1</v>
      </c>
      <c r="P107">
        <v>4</v>
      </c>
      <c r="Q107">
        <v>1</v>
      </c>
      <c r="R107">
        <v>4</v>
      </c>
      <c r="S107">
        <v>0.8</v>
      </c>
      <c r="T107" t="s">
        <v>61</v>
      </c>
      <c r="U107" t="s">
        <v>60</v>
      </c>
      <c r="V107" t="s">
        <v>62</v>
      </c>
      <c r="W107" t="s">
        <v>62</v>
      </c>
      <c r="X107">
        <v>2</v>
      </c>
      <c r="Y107">
        <v>4</v>
      </c>
      <c r="Z107">
        <v>4</v>
      </c>
      <c r="AA107">
        <v>0.5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2</v>
      </c>
      <c r="AH107">
        <v>2</v>
      </c>
      <c r="AI107">
        <v>4</v>
      </c>
      <c r="AJ107">
        <v>3</v>
      </c>
      <c r="AK107">
        <v>0.57142999999999999</v>
      </c>
      <c r="AL107">
        <v>5</v>
      </c>
      <c r="AM107">
        <v>2</v>
      </c>
      <c r="AN107">
        <v>8</v>
      </c>
      <c r="AO107">
        <v>7</v>
      </c>
      <c r="AP107">
        <v>7</v>
      </c>
      <c r="AQ107">
        <v>1</v>
      </c>
      <c r="AR107" t="s">
        <v>4559</v>
      </c>
      <c r="AS107" t="s">
        <v>4560</v>
      </c>
      <c r="AT107">
        <v>1.659</v>
      </c>
      <c r="AU107" t="s">
        <v>65</v>
      </c>
      <c r="AV107">
        <v>15</v>
      </c>
      <c r="AW107">
        <v>8</v>
      </c>
      <c r="AX107" t="s">
        <v>4561</v>
      </c>
      <c r="AY107" t="s">
        <v>4562</v>
      </c>
      <c r="AZ107" t="s">
        <v>4563</v>
      </c>
      <c r="BA107">
        <v>0.10477</v>
      </c>
      <c r="BB107">
        <v>1</v>
      </c>
      <c r="BC107" t="s">
        <v>69</v>
      </c>
      <c r="BD107">
        <v>0.309</v>
      </c>
      <c r="BE107">
        <v>-5.8999999999999997E-2</v>
      </c>
    </row>
    <row r="108" spans="1:57">
      <c r="A108">
        <v>0</v>
      </c>
      <c r="B108">
        <v>0</v>
      </c>
      <c r="C108">
        <v>0</v>
      </c>
      <c r="D108">
        <v>29</v>
      </c>
      <c r="E108" t="s">
        <v>127</v>
      </c>
      <c r="F108" t="s">
        <v>5762</v>
      </c>
      <c r="G108" t="s">
        <v>57</v>
      </c>
      <c r="H108">
        <v>39871</v>
      </c>
      <c r="I108">
        <v>40197</v>
      </c>
      <c r="J108" t="s">
        <v>128</v>
      </c>
      <c r="K108">
        <v>109</v>
      </c>
      <c r="L108" t="s">
        <v>59</v>
      </c>
      <c r="M108">
        <v>5</v>
      </c>
      <c r="N108" t="str">
        <f>HYPERLINK("Gene29-zp_tree_all.dnd", "Gene29-tree")</f>
        <v>Gene29-tree</v>
      </c>
      <c r="O108">
        <v>5</v>
      </c>
      <c r="P108">
        <v>0</v>
      </c>
      <c r="Q108">
        <v>5</v>
      </c>
      <c r="R108">
        <v>0</v>
      </c>
      <c r="S108">
        <v>0</v>
      </c>
      <c r="T108" t="s">
        <v>98</v>
      </c>
      <c r="U108" t="s">
        <v>62</v>
      </c>
      <c r="V108" t="s">
        <v>62</v>
      </c>
      <c r="W108" t="s">
        <v>62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4</v>
      </c>
      <c r="AM108">
        <v>2</v>
      </c>
      <c r="AN108">
        <v>6</v>
      </c>
      <c r="AO108">
        <v>0</v>
      </c>
      <c r="AP108">
        <v>11</v>
      </c>
      <c r="AQ108">
        <v>1</v>
      </c>
      <c r="AR108" t="s">
        <v>64</v>
      </c>
      <c r="AS108" t="s">
        <v>129</v>
      </c>
      <c r="AT108">
        <v>0.98899999999999999</v>
      </c>
      <c r="AU108" t="s">
        <v>65</v>
      </c>
      <c r="AV108">
        <v>17</v>
      </c>
      <c r="AW108">
        <v>1</v>
      </c>
      <c r="AX108" t="s">
        <v>130</v>
      </c>
      <c r="AY108" t="s">
        <v>131</v>
      </c>
      <c r="AZ108" t="s">
        <v>132</v>
      </c>
      <c r="BA108">
        <v>1.9140000000000001E-2</v>
      </c>
      <c r="BB108">
        <v>1</v>
      </c>
      <c r="BC108" t="s">
        <v>69</v>
      </c>
      <c r="BD108">
        <v>1.26</v>
      </c>
      <c r="BE108">
        <v>0.878</v>
      </c>
    </row>
    <row r="109" spans="1:57">
      <c r="A109">
        <v>0</v>
      </c>
      <c r="B109">
        <v>0</v>
      </c>
      <c r="C109">
        <v>0</v>
      </c>
      <c r="D109">
        <v>1658</v>
      </c>
      <c r="E109" t="s">
        <v>2390</v>
      </c>
      <c r="F109" t="s">
        <v>5762</v>
      </c>
      <c r="G109" t="s">
        <v>57</v>
      </c>
      <c r="H109">
        <v>1671828</v>
      </c>
      <c r="I109">
        <v>1672157</v>
      </c>
      <c r="J109" t="s">
        <v>2391</v>
      </c>
      <c r="K109">
        <v>110</v>
      </c>
      <c r="L109" t="s">
        <v>59</v>
      </c>
      <c r="M109">
        <v>5</v>
      </c>
      <c r="N109" t="str">
        <f>HYPERLINK("Gene1658-zp_tree_all.dnd", "Gene1658-tree")</f>
        <v>Gene1658-tree</v>
      </c>
      <c r="O109">
        <v>4</v>
      </c>
      <c r="P109">
        <v>1</v>
      </c>
      <c r="Q109">
        <v>3</v>
      </c>
      <c r="R109">
        <v>1</v>
      </c>
      <c r="S109">
        <v>0.25</v>
      </c>
      <c r="T109" t="s">
        <v>119</v>
      </c>
      <c r="U109" t="s">
        <v>61</v>
      </c>
      <c r="V109" t="s">
        <v>62</v>
      </c>
      <c r="W109" t="s">
        <v>62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1</v>
      </c>
      <c r="AK109">
        <v>0</v>
      </c>
      <c r="AL109">
        <v>3</v>
      </c>
      <c r="AM109">
        <v>1</v>
      </c>
      <c r="AN109">
        <v>3</v>
      </c>
      <c r="AO109">
        <v>1</v>
      </c>
      <c r="AP109">
        <v>1</v>
      </c>
      <c r="AQ109">
        <v>0</v>
      </c>
      <c r="AR109" t="s">
        <v>2392</v>
      </c>
      <c r="AS109" t="s">
        <v>64</v>
      </c>
      <c r="AT109">
        <v>0.86599999999999999</v>
      </c>
      <c r="AU109" t="s">
        <v>65</v>
      </c>
      <c r="AV109">
        <v>4</v>
      </c>
      <c r="AW109">
        <v>1</v>
      </c>
      <c r="AX109" t="s">
        <v>2393</v>
      </c>
      <c r="AY109" t="s">
        <v>2394</v>
      </c>
      <c r="AZ109" t="s">
        <v>2395</v>
      </c>
      <c r="BA109">
        <v>6.1240000000000003E-2</v>
      </c>
      <c r="BB109">
        <v>1</v>
      </c>
      <c r="BC109" t="s">
        <v>69</v>
      </c>
      <c r="BD109">
        <v>0</v>
      </c>
      <c r="BE109">
        <v>0</v>
      </c>
    </row>
    <row r="110" spans="1:57">
      <c r="A110">
        <v>0</v>
      </c>
      <c r="B110">
        <v>0</v>
      </c>
      <c r="C110">
        <v>0</v>
      </c>
      <c r="D110">
        <v>3995</v>
      </c>
      <c r="E110" t="s">
        <v>5394</v>
      </c>
      <c r="F110" t="s">
        <v>5762</v>
      </c>
      <c r="G110" t="s">
        <v>62</v>
      </c>
      <c r="H110">
        <v>3959844</v>
      </c>
      <c r="I110">
        <v>3960173</v>
      </c>
      <c r="J110" t="s">
        <v>5395</v>
      </c>
      <c r="K110">
        <v>110</v>
      </c>
      <c r="L110" t="s">
        <v>83</v>
      </c>
      <c r="M110">
        <v>4</v>
      </c>
      <c r="N110" t="str">
        <f>HYPERLINK("Gene3995-zp_tree_all.dnd", "Gene3995-tree")</f>
        <v>Gene3995-tree</v>
      </c>
      <c r="O110">
        <v>0</v>
      </c>
      <c r="P110">
        <v>4</v>
      </c>
      <c r="Q110">
        <v>0</v>
      </c>
      <c r="R110">
        <v>4</v>
      </c>
      <c r="S110">
        <v>1</v>
      </c>
      <c r="T110" t="s">
        <v>62</v>
      </c>
      <c r="U110" t="s">
        <v>60</v>
      </c>
      <c r="V110" t="s">
        <v>62</v>
      </c>
      <c r="W110" t="s">
        <v>62</v>
      </c>
      <c r="X110">
        <v>0</v>
      </c>
      <c r="Y110">
        <v>0</v>
      </c>
      <c r="Z110">
        <v>4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4</v>
      </c>
      <c r="AK110">
        <v>0</v>
      </c>
      <c r="AL110">
        <v>3</v>
      </c>
      <c r="AM110">
        <v>0</v>
      </c>
      <c r="AN110">
        <v>17</v>
      </c>
      <c r="AO110">
        <v>4</v>
      </c>
      <c r="AP110">
        <v>0</v>
      </c>
      <c r="AQ110">
        <v>0</v>
      </c>
      <c r="AR110" t="s">
        <v>5396</v>
      </c>
      <c r="AS110" t="s">
        <v>64</v>
      </c>
      <c r="AT110">
        <v>1.333</v>
      </c>
      <c r="AU110" t="s">
        <v>65</v>
      </c>
      <c r="AV110">
        <v>17</v>
      </c>
      <c r="AW110">
        <v>4</v>
      </c>
      <c r="AX110" t="s">
        <v>5397</v>
      </c>
      <c r="AY110" t="s">
        <v>5398</v>
      </c>
      <c r="AZ110" t="s">
        <v>5399</v>
      </c>
      <c r="BA110">
        <v>5.2220000000000003E-2</v>
      </c>
      <c r="BB110">
        <v>1</v>
      </c>
      <c r="BC110" t="s">
        <v>69</v>
      </c>
      <c r="BD110">
        <v>-0.85499999999999998</v>
      </c>
      <c r="BE110">
        <v>-0.85499999999999998</v>
      </c>
    </row>
    <row r="111" spans="1:57">
      <c r="A111">
        <v>0</v>
      </c>
      <c r="B111">
        <v>0</v>
      </c>
      <c r="C111">
        <v>0</v>
      </c>
      <c r="D111">
        <v>2344</v>
      </c>
      <c r="E111" t="s">
        <v>3024</v>
      </c>
      <c r="F111" t="s">
        <v>5762</v>
      </c>
      <c r="G111" t="s">
        <v>62</v>
      </c>
      <c r="H111">
        <v>2360158</v>
      </c>
      <c r="I111">
        <v>2360490</v>
      </c>
      <c r="J111" t="s">
        <v>3025</v>
      </c>
      <c r="K111">
        <v>111</v>
      </c>
      <c r="L111" t="s">
        <v>59</v>
      </c>
      <c r="M111">
        <v>5</v>
      </c>
      <c r="N111" t="str">
        <f>HYPERLINK("Gene2344-zp_tree_all.dnd", "Gene2344-tree")</f>
        <v>Gene2344-tree</v>
      </c>
      <c r="O111">
        <v>3</v>
      </c>
      <c r="P111">
        <v>2</v>
      </c>
      <c r="Q111">
        <v>3</v>
      </c>
      <c r="R111">
        <v>2</v>
      </c>
      <c r="S111">
        <v>0.4</v>
      </c>
      <c r="T111" t="s">
        <v>84</v>
      </c>
      <c r="U111" t="s">
        <v>135</v>
      </c>
      <c r="V111" t="s">
        <v>62</v>
      </c>
      <c r="W111" t="s">
        <v>62</v>
      </c>
      <c r="X111">
        <v>0</v>
      </c>
      <c r="Y111">
        <v>0</v>
      </c>
      <c r="Z111">
        <v>3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0</v>
      </c>
      <c r="AH111">
        <v>0</v>
      </c>
      <c r="AI111">
        <v>0</v>
      </c>
      <c r="AJ111">
        <v>2</v>
      </c>
      <c r="AK111">
        <v>0</v>
      </c>
      <c r="AL111">
        <v>4</v>
      </c>
      <c r="AM111">
        <v>2</v>
      </c>
      <c r="AN111">
        <v>8</v>
      </c>
      <c r="AO111">
        <v>2</v>
      </c>
      <c r="AP111">
        <v>7</v>
      </c>
      <c r="AQ111">
        <v>1</v>
      </c>
      <c r="AR111" t="s">
        <v>3026</v>
      </c>
      <c r="AS111" t="s">
        <v>3027</v>
      </c>
      <c r="AT111">
        <v>0.48799999999999999</v>
      </c>
      <c r="AU111" t="s">
        <v>65</v>
      </c>
      <c r="AV111">
        <v>15</v>
      </c>
      <c r="AW111">
        <v>3</v>
      </c>
      <c r="AX111" t="s">
        <v>3028</v>
      </c>
      <c r="AY111" t="s">
        <v>3029</v>
      </c>
      <c r="AZ111" t="s">
        <v>3030</v>
      </c>
      <c r="BA111">
        <v>4.7109999999999999E-2</v>
      </c>
      <c r="BB111">
        <v>1</v>
      </c>
      <c r="BC111" t="s">
        <v>69</v>
      </c>
      <c r="BD111">
        <v>0.59199999999999997</v>
      </c>
      <c r="BE111">
        <v>-0.26700000000000002</v>
      </c>
    </row>
    <row r="112" spans="1:57">
      <c r="A112">
        <v>0</v>
      </c>
      <c r="B112">
        <v>0</v>
      </c>
      <c r="C112">
        <v>0</v>
      </c>
      <c r="D112">
        <v>459</v>
      </c>
      <c r="E112" t="s">
        <v>909</v>
      </c>
      <c r="F112" t="s">
        <v>5762</v>
      </c>
      <c r="G112" t="s">
        <v>57</v>
      </c>
      <c r="H112">
        <v>504689</v>
      </c>
      <c r="I112">
        <v>505021</v>
      </c>
      <c r="J112" t="s">
        <v>910</v>
      </c>
      <c r="K112">
        <v>111</v>
      </c>
      <c r="L112" t="s">
        <v>59</v>
      </c>
      <c r="M112">
        <v>5</v>
      </c>
      <c r="N112" t="str">
        <f>HYPERLINK("Gene459-zp_tree_all.dnd", "Gene459-tree")</f>
        <v>Gene459-tree</v>
      </c>
      <c r="O112">
        <v>4</v>
      </c>
      <c r="P112">
        <v>1</v>
      </c>
      <c r="Q112">
        <v>3</v>
      </c>
      <c r="R112">
        <v>1</v>
      </c>
      <c r="S112">
        <v>0.25</v>
      </c>
      <c r="T112" t="s">
        <v>119</v>
      </c>
      <c r="U112" t="s">
        <v>61</v>
      </c>
      <c r="V112" t="s">
        <v>62</v>
      </c>
      <c r="W112" t="s">
        <v>62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2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4</v>
      </c>
      <c r="AM112">
        <v>1</v>
      </c>
      <c r="AN112">
        <v>9</v>
      </c>
      <c r="AO112">
        <v>1</v>
      </c>
      <c r="AP112">
        <v>7</v>
      </c>
      <c r="AQ112">
        <v>1</v>
      </c>
      <c r="AR112" t="s">
        <v>911</v>
      </c>
      <c r="AS112" t="s">
        <v>912</v>
      </c>
      <c r="AT112">
        <v>0.15</v>
      </c>
      <c r="AU112" t="s">
        <v>65</v>
      </c>
      <c r="AV112">
        <v>16</v>
      </c>
      <c r="AW112">
        <v>2</v>
      </c>
      <c r="AX112" t="s">
        <v>913</v>
      </c>
      <c r="AY112" t="s">
        <v>914</v>
      </c>
      <c r="AZ112" t="s">
        <v>915</v>
      </c>
      <c r="BA112">
        <v>3.8699999999999998E-2</v>
      </c>
      <c r="BB112">
        <v>1</v>
      </c>
      <c r="BC112" t="s">
        <v>69</v>
      </c>
      <c r="BD112">
        <v>0.66600000000000004</v>
      </c>
      <c r="BE112">
        <v>0.216</v>
      </c>
    </row>
    <row r="113" spans="1:57">
      <c r="A113">
        <v>0</v>
      </c>
      <c r="B113">
        <v>0</v>
      </c>
      <c r="C113">
        <v>0</v>
      </c>
      <c r="D113">
        <v>2911</v>
      </c>
      <c r="E113" t="s">
        <v>3801</v>
      </c>
      <c r="F113" t="s">
        <v>5762</v>
      </c>
      <c r="G113" t="s">
        <v>62</v>
      </c>
      <c r="H113">
        <v>2855180</v>
      </c>
      <c r="I113">
        <v>2855515</v>
      </c>
      <c r="J113" t="s">
        <v>3802</v>
      </c>
      <c r="K113">
        <v>112</v>
      </c>
      <c r="L113" t="s">
        <v>83</v>
      </c>
      <c r="M113">
        <v>4</v>
      </c>
      <c r="N113" t="str">
        <f>HYPERLINK("Gene2911-zp_tree_all.dnd", "Gene2911-tree")</f>
        <v>Gene2911-tree</v>
      </c>
      <c r="O113">
        <v>2</v>
      </c>
      <c r="P113">
        <v>2</v>
      </c>
      <c r="Q113">
        <v>2</v>
      </c>
      <c r="R113">
        <v>2</v>
      </c>
      <c r="S113">
        <v>0.5</v>
      </c>
      <c r="T113" t="s">
        <v>135</v>
      </c>
      <c r="U113" t="s">
        <v>135</v>
      </c>
      <c r="V113" t="s">
        <v>62</v>
      </c>
      <c r="W113" t="s">
        <v>62</v>
      </c>
      <c r="X113">
        <v>0</v>
      </c>
      <c r="Y113">
        <v>0</v>
      </c>
      <c r="Z113">
        <v>3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3</v>
      </c>
      <c r="AK113">
        <v>0</v>
      </c>
      <c r="AL113">
        <v>3</v>
      </c>
      <c r="AM113">
        <v>1</v>
      </c>
      <c r="AN113">
        <v>9</v>
      </c>
      <c r="AO113">
        <v>3</v>
      </c>
      <c r="AP113">
        <v>2</v>
      </c>
      <c r="AQ113">
        <v>0</v>
      </c>
      <c r="AR113" t="s">
        <v>3803</v>
      </c>
      <c r="AS113" t="s">
        <v>64</v>
      </c>
      <c r="AT113">
        <v>1.917</v>
      </c>
      <c r="AU113" t="s">
        <v>65</v>
      </c>
      <c r="AV113">
        <v>11</v>
      </c>
      <c r="AW113">
        <v>3</v>
      </c>
      <c r="AX113" t="s">
        <v>3804</v>
      </c>
      <c r="AY113" t="s">
        <v>3805</v>
      </c>
      <c r="AZ113" t="s">
        <v>3806</v>
      </c>
      <c r="BA113">
        <v>7.5289999999999996E-2</v>
      </c>
      <c r="BB113">
        <v>1</v>
      </c>
      <c r="BC113" t="s">
        <v>69</v>
      </c>
      <c r="BD113">
        <v>-0.40300000000000002</v>
      </c>
      <c r="BE113">
        <v>-0.40300000000000002</v>
      </c>
    </row>
    <row r="114" spans="1:57">
      <c r="A114">
        <v>0</v>
      </c>
      <c r="B114">
        <v>0</v>
      </c>
      <c r="C114">
        <v>0</v>
      </c>
      <c r="D114">
        <v>2034</v>
      </c>
      <c r="E114" t="s">
        <v>2868</v>
      </c>
      <c r="F114" t="s">
        <v>5762</v>
      </c>
      <c r="G114" t="s">
        <v>62</v>
      </c>
      <c r="H114">
        <v>2127348</v>
      </c>
      <c r="I114">
        <v>2127683</v>
      </c>
      <c r="J114" t="s">
        <v>2869</v>
      </c>
      <c r="K114">
        <v>112</v>
      </c>
      <c r="L114" t="s">
        <v>83</v>
      </c>
      <c r="M114">
        <v>4</v>
      </c>
      <c r="N114" t="str">
        <f>HYPERLINK("Gene2034-zp_tree_all.dnd", "Gene2034-tree")</f>
        <v>Gene2034-tree</v>
      </c>
      <c r="O114">
        <v>3</v>
      </c>
      <c r="P114">
        <v>1</v>
      </c>
      <c r="Q114">
        <v>3</v>
      </c>
      <c r="R114">
        <v>1</v>
      </c>
      <c r="S114">
        <v>0.25</v>
      </c>
      <c r="T114" t="s">
        <v>84</v>
      </c>
      <c r="U114" t="s">
        <v>61</v>
      </c>
      <c r="V114" t="s">
        <v>62</v>
      </c>
      <c r="W114" t="s">
        <v>62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2</v>
      </c>
      <c r="AM114">
        <v>1</v>
      </c>
      <c r="AN114">
        <v>13</v>
      </c>
      <c r="AO114">
        <v>2</v>
      </c>
      <c r="AP114">
        <v>1</v>
      </c>
      <c r="AQ114">
        <v>0</v>
      </c>
      <c r="AR114" t="s">
        <v>2870</v>
      </c>
      <c r="AS114" t="s">
        <v>64</v>
      </c>
      <c r="AT114">
        <v>0.81100000000000005</v>
      </c>
      <c r="AU114" t="s">
        <v>65</v>
      </c>
      <c r="AV114">
        <v>14</v>
      </c>
      <c r="AW114">
        <v>2</v>
      </c>
      <c r="AX114" t="s">
        <v>2871</v>
      </c>
      <c r="AY114" t="s">
        <v>2872</v>
      </c>
      <c r="AZ114" t="s">
        <v>2873</v>
      </c>
      <c r="BA114">
        <v>3.4880000000000001E-2</v>
      </c>
      <c r="BB114">
        <v>1</v>
      </c>
      <c r="BC114" t="s">
        <v>69</v>
      </c>
      <c r="BD114">
        <v>-0.433</v>
      </c>
      <c r="BE114">
        <v>-1.054</v>
      </c>
    </row>
    <row r="115" spans="1:57">
      <c r="A115">
        <v>0</v>
      </c>
      <c r="B115">
        <v>0</v>
      </c>
      <c r="C115">
        <v>0</v>
      </c>
      <c r="D115">
        <v>1033</v>
      </c>
      <c r="E115" t="s">
        <v>1477</v>
      </c>
      <c r="F115" t="s">
        <v>5762</v>
      </c>
      <c r="G115" t="s">
        <v>57</v>
      </c>
      <c r="H115">
        <v>1072768</v>
      </c>
      <c r="I115">
        <v>1073106</v>
      </c>
      <c r="J115" t="s">
        <v>118</v>
      </c>
      <c r="K115">
        <v>113</v>
      </c>
      <c r="L115" t="s">
        <v>59</v>
      </c>
      <c r="M115">
        <v>5</v>
      </c>
      <c r="N115" t="str">
        <f>HYPERLINK("Gene1033-zp_tree_all.dnd", "Gene1033-tree")</f>
        <v>Gene1033-tree</v>
      </c>
      <c r="O115">
        <v>4</v>
      </c>
      <c r="P115">
        <v>1</v>
      </c>
      <c r="Q115">
        <v>4</v>
      </c>
      <c r="R115">
        <v>1</v>
      </c>
      <c r="S115">
        <v>0.2</v>
      </c>
      <c r="T115" t="s">
        <v>60</v>
      </c>
      <c r="U115" t="s">
        <v>61</v>
      </c>
      <c r="V115" t="s">
        <v>62</v>
      </c>
      <c r="W115" t="s">
        <v>62</v>
      </c>
      <c r="X115">
        <v>0</v>
      </c>
      <c r="Y115">
        <v>0</v>
      </c>
      <c r="Z115">
        <v>4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</v>
      </c>
      <c r="AK115">
        <v>0</v>
      </c>
      <c r="AL115">
        <v>4</v>
      </c>
      <c r="AM115">
        <v>1</v>
      </c>
      <c r="AN115">
        <v>7</v>
      </c>
      <c r="AO115">
        <v>1</v>
      </c>
      <c r="AP115">
        <v>3</v>
      </c>
      <c r="AQ115">
        <v>3</v>
      </c>
      <c r="AR115" t="s">
        <v>1478</v>
      </c>
      <c r="AS115" t="s">
        <v>1479</v>
      </c>
      <c r="AT115">
        <v>3.891</v>
      </c>
      <c r="AU115" t="s">
        <v>65</v>
      </c>
      <c r="AV115">
        <v>10</v>
      </c>
      <c r="AW115">
        <v>4</v>
      </c>
      <c r="AX115" t="s">
        <v>1480</v>
      </c>
      <c r="AY115" t="s">
        <v>1481</v>
      </c>
      <c r="AZ115" t="s">
        <v>1482</v>
      </c>
      <c r="BA115">
        <v>0.12157999999999999</v>
      </c>
      <c r="BB115">
        <v>1</v>
      </c>
      <c r="BC115" t="s">
        <v>69</v>
      </c>
      <c r="BD115">
        <v>8.6999999999999994E-2</v>
      </c>
      <c r="BE115">
        <v>8.6999999999999994E-2</v>
      </c>
    </row>
    <row r="116" spans="1:57">
      <c r="A116">
        <v>0</v>
      </c>
      <c r="B116">
        <v>0</v>
      </c>
      <c r="C116">
        <v>2</v>
      </c>
      <c r="D116">
        <v>3764</v>
      </c>
      <c r="E116" t="s">
        <v>5036</v>
      </c>
      <c r="F116" t="s">
        <v>5762</v>
      </c>
      <c r="G116" t="s">
        <v>62</v>
      </c>
      <c r="H116">
        <v>3740209</v>
      </c>
      <c r="I116">
        <v>3740547</v>
      </c>
      <c r="J116" t="s">
        <v>5037</v>
      </c>
      <c r="K116">
        <v>113</v>
      </c>
      <c r="L116" t="s">
        <v>59</v>
      </c>
      <c r="M116">
        <v>5</v>
      </c>
      <c r="N116" t="str">
        <f>HYPERLINK("Gene3764-zp_tree_all.dnd", "Gene3764-tree")</f>
        <v>Gene3764-tree</v>
      </c>
      <c r="O116">
        <v>3</v>
      </c>
      <c r="P116">
        <v>2</v>
      </c>
      <c r="Q116">
        <v>3</v>
      </c>
      <c r="R116">
        <v>2</v>
      </c>
      <c r="S116">
        <v>0.4</v>
      </c>
      <c r="T116" t="s">
        <v>84</v>
      </c>
      <c r="U116" t="s">
        <v>135</v>
      </c>
      <c r="V116" t="s">
        <v>62</v>
      </c>
      <c r="W116" t="s">
        <v>62</v>
      </c>
      <c r="X116">
        <v>1</v>
      </c>
      <c r="Y116">
        <v>2</v>
      </c>
      <c r="Z116">
        <v>2</v>
      </c>
      <c r="AA116">
        <v>0.5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2</v>
      </c>
      <c r="AK116">
        <v>0</v>
      </c>
      <c r="AL116">
        <v>4</v>
      </c>
      <c r="AM116">
        <v>2</v>
      </c>
      <c r="AN116">
        <v>8</v>
      </c>
      <c r="AO116">
        <v>2</v>
      </c>
      <c r="AP116">
        <v>10</v>
      </c>
      <c r="AQ116">
        <v>2</v>
      </c>
      <c r="AR116" t="s">
        <v>5038</v>
      </c>
      <c r="AS116" t="s">
        <v>5039</v>
      </c>
      <c r="AT116">
        <v>0.21</v>
      </c>
      <c r="AU116" t="s">
        <v>65</v>
      </c>
      <c r="AV116">
        <v>18</v>
      </c>
      <c r="AW116">
        <v>4</v>
      </c>
      <c r="AX116" t="s">
        <v>5040</v>
      </c>
      <c r="AY116" t="s">
        <v>5041</v>
      </c>
      <c r="AZ116" t="s">
        <v>5042</v>
      </c>
      <c r="BA116">
        <v>6.4949999999999994E-2</v>
      </c>
      <c r="BB116">
        <v>1</v>
      </c>
      <c r="BC116" t="s">
        <v>69</v>
      </c>
      <c r="BD116">
        <v>0.60199999999999998</v>
      </c>
      <c r="BE116">
        <v>0.23499999999999999</v>
      </c>
    </row>
    <row r="117" spans="1:57">
      <c r="A117">
        <v>0</v>
      </c>
      <c r="B117">
        <v>0</v>
      </c>
      <c r="C117">
        <v>2</v>
      </c>
      <c r="D117">
        <v>900</v>
      </c>
      <c r="E117" t="s">
        <v>1324</v>
      </c>
      <c r="F117" t="s">
        <v>5762</v>
      </c>
      <c r="G117" t="s">
        <v>57</v>
      </c>
      <c r="H117">
        <v>938243</v>
      </c>
      <c r="I117">
        <v>938584</v>
      </c>
      <c r="J117" t="s">
        <v>170</v>
      </c>
      <c r="K117">
        <v>114</v>
      </c>
      <c r="L117" t="s">
        <v>83</v>
      </c>
      <c r="M117">
        <v>4</v>
      </c>
      <c r="N117" t="str">
        <f>HYPERLINK("Gene900-zp_tree_all.dnd", "Gene900-tree")</f>
        <v>Gene900-tree</v>
      </c>
      <c r="O117">
        <v>2</v>
      </c>
      <c r="P117">
        <v>2</v>
      </c>
      <c r="Q117">
        <v>2</v>
      </c>
      <c r="R117">
        <v>2</v>
      </c>
      <c r="S117">
        <v>0.5</v>
      </c>
      <c r="T117" t="s">
        <v>135</v>
      </c>
      <c r="U117" t="s">
        <v>135</v>
      </c>
      <c r="V117" t="s">
        <v>62</v>
      </c>
      <c r="W117" t="s">
        <v>62</v>
      </c>
      <c r="X117">
        <v>1</v>
      </c>
      <c r="Y117">
        <v>2</v>
      </c>
      <c r="Z117">
        <v>4</v>
      </c>
      <c r="AA117">
        <v>0.33333000000000002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2</v>
      </c>
      <c r="AI117">
        <v>2</v>
      </c>
      <c r="AJ117">
        <v>4</v>
      </c>
      <c r="AK117">
        <v>0.33333000000000002</v>
      </c>
      <c r="AL117">
        <v>2</v>
      </c>
      <c r="AM117">
        <v>1</v>
      </c>
      <c r="AN117">
        <v>9</v>
      </c>
      <c r="AO117">
        <v>6</v>
      </c>
      <c r="AP117">
        <v>2</v>
      </c>
      <c r="AQ117">
        <v>0</v>
      </c>
      <c r="AR117" t="s">
        <v>1325</v>
      </c>
      <c r="AS117" t="s">
        <v>64</v>
      </c>
      <c r="AT117">
        <v>0.97699999999999998</v>
      </c>
      <c r="AU117" t="s">
        <v>65</v>
      </c>
      <c r="AV117">
        <v>11</v>
      </c>
      <c r="AW117">
        <v>6</v>
      </c>
      <c r="AX117" t="s">
        <v>1326</v>
      </c>
      <c r="AY117" t="s">
        <v>1327</v>
      </c>
      <c r="AZ117" t="s">
        <v>1328</v>
      </c>
      <c r="BA117">
        <v>0.10975</v>
      </c>
      <c r="BB117">
        <v>1</v>
      </c>
      <c r="BC117" t="s">
        <v>69</v>
      </c>
      <c r="BD117">
        <v>-0.48399999999999999</v>
      </c>
      <c r="BE117">
        <v>-0.48399999999999999</v>
      </c>
    </row>
    <row r="118" spans="1:57">
      <c r="A118">
        <v>0</v>
      </c>
      <c r="B118">
        <v>0</v>
      </c>
      <c r="C118">
        <v>2</v>
      </c>
      <c r="D118">
        <v>2424</v>
      </c>
      <c r="E118" t="s">
        <v>3195</v>
      </c>
      <c r="F118" t="s">
        <v>5762</v>
      </c>
      <c r="G118" t="s">
        <v>62</v>
      </c>
      <c r="H118">
        <v>2431740</v>
      </c>
      <c r="I118">
        <v>2432081</v>
      </c>
      <c r="J118" t="s">
        <v>118</v>
      </c>
      <c r="K118">
        <v>114</v>
      </c>
      <c r="L118" t="s">
        <v>59</v>
      </c>
      <c r="M118">
        <v>5</v>
      </c>
      <c r="N118" t="str">
        <f>HYPERLINK("Gene2424-zp_tree_all.dnd", "Gene2424-tree")</f>
        <v>Gene2424-tree</v>
      </c>
      <c r="O118">
        <v>2</v>
      </c>
      <c r="P118">
        <v>3</v>
      </c>
      <c r="Q118">
        <v>2</v>
      </c>
      <c r="R118">
        <v>3</v>
      </c>
      <c r="S118">
        <v>0.6</v>
      </c>
      <c r="T118" t="s">
        <v>135</v>
      </c>
      <c r="U118" t="s">
        <v>84</v>
      </c>
      <c r="V118" t="s">
        <v>62</v>
      </c>
      <c r="W118" t="s">
        <v>62</v>
      </c>
      <c r="X118">
        <v>1</v>
      </c>
      <c r="Y118">
        <v>2</v>
      </c>
      <c r="Z118">
        <v>2</v>
      </c>
      <c r="AA118">
        <v>0.5</v>
      </c>
      <c r="AB118">
        <v>0</v>
      </c>
      <c r="AC118">
        <v>0</v>
      </c>
      <c r="AD118">
        <v>0</v>
      </c>
      <c r="AE118">
        <v>2</v>
      </c>
      <c r="AF118">
        <v>0</v>
      </c>
      <c r="AG118">
        <v>0</v>
      </c>
      <c r="AH118">
        <v>0</v>
      </c>
      <c r="AI118">
        <v>0</v>
      </c>
      <c r="AJ118">
        <v>2</v>
      </c>
      <c r="AK118">
        <v>0</v>
      </c>
      <c r="AL118">
        <v>3</v>
      </c>
      <c r="AM118">
        <v>1</v>
      </c>
      <c r="AN118">
        <v>6</v>
      </c>
      <c r="AO118">
        <v>2</v>
      </c>
      <c r="AP118">
        <v>5</v>
      </c>
      <c r="AQ118">
        <v>2</v>
      </c>
      <c r="AR118" t="s">
        <v>3196</v>
      </c>
      <c r="AS118" t="s">
        <v>3197</v>
      </c>
      <c r="AT118">
        <v>0.308</v>
      </c>
      <c r="AU118" t="s">
        <v>65</v>
      </c>
      <c r="AV118">
        <v>11</v>
      </c>
      <c r="AW118">
        <v>4</v>
      </c>
      <c r="AX118" t="s">
        <v>3198</v>
      </c>
      <c r="AY118" t="s">
        <v>3199</v>
      </c>
      <c r="AZ118" t="s">
        <v>3200</v>
      </c>
      <c r="BA118">
        <v>0.10598</v>
      </c>
      <c r="BB118">
        <v>1</v>
      </c>
      <c r="BC118" t="s">
        <v>69</v>
      </c>
      <c r="BD118">
        <v>0.41199999999999998</v>
      </c>
      <c r="BE118">
        <v>-0.13</v>
      </c>
    </row>
    <row r="119" spans="1:57">
      <c r="A119">
        <v>0</v>
      </c>
      <c r="B119">
        <v>0</v>
      </c>
      <c r="C119">
        <v>0</v>
      </c>
      <c r="D119">
        <v>3397</v>
      </c>
      <c r="E119" t="s">
        <v>4656</v>
      </c>
      <c r="F119" t="s">
        <v>5762</v>
      </c>
      <c r="G119" t="s">
        <v>62</v>
      </c>
      <c r="H119">
        <v>3364621</v>
      </c>
      <c r="I119">
        <v>3364962</v>
      </c>
      <c r="J119" t="s">
        <v>118</v>
      </c>
      <c r="K119">
        <v>114</v>
      </c>
      <c r="L119" t="s">
        <v>83</v>
      </c>
      <c r="M119">
        <v>4</v>
      </c>
      <c r="N119" t="str">
        <f>HYPERLINK("Gene3397-zp_tree_all.dnd", "Gene3397-tree")</f>
        <v>Gene3397-tree</v>
      </c>
      <c r="O119">
        <v>3</v>
      </c>
      <c r="P119">
        <v>1</v>
      </c>
      <c r="Q119">
        <v>3</v>
      </c>
      <c r="R119">
        <v>1</v>
      </c>
      <c r="S119">
        <v>0.25</v>
      </c>
      <c r="T119" t="s">
        <v>84</v>
      </c>
      <c r="U119" t="s">
        <v>61</v>
      </c>
      <c r="V119" t="s">
        <v>62</v>
      </c>
      <c r="W119" t="s">
        <v>62</v>
      </c>
      <c r="X119">
        <v>0</v>
      </c>
      <c r="Y119">
        <v>0</v>
      </c>
      <c r="Z119">
        <v>3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3</v>
      </c>
      <c r="AK119">
        <v>0</v>
      </c>
      <c r="AL119">
        <v>3</v>
      </c>
      <c r="AM119">
        <v>1</v>
      </c>
      <c r="AN119">
        <v>14</v>
      </c>
      <c r="AO119">
        <v>3</v>
      </c>
      <c r="AP119">
        <v>1</v>
      </c>
      <c r="AQ119">
        <v>0</v>
      </c>
      <c r="AR119" t="s">
        <v>4657</v>
      </c>
      <c r="AS119" t="s">
        <v>64</v>
      </c>
      <c r="AT119">
        <v>0.63400000000000001</v>
      </c>
      <c r="AU119" t="s">
        <v>65</v>
      </c>
      <c r="AV119">
        <v>15</v>
      </c>
      <c r="AW119">
        <v>3</v>
      </c>
      <c r="AX119" t="s">
        <v>4658</v>
      </c>
      <c r="AY119" t="s">
        <v>4659</v>
      </c>
      <c r="AZ119" t="s">
        <v>4660</v>
      </c>
      <c r="BA119">
        <v>5.0790000000000002E-2</v>
      </c>
      <c r="BB119">
        <v>1</v>
      </c>
      <c r="BC119" t="s">
        <v>69</v>
      </c>
      <c r="BD119">
        <v>-0.67800000000000005</v>
      </c>
      <c r="BE119">
        <v>-0.67800000000000005</v>
      </c>
    </row>
    <row r="120" spans="1:57">
      <c r="A120">
        <v>0</v>
      </c>
      <c r="B120">
        <v>0</v>
      </c>
      <c r="C120">
        <v>0</v>
      </c>
      <c r="D120">
        <v>2009</v>
      </c>
      <c r="E120" t="s">
        <v>2849</v>
      </c>
      <c r="F120" t="s">
        <v>5762</v>
      </c>
      <c r="G120" t="s">
        <v>62</v>
      </c>
      <c r="H120">
        <v>2099449</v>
      </c>
      <c r="I120">
        <v>2099790</v>
      </c>
      <c r="J120" t="s">
        <v>2850</v>
      </c>
      <c r="K120">
        <v>114</v>
      </c>
      <c r="L120" t="s">
        <v>59</v>
      </c>
      <c r="M120">
        <v>5</v>
      </c>
      <c r="N120" t="str">
        <f>HYPERLINK("Gene2009-zp_tree_all.dnd", "Gene2009-tree")</f>
        <v>Gene2009-tree</v>
      </c>
      <c r="O120">
        <v>5</v>
      </c>
      <c r="P120">
        <v>0</v>
      </c>
      <c r="Q120">
        <v>5</v>
      </c>
      <c r="R120">
        <v>0</v>
      </c>
      <c r="S120">
        <v>0</v>
      </c>
      <c r="T120" t="s">
        <v>98</v>
      </c>
      <c r="U120" t="s">
        <v>62</v>
      </c>
      <c r="V120" t="s">
        <v>62</v>
      </c>
      <c r="W120" t="s">
        <v>62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3</v>
      </c>
      <c r="AM120">
        <v>1</v>
      </c>
      <c r="AN120">
        <v>5</v>
      </c>
      <c r="AO120">
        <v>0</v>
      </c>
      <c r="AP120">
        <v>9</v>
      </c>
      <c r="AQ120">
        <v>0</v>
      </c>
      <c r="AR120" t="s">
        <v>64</v>
      </c>
      <c r="AS120" t="s">
        <v>64</v>
      </c>
      <c r="AT120">
        <v>0</v>
      </c>
      <c r="AU120" t="s">
        <v>65</v>
      </c>
      <c r="AV120">
        <v>14</v>
      </c>
      <c r="AW120">
        <v>0</v>
      </c>
      <c r="AX120" t="s">
        <v>2851</v>
      </c>
      <c r="AY120" t="s">
        <v>2852</v>
      </c>
      <c r="AZ120" t="s">
        <v>64</v>
      </c>
      <c r="BA120">
        <v>0</v>
      </c>
      <c r="BB120">
        <v>1</v>
      </c>
      <c r="BC120" t="s">
        <v>69</v>
      </c>
      <c r="BD120">
        <v>0.73799999999999999</v>
      </c>
      <c r="BE120">
        <v>0.73799999999999999</v>
      </c>
    </row>
    <row r="121" spans="1:57">
      <c r="A121">
        <v>0</v>
      </c>
      <c r="B121">
        <v>2</v>
      </c>
      <c r="C121">
        <v>0</v>
      </c>
      <c r="D121">
        <v>4103</v>
      </c>
      <c r="E121" t="s">
        <v>5523</v>
      </c>
      <c r="F121" t="s">
        <v>5762</v>
      </c>
      <c r="G121" t="s">
        <v>62</v>
      </c>
      <c r="H121">
        <v>4068192</v>
      </c>
      <c r="I121">
        <v>4068536</v>
      </c>
      <c r="J121" t="s">
        <v>118</v>
      </c>
      <c r="K121">
        <v>115</v>
      </c>
      <c r="L121" t="s">
        <v>59</v>
      </c>
      <c r="M121">
        <v>5</v>
      </c>
      <c r="N121" t="str">
        <f>HYPERLINK("Gene4103-zp_tree_all.dnd", "Gene4103-tree")</f>
        <v>Gene4103-tree</v>
      </c>
      <c r="O121">
        <v>2</v>
      </c>
      <c r="P121">
        <v>3</v>
      </c>
      <c r="Q121">
        <v>2</v>
      </c>
      <c r="R121">
        <v>3</v>
      </c>
      <c r="S121">
        <v>0.6</v>
      </c>
      <c r="T121" t="s">
        <v>135</v>
      </c>
      <c r="U121" t="s">
        <v>84</v>
      </c>
      <c r="V121" t="s">
        <v>62</v>
      </c>
      <c r="W121" t="s">
        <v>62</v>
      </c>
      <c r="X121">
        <v>1</v>
      </c>
      <c r="Y121">
        <v>2</v>
      </c>
      <c r="Z121">
        <v>4</v>
      </c>
      <c r="AA121">
        <v>0.33333000000000002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2</v>
      </c>
      <c r="AH121">
        <v>0</v>
      </c>
      <c r="AI121">
        <v>2</v>
      </c>
      <c r="AJ121">
        <v>3</v>
      </c>
      <c r="AK121">
        <v>0.4</v>
      </c>
      <c r="AL121">
        <v>5</v>
      </c>
      <c r="AM121">
        <v>1</v>
      </c>
      <c r="AN121">
        <v>7</v>
      </c>
      <c r="AO121">
        <v>5</v>
      </c>
      <c r="AP121">
        <v>4</v>
      </c>
      <c r="AQ121">
        <v>1</v>
      </c>
      <c r="AR121" t="s">
        <v>5524</v>
      </c>
      <c r="AS121" t="s">
        <v>5525</v>
      </c>
      <c r="AT121">
        <v>0.84199999999999997</v>
      </c>
      <c r="AU121" t="s">
        <v>65</v>
      </c>
      <c r="AV121">
        <v>11</v>
      </c>
      <c r="AW121">
        <v>6</v>
      </c>
      <c r="AX121" t="s">
        <v>5526</v>
      </c>
      <c r="AY121" t="s">
        <v>5527</v>
      </c>
      <c r="AZ121" t="s">
        <v>5528</v>
      </c>
      <c r="BA121">
        <v>0.13944999999999999</v>
      </c>
      <c r="BB121">
        <v>1</v>
      </c>
      <c r="BC121" t="s">
        <v>69</v>
      </c>
      <c r="BD121">
        <v>0.30399999999999999</v>
      </c>
      <c r="BE121">
        <v>0.30399999999999999</v>
      </c>
    </row>
    <row r="122" spans="1:57">
      <c r="A122">
        <v>0</v>
      </c>
      <c r="B122">
        <v>0</v>
      </c>
      <c r="C122">
        <v>0</v>
      </c>
      <c r="D122">
        <v>2027</v>
      </c>
      <c r="E122" t="s">
        <v>2861</v>
      </c>
      <c r="F122" t="s">
        <v>5762</v>
      </c>
      <c r="G122" t="s">
        <v>62</v>
      </c>
      <c r="H122">
        <v>2122328</v>
      </c>
      <c r="I122">
        <v>2122675</v>
      </c>
      <c r="J122" t="s">
        <v>2862</v>
      </c>
      <c r="K122">
        <v>116</v>
      </c>
      <c r="L122" t="s">
        <v>112</v>
      </c>
      <c r="M122">
        <v>4</v>
      </c>
      <c r="N122" t="str">
        <f>HYPERLINK("Gene2027-zp_tree_all.dnd", "Gene2027-tree")</f>
        <v>Gene2027-tree</v>
      </c>
      <c r="O122">
        <v>2</v>
      </c>
      <c r="P122">
        <v>2</v>
      </c>
      <c r="Q122">
        <v>2</v>
      </c>
      <c r="R122">
        <v>2</v>
      </c>
      <c r="S122">
        <v>0.5</v>
      </c>
      <c r="T122" t="s">
        <v>135</v>
      </c>
      <c r="U122" t="s">
        <v>135</v>
      </c>
      <c r="V122" t="s">
        <v>62</v>
      </c>
      <c r="W122" t="s">
        <v>62</v>
      </c>
      <c r="X122">
        <v>0</v>
      </c>
      <c r="Y122">
        <v>0</v>
      </c>
      <c r="Z122">
        <v>4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4</v>
      </c>
      <c r="AK122">
        <v>0</v>
      </c>
      <c r="AL122">
        <v>4</v>
      </c>
      <c r="AM122">
        <v>1</v>
      </c>
      <c r="AN122">
        <v>18</v>
      </c>
      <c r="AO122">
        <v>4</v>
      </c>
      <c r="AP122">
        <v>1</v>
      </c>
      <c r="AQ122">
        <v>0</v>
      </c>
      <c r="AR122" t="s">
        <v>2863</v>
      </c>
      <c r="AS122" t="s">
        <v>64</v>
      </c>
      <c r="AT122">
        <v>0.87</v>
      </c>
      <c r="AU122" t="s">
        <v>65</v>
      </c>
      <c r="AV122">
        <v>19</v>
      </c>
      <c r="AW122">
        <v>4</v>
      </c>
      <c r="AX122" t="s">
        <v>2864</v>
      </c>
      <c r="AY122" t="s">
        <v>2865</v>
      </c>
      <c r="AZ122" t="s">
        <v>2866</v>
      </c>
      <c r="BA122">
        <v>6.2260000000000003E-2</v>
      </c>
      <c r="BB122">
        <v>1</v>
      </c>
      <c r="BC122" t="s">
        <v>69</v>
      </c>
      <c r="BD122">
        <v>8.5000000000000006E-2</v>
      </c>
      <c r="BE122">
        <v>-0.85399999999999998</v>
      </c>
    </row>
    <row r="123" spans="1:57">
      <c r="A123">
        <v>0</v>
      </c>
      <c r="B123">
        <v>0</v>
      </c>
      <c r="C123">
        <v>0</v>
      </c>
      <c r="D123">
        <v>4257</v>
      </c>
      <c r="E123" t="s">
        <v>5746</v>
      </c>
      <c r="F123" t="s">
        <v>5762</v>
      </c>
      <c r="G123" t="s">
        <v>62</v>
      </c>
      <c r="H123">
        <v>4214756</v>
      </c>
      <c r="I123">
        <v>4215103</v>
      </c>
      <c r="J123" t="s">
        <v>5747</v>
      </c>
      <c r="K123">
        <v>116</v>
      </c>
      <c r="L123" t="s">
        <v>59</v>
      </c>
      <c r="M123">
        <v>5</v>
      </c>
      <c r="N123" t="str">
        <f>HYPERLINK("Gene4257-zp_tree_all.dnd", "Gene4257-tree")</f>
        <v>Gene4257-tree</v>
      </c>
      <c r="O123">
        <v>3</v>
      </c>
      <c r="P123">
        <v>2</v>
      </c>
      <c r="Q123">
        <v>2</v>
      </c>
      <c r="R123">
        <v>2</v>
      </c>
      <c r="S123">
        <v>0.5</v>
      </c>
      <c r="T123" t="s">
        <v>217</v>
      </c>
      <c r="U123" t="s">
        <v>135</v>
      </c>
      <c r="V123" t="s">
        <v>62</v>
      </c>
      <c r="W123" t="s">
        <v>62</v>
      </c>
      <c r="X123">
        <v>0</v>
      </c>
      <c r="Y123">
        <v>0</v>
      </c>
      <c r="Z123">
        <v>2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2</v>
      </c>
      <c r="AK123">
        <v>0</v>
      </c>
      <c r="AL123">
        <v>3</v>
      </c>
      <c r="AM123">
        <v>1</v>
      </c>
      <c r="AN123">
        <v>3</v>
      </c>
      <c r="AO123">
        <v>2</v>
      </c>
      <c r="AP123">
        <v>10</v>
      </c>
      <c r="AQ123">
        <v>0</v>
      </c>
      <c r="AR123" t="s">
        <v>5748</v>
      </c>
      <c r="AS123" t="s">
        <v>64</v>
      </c>
      <c r="AT123">
        <v>1.48</v>
      </c>
      <c r="AU123" t="s">
        <v>65</v>
      </c>
      <c r="AV123">
        <v>13</v>
      </c>
      <c r="AW123">
        <v>2</v>
      </c>
      <c r="AX123" t="s">
        <v>5749</v>
      </c>
      <c r="AY123" t="s">
        <v>5750</v>
      </c>
      <c r="AZ123" t="s">
        <v>5751</v>
      </c>
      <c r="BA123">
        <v>3.227E-2</v>
      </c>
      <c r="BB123">
        <v>1</v>
      </c>
      <c r="BC123" t="s">
        <v>69</v>
      </c>
      <c r="BD123">
        <v>1.171</v>
      </c>
      <c r="BE123">
        <v>0.73799999999999999</v>
      </c>
    </row>
    <row r="124" spans="1:57">
      <c r="A124">
        <v>0</v>
      </c>
      <c r="B124">
        <v>0</v>
      </c>
      <c r="C124">
        <v>0</v>
      </c>
      <c r="D124">
        <v>1727</v>
      </c>
      <c r="E124" t="s">
        <v>2600</v>
      </c>
      <c r="F124" t="s">
        <v>5762</v>
      </c>
      <c r="G124" t="s">
        <v>57</v>
      </c>
      <c r="H124">
        <v>1736451</v>
      </c>
      <c r="I124">
        <v>1736801</v>
      </c>
      <c r="J124" t="s">
        <v>2601</v>
      </c>
      <c r="K124">
        <v>117</v>
      </c>
      <c r="L124" t="s">
        <v>59</v>
      </c>
      <c r="M124">
        <v>5</v>
      </c>
      <c r="N124" t="str">
        <f>HYPERLINK("Gene1727-zp_tree_all.dnd", "Gene1727-tree")</f>
        <v>Gene1727-tree</v>
      </c>
      <c r="O124">
        <v>4</v>
      </c>
      <c r="P124">
        <v>1</v>
      </c>
      <c r="Q124">
        <v>3</v>
      </c>
      <c r="R124">
        <v>1</v>
      </c>
      <c r="S124">
        <v>0.25</v>
      </c>
      <c r="T124" t="s">
        <v>119</v>
      </c>
      <c r="U124" t="s">
        <v>61</v>
      </c>
      <c r="V124" t="s">
        <v>62</v>
      </c>
      <c r="W124" t="s">
        <v>62</v>
      </c>
      <c r="X124">
        <v>0</v>
      </c>
      <c r="Y124">
        <v>0</v>
      </c>
      <c r="Z124">
        <v>2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3</v>
      </c>
      <c r="AM124">
        <v>1</v>
      </c>
      <c r="AN124">
        <v>8</v>
      </c>
      <c r="AO124">
        <v>1</v>
      </c>
      <c r="AP124">
        <v>3</v>
      </c>
      <c r="AQ124">
        <v>1</v>
      </c>
      <c r="AR124" t="s">
        <v>2602</v>
      </c>
      <c r="AS124" t="s">
        <v>2603</v>
      </c>
      <c r="AT124">
        <v>1.302</v>
      </c>
      <c r="AU124" t="s">
        <v>65</v>
      </c>
      <c r="AV124">
        <v>11</v>
      </c>
      <c r="AW124">
        <v>2</v>
      </c>
      <c r="AX124" t="s">
        <v>2604</v>
      </c>
      <c r="AY124" t="s">
        <v>2605</v>
      </c>
      <c r="AZ124" t="s">
        <v>2606</v>
      </c>
      <c r="BA124">
        <v>5.4010000000000002E-2</v>
      </c>
      <c r="BB124">
        <v>1</v>
      </c>
      <c r="BC124" t="s">
        <v>69</v>
      </c>
      <c r="BD124">
        <v>-4.7E-2</v>
      </c>
      <c r="BE124">
        <v>-4.7E-2</v>
      </c>
    </row>
    <row r="125" spans="1:57">
      <c r="A125">
        <v>0</v>
      </c>
      <c r="B125">
        <v>0</v>
      </c>
      <c r="C125">
        <v>0</v>
      </c>
      <c r="D125">
        <v>2445</v>
      </c>
      <c r="E125" t="s">
        <v>3219</v>
      </c>
      <c r="F125" t="s">
        <v>5762</v>
      </c>
      <c r="G125" t="s">
        <v>62</v>
      </c>
      <c r="H125">
        <v>2444648</v>
      </c>
      <c r="I125">
        <v>2444998</v>
      </c>
      <c r="J125" t="s">
        <v>3220</v>
      </c>
      <c r="K125">
        <v>117</v>
      </c>
      <c r="L125" t="s">
        <v>59</v>
      </c>
      <c r="M125">
        <v>5</v>
      </c>
      <c r="N125" t="str">
        <f>HYPERLINK("Gene2445-zp_tree_all.dnd", "Gene2445-tree")</f>
        <v>Gene2445-tree</v>
      </c>
      <c r="O125">
        <v>5</v>
      </c>
      <c r="P125">
        <v>0</v>
      </c>
      <c r="Q125">
        <v>4</v>
      </c>
      <c r="R125">
        <v>0</v>
      </c>
      <c r="S125">
        <v>0</v>
      </c>
      <c r="T125" t="s">
        <v>150</v>
      </c>
      <c r="U125" t="s">
        <v>62</v>
      </c>
      <c r="V125" t="s">
        <v>62</v>
      </c>
      <c r="W125" t="s">
        <v>62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4</v>
      </c>
      <c r="AM125">
        <v>1</v>
      </c>
      <c r="AN125">
        <v>9</v>
      </c>
      <c r="AO125">
        <v>0</v>
      </c>
      <c r="AP125">
        <v>9</v>
      </c>
      <c r="AQ125">
        <v>1</v>
      </c>
      <c r="AR125" t="s">
        <v>64</v>
      </c>
      <c r="AS125" t="s">
        <v>3221</v>
      </c>
      <c r="AT125">
        <v>0</v>
      </c>
      <c r="AU125" t="s">
        <v>65</v>
      </c>
      <c r="AV125">
        <v>18</v>
      </c>
      <c r="AW125">
        <v>1</v>
      </c>
      <c r="AX125" t="s">
        <v>3222</v>
      </c>
      <c r="AY125" t="s">
        <v>3223</v>
      </c>
      <c r="AZ125" t="s">
        <v>3224</v>
      </c>
      <c r="BA125">
        <v>1.6889999999999999E-2</v>
      </c>
      <c r="BB125">
        <v>1</v>
      </c>
      <c r="BC125" t="s">
        <v>69</v>
      </c>
      <c r="BD125">
        <v>0.874</v>
      </c>
      <c r="BE125">
        <v>0.874</v>
      </c>
    </row>
    <row r="126" spans="1:57">
      <c r="A126">
        <v>0</v>
      </c>
      <c r="B126">
        <v>0</v>
      </c>
      <c r="C126">
        <v>0</v>
      </c>
      <c r="D126">
        <v>1014</v>
      </c>
      <c r="E126" t="s">
        <v>1468</v>
      </c>
      <c r="F126" t="s">
        <v>5762</v>
      </c>
      <c r="G126" t="s">
        <v>57</v>
      </c>
      <c r="H126">
        <v>1054746</v>
      </c>
      <c r="I126">
        <v>1055096</v>
      </c>
      <c r="J126" t="s">
        <v>170</v>
      </c>
      <c r="K126">
        <v>117</v>
      </c>
      <c r="L126" t="s">
        <v>59</v>
      </c>
      <c r="M126">
        <v>5</v>
      </c>
      <c r="N126" t="str">
        <f>HYPERLINK("Gene1014-zp_tree_all.dnd", "Gene1014-tree")</f>
        <v>Gene1014-tree</v>
      </c>
      <c r="O126">
        <v>4</v>
      </c>
      <c r="P126">
        <v>1</v>
      </c>
      <c r="Q126">
        <v>4</v>
      </c>
      <c r="R126">
        <v>1</v>
      </c>
      <c r="S126">
        <v>0.2</v>
      </c>
      <c r="T126" t="s">
        <v>60</v>
      </c>
      <c r="U126" t="s">
        <v>61</v>
      </c>
      <c r="V126" t="s">
        <v>62</v>
      </c>
      <c r="W126" t="s">
        <v>62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</v>
      </c>
      <c r="AK126">
        <v>0</v>
      </c>
      <c r="AL126">
        <v>4</v>
      </c>
      <c r="AM126">
        <v>1</v>
      </c>
      <c r="AN126">
        <v>7</v>
      </c>
      <c r="AO126">
        <v>1</v>
      </c>
      <c r="AP126">
        <v>8</v>
      </c>
      <c r="AQ126">
        <v>0</v>
      </c>
      <c r="AR126" t="s">
        <v>1469</v>
      </c>
      <c r="AS126" t="s">
        <v>64</v>
      </c>
      <c r="AT126">
        <v>0.61899999999999999</v>
      </c>
      <c r="AU126" t="s">
        <v>65</v>
      </c>
      <c r="AV126">
        <v>15</v>
      </c>
      <c r="AW126">
        <v>1</v>
      </c>
      <c r="AX126" t="s">
        <v>1470</v>
      </c>
      <c r="AY126" t="s">
        <v>1471</v>
      </c>
      <c r="AZ126" t="s">
        <v>1472</v>
      </c>
      <c r="BA126">
        <v>1.205E-2</v>
      </c>
      <c r="BB126">
        <v>1</v>
      </c>
      <c r="BC126" t="s">
        <v>69</v>
      </c>
      <c r="BD126">
        <v>0.30499999999999999</v>
      </c>
      <c r="BE126">
        <v>0.30499999999999999</v>
      </c>
    </row>
    <row r="127" spans="1:57">
      <c r="A127">
        <v>0</v>
      </c>
      <c r="B127">
        <v>0</v>
      </c>
      <c r="C127">
        <v>0</v>
      </c>
      <c r="D127">
        <v>1111</v>
      </c>
      <c r="E127" t="s">
        <v>1593</v>
      </c>
      <c r="F127" t="s">
        <v>5762</v>
      </c>
      <c r="G127" t="s">
        <v>57</v>
      </c>
      <c r="H127">
        <v>1153265</v>
      </c>
      <c r="I127">
        <v>1153618</v>
      </c>
      <c r="J127" t="s">
        <v>1547</v>
      </c>
      <c r="K127">
        <v>118</v>
      </c>
      <c r="L127" t="s">
        <v>59</v>
      </c>
      <c r="M127">
        <v>5</v>
      </c>
      <c r="N127" t="str">
        <f>HYPERLINK("Gene1111-zp_tree_all.dnd", "Gene1111-tree")</f>
        <v>Gene1111-tree</v>
      </c>
      <c r="O127">
        <v>3</v>
      </c>
      <c r="P127">
        <v>2</v>
      </c>
      <c r="Q127">
        <v>3</v>
      </c>
      <c r="R127">
        <v>2</v>
      </c>
      <c r="S127">
        <v>0.4</v>
      </c>
      <c r="T127" t="s">
        <v>84</v>
      </c>
      <c r="U127" t="s">
        <v>135</v>
      </c>
      <c r="V127" t="s">
        <v>62</v>
      </c>
      <c r="W127" t="s">
        <v>62</v>
      </c>
      <c r="X127">
        <v>0</v>
      </c>
      <c r="Y127">
        <v>0</v>
      </c>
      <c r="Z127">
        <v>5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2</v>
      </c>
      <c r="AK127">
        <v>0</v>
      </c>
      <c r="AL127">
        <v>3</v>
      </c>
      <c r="AM127">
        <v>2</v>
      </c>
      <c r="AN127">
        <v>10</v>
      </c>
      <c r="AO127">
        <v>2</v>
      </c>
      <c r="AP127">
        <v>5</v>
      </c>
      <c r="AQ127">
        <v>3</v>
      </c>
      <c r="AR127" t="s">
        <v>1594</v>
      </c>
      <c r="AS127" t="s">
        <v>1595</v>
      </c>
      <c r="AT127">
        <v>0.68500000000000005</v>
      </c>
      <c r="AU127" t="s">
        <v>65</v>
      </c>
      <c r="AV127">
        <v>15</v>
      </c>
      <c r="AW127">
        <v>5</v>
      </c>
      <c r="AX127" t="s">
        <v>1596</v>
      </c>
      <c r="AY127" t="s">
        <v>1597</v>
      </c>
      <c r="AZ127" t="s">
        <v>1598</v>
      </c>
      <c r="BA127">
        <v>0.11767</v>
      </c>
      <c r="BB127">
        <v>1</v>
      </c>
      <c r="BC127" t="s">
        <v>69</v>
      </c>
      <c r="BD127">
        <v>0</v>
      </c>
      <c r="BE127">
        <v>0</v>
      </c>
    </row>
    <row r="128" spans="1:57">
      <c r="A128">
        <v>0</v>
      </c>
      <c r="B128">
        <v>0</v>
      </c>
      <c r="C128">
        <v>0</v>
      </c>
      <c r="D128">
        <v>3402</v>
      </c>
      <c r="E128" t="s">
        <v>4667</v>
      </c>
      <c r="F128" t="s">
        <v>5762</v>
      </c>
      <c r="G128" t="s">
        <v>62</v>
      </c>
      <c r="H128">
        <v>3366576</v>
      </c>
      <c r="I128">
        <v>3366929</v>
      </c>
      <c r="J128" t="s">
        <v>4668</v>
      </c>
      <c r="K128">
        <v>118</v>
      </c>
      <c r="L128" t="s">
        <v>59</v>
      </c>
      <c r="M128">
        <v>5</v>
      </c>
      <c r="N128" t="str">
        <f>HYPERLINK("Gene3402-zp_tree_all.dnd", "Gene3402-tree")</f>
        <v>Gene3402-tree</v>
      </c>
      <c r="O128">
        <v>5</v>
      </c>
      <c r="P128">
        <v>0</v>
      </c>
      <c r="Q128">
        <v>5</v>
      </c>
      <c r="R128">
        <v>0</v>
      </c>
      <c r="S128">
        <v>0</v>
      </c>
      <c r="T128" t="s">
        <v>98</v>
      </c>
      <c r="U128" t="s">
        <v>62</v>
      </c>
      <c r="V128" t="s">
        <v>62</v>
      </c>
      <c r="W128" t="s">
        <v>62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4</v>
      </c>
      <c r="AM128">
        <v>2</v>
      </c>
      <c r="AN128">
        <v>6</v>
      </c>
      <c r="AO128">
        <v>0</v>
      </c>
      <c r="AP128">
        <v>12</v>
      </c>
      <c r="AQ128">
        <v>0</v>
      </c>
      <c r="AR128" t="s">
        <v>64</v>
      </c>
      <c r="AS128" t="s">
        <v>64</v>
      </c>
      <c r="AT128">
        <v>0</v>
      </c>
      <c r="AU128" t="s">
        <v>65</v>
      </c>
      <c r="AV128">
        <v>18</v>
      </c>
      <c r="AW128">
        <v>0</v>
      </c>
      <c r="AX128" t="s">
        <v>4669</v>
      </c>
      <c r="AY128" t="s">
        <v>4670</v>
      </c>
      <c r="AZ128" t="s">
        <v>64</v>
      </c>
      <c r="BA128">
        <v>0</v>
      </c>
      <c r="BB128">
        <v>1</v>
      </c>
      <c r="BC128" t="s">
        <v>69</v>
      </c>
      <c r="BD128">
        <v>0.81799999999999995</v>
      </c>
      <c r="BE128">
        <v>0.81799999999999995</v>
      </c>
    </row>
    <row r="129" spans="1:57">
      <c r="A129">
        <v>0</v>
      </c>
      <c r="B129">
        <v>0</v>
      </c>
      <c r="C129">
        <v>0</v>
      </c>
      <c r="D129">
        <v>33</v>
      </c>
      <c r="E129" t="s">
        <v>148</v>
      </c>
      <c r="F129" t="s">
        <v>5762</v>
      </c>
      <c r="G129" t="s">
        <v>57</v>
      </c>
      <c r="H129">
        <v>42499</v>
      </c>
      <c r="I129">
        <v>42855</v>
      </c>
      <c r="J129" t="s">
        <v>149</v>
      </c>
      <c r="K129">
        <v>119</v>
      </c>
      <c r="L129" t="s">
        <v>59</v>
      </c>
      <c r="M129">
        <v>5</v>
      </c>
      <c r="N129" t="str">
        <f>HYPERLINK("Gene33-zp_tree_all.dnd", "Gene33-tree")</f>
        <v>Gene33-tree</v>
      </c>
      <c r="O129">
        <v>5</v>
      </c>
      <c r="P129">
        <v>0</v>
      </c>
      <c r="Q129">
        <v>4</v>
      </c>
      <c r="R129">
        <v>0</v>
      </c>
      <c r="S129">
        <v>0</v>
      </c>
      <c r="T129" t="s">
        <v>150</v>
      </c>
      <c r="U129" t="s">
        <v>62</v>
      </c>
      <c r="V129" t="s">
        <v>62</v>
      </c>
      <c r="W129" t="s">
        <v>62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3</v>
      </c>
      <c r="AM129">
        <v>0</v>
      </c>
      <c r="AN129">
        <v>4</v>
      </c>
      <c r="AO129">
        <v>0</v>
      </c>
      <c r="AP129">
        <v>0</v>
      </c>
      <c r="AQ129">
        <v>0</v>
      </c>
      <c r="AR129" t="s">
        <v>64</v>
      </c>
      <c r="AS129" t="s">
        <v>64</v>
      </c>
      <c r="AT129">
        <v>0</v>
      </c>
      <c r="AU129" t="s">
        <v>65</v>
      </c>
      <c r="AV129">
        <v>4</v>
      </c>
      <c r="AW129">
        <v>0</v>
      </c>
      <c r="AX129" t="s">
        <v>151</v>
      </c>
      <c r="AY129" t="s">
        <v>152</v>
      </c>
      <c r="AZ129" t="s">
        <v>64</v>
      </c>
      <c r="BA129">
        <v>0</v>
      </c>
      <c r="BB129">
        <v>1</v>
      </c>
      <c r="BC129" t="s">
        <v>69</v>
      </c>
      <c r="BD129">
        <v>-0.41</v>
      </c>
      <c r="BE129">
        <v>-0.41</v>
      </c>
    </row>
    <row r="130" spans="1:57">
      <c r="A130">
        <v>0</v>
      </c>
      <c r="B130">
        <v>0</v>
      </c>
      <c r="C130">
        <v>0</v>
      </c>
      <c r="D130">
        <v>349</v>
      </c>
      <c r="E130" t="s">
        <v>780</v>
      </c>
      <c r="F130" t="s">
        <v>5762</v>
      </c>
      <c r="G130" t="s">
        <v>57</v>
      </c>
      <c r="H130">
        <v>376032</v>
      </c>
      <c r="I130">
        <v>376391</v>
      </c>
      <c r="J130" t="s">
        <v>781</v>
      </c>
      <c r="K130">
        <v>120</v>
      </c>
      <c r="L130" t="s">
        <v>59</v>
      </c>
      <c r="M130">
        <v>5</v>
      </c>
      <c r="N130" t="str">
        <f>HYPERLINK("Gene349-zp_tree_all.dnd", "Gene349-tree")</f>
        <v>Gene349-tree</v>
      </c>
      <c r="O130">
        <v>3</v>
      </c>
      <c r="P130">
        <v>2</v>
      </c>
      <c r="Q130">
        <v>2</v>
      </c>
      <c r="R130">
        <v>2</v>
      </c>
      <c r="S130">
        <v>0.5</v>
      </c>
      <c r="T130" t="s">
        <v>217</v>
      </c>
      <c r="U130" t="s">
        <v>135</v>
      </c>
      <c r="V130" t="s">
        <v>62</v>
      </c>
      <c r="W130" t="s">
        <v>62</v>
      </c>
      <c r="X130">
        <v>0</v>
      </c>
      <c r="Y130">
        <v>0</v>
      </c>
      <c r="Z130">
        <v>6</v>
      </c>
      <c r="AA130">
        <v>0</v>
      </c>
      <c r="AB130">
        <v>0</v>
      </c>
      <c r="AC130">
        <v>0</v>
      </c>
      <c r="AD130">
        <v>0</v>
      </c>
      <c r="AE130">
        <v>3</v>
      </c>
      <c r="AF130">
        <v>0</v>
      </c>
      <c r="AG130">
        <v>0</v>
      </c>
      <c r="AH130">
        <v>0</v>
      </c>
      <c r="AI130">
        <v>0</v>
      </c>
      <c r="AJ130">
        <v>3</v>
      </c>
      <c r="AK130">
        <v>0</v>
      </c>
      <c r="AL130">
        <v>4</v>
      </c>
      <c r="AM130">
        <v>1</v>
      </c>
      <c r="AN130">
        <v>15</v>
      </c>
      <c r="AO130">
        <v>3</v>
      </c>
      <c r="AP130">
        <v>4</v>
      </c>
      <c r="AQ130">
        <v>3</v>
      </c>
      <c r="AR130" t="s">
        <v>782</v>
      </c>
      <c r="AS130" t="s">
        <v>783</v>
      </c>
      <c r="AT130">
        <v>3.7269999999999999</v>
      </c>
      <c r="AU130" t="s">
        <v>65</v>
      </c>
      <c r="AV130">
        <v>19</v>
      </c>
      <c r="AW130">
        <v>6</v>
      </c>
      <c r="AX130" t="s">
        <v>784</v>
      </c>
      <c r="AY130" t="s">
        <v>785</v>
      </c>
      <c r="AZ130" t="s">
        <v>786</v>
      </c>
      <c r="BA130">
        <v>8.4779999999999994E-2</v>
      </c>
      <c r="BB130">
        <v>1</v>
      </c>
      <c r="BC130" t="s">
        <v>69</v>
      </c>
      <c r="BD130">
        <v>0.309</v>
      </c>
      <c r="BE130">
        <v>-0.29599999999999999</v>
      </c>
    </row>
    <row r="131" spans="1:57">
      <c r="A131">
        <v>0</v>
      </c>
      <c r="B131">
        <v>0</v>
      </c>
      <c r="C131">
        <v>0</v>
      </c>
      <c r="D131">
        <v>1644</v>
      </c>
      <c r="E131" t="s">
        <v>2355</v>
      </c>
      <c r="F131" t="s">
        <v>5762</v>
      </c>
      <c r="G131" t="s">
        <v>57</v>
      </c>
      <c r="H131">
        <v>1656064</v>
      </c>
      <c r="I131">
        <v>1656423</v>
      </c>
      <c r="J131" t="s">
        <v>2356</v>
      </c>
      <c r="K131">
        <v>120</v>
      </c>
      <c r="L131" t="s">
        <v>59</v>
      </c>
      <c r="M131">
        <v>5</v>
      </c>
      <c r="N131" t="str">
        <f>HYPERLINK("Gene1644-zp_tree_all.dnd", "Gene1644-tree")</f>
        <v>Gene1644-tree</v>
      </c>
      <c r="O131">
        <v>4</v>
      </c>
      <c r="P131">
        <v>0</v>
      </c>
      <c r="Q131">
        <v>4</v>
      </c>
      <c r="R131">
        <v>0</v>
      </c>
      <c r="S131">
        <v>0</v>
      </c>
      <c r="T131" t="s">
        <v>60</v>
      </c>
      <c r="U131" t="s">
        <v>62</v>
      </c>
      <c r="V131" t="s">
        <v>62</v>
      </c>
      <c r="W131" t="s">
        <v>62</v>
      </c>
      <c r="X131">
        <v>0</v>
      </c>
      <c r="Y131">
        <v>0</v>
      </c>
      <c r="Z131">
        <v>2</v>
      </c>
      <c r="AA131">
        <v>0</v>
      </c>
      <c r="AB131">
        <v>0</v>
      </c>
      <c r="AC131">
        <v>0</v>
      </c>
      <c r="AD131">
        <v>0</v>
      </c>
      <c r="AE131">
        <v>2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3</v>
      </c>
      <c r="AM131">
        <v>1</v>
      </c>
      <c r="AN131">
        <v>4</v>
      </c>
      <c r="AO131">
        <v>0</v>
      </c>
      <c r="AP131">
        <v>7</v>
      </c>
      <c r="AQ131">
        <v>2</v>
      </c>
      <c r="AR131" t="s">
        <v>64</v>
      </c>
      <c r="AS131" t="s">
        <v>2357</v>
      </c>
      <c r="AT131">
        <v>0</v>
      </c>
      <c r="AU131" t="s">
        <v>65</v>
      </c>
      <c r="AV131">
        <v>11</v>
      </c>
      <c r="AW131">
        <v>2</v>
      </c>
      <c r="AX131" t="s">
        <v>2358</v>
      </c>
      <c r="AY131" t="s">
        <v>2359</v>
      </c>
      <c r="AZ131" t="s">
        <v>2360</v>
      </c>
      <c r="BA131">
        <v>5.7750000000000003E-2</v>
      </c>
      <c r="BB131">
        <v>1</v>
      </c>
      <c r="BC131" t="s">
        <v>69</v>
      </c>
      <c r="BD131">
        <v>0.88500000000000001</v>
      </c>
      <c r="BE131">
        <v>0.88500000000000001</v>
      </c>
    </row>
    <row r="132" spans="1:57">
      <c r="A132">
        <v>0</v>
      </c>
      <c r="B132">
        <v>0</v>
      </c>
      <c r="C132">
        <v>0</v>
      </c>
      <c r="D132">
        <v>1860</v>
      </c>
      <c r="E132" t="s">
        <v>2775</v>
      </c>
      <c r="F132" t="s">
        <v>5762</v>
      </c>
      <c r="G132" t="s">
        <v>57</v>
      </c>
      <c r="H132">
        <v>1924030</v>
      </c>
      <c r="I132">
        <v>1924389</v>
      </c>
      <c r="J132" t="s">
        <v>2776</v>
      </c>
      <c r="K132">
        <v>120</v>
      </c>
      <c r="L132" t="s">
        <v>112</v>
      </c>
      <c r="M132">
        <v>4</v>
      </c>
      <c r="N132" t="str">
        <f>HYPERLINK("Gene1860-zp_tree_all.dnd", "Gene1860-tree")</f>
        <v>Gene1860-tree</v>
      </c>
      <c r="O132">
        <v>2</v>
      </c>
      <c r="P132">
        <v>2</v>
      </c>
      <c r="Q132">
        <v>2</v>
      </c>
      <c r="R132">
        <v>2</v>
      </c>
      <c r="S132">
        <v>0.5</v>
      </c>
      <c r="T132" t="s">
        <v>135</v>
      </c>
      <c r="U132" t="s">
        <v>135</v>
      </c>
      <c r="V132" t="s">
        <v>62</v>
      </c>
      <c r="W132" t="s">
        <v>62</v>
      </c>
      <c r="X132">
        <v>0</v>
      </c>
      <c r="Y132">
        <v>0</v>
      </c>
      <c r="Z132">
        <v>3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3</v>
      </c>
      <c r="AK132">
        <v>0</v>
      </c>
      <c r="AL132">
        <v>3</v>
      </c>
      <c r="AM132">
        <v>1</v>
      </c>
      <c r="AN132">
        <v>16</v>
      </c>
      <c r="AO132">
        <v>3</v>
      </c>
      <c r="AP132">
        <v>1</v>
      </c>
      <c r="AQ132">
        <v>0</v>
      </c>
      <c r="AR132" t="s">
        <v>2777</v>
      </c>
      <c r="AS132" t="s">
        <v>64</v>
      </c>
      <c r="AT132">
        <v>0.84499999999999997</v>
      </c>
      <c r="AU132" t="s">
        <v>65</v>
      </c>
      <c r="AV132">
        <v>17</v>
      </c>
      <c r="AW132">
        <v>3</v>
      </c>
      <c r="AX132" t="s">
        <v>2778</v>
      </c>
      <c r="AY132" t="s">
        <v>2779</v>
      </c>
      <c r="AZ132" t="s">
        <v>2780</v>
      </c>
      <c r="BA132">
        <v>4.505E-2</v>
      </c>
      <c r="BB132">
        <v>1</v>
      </c>
      <c r="BC132" t="s">
        <v>69</v>
      </c>
      <c r="BD132">
        <v>-0.35899999999999999</v>
      </c>
      <c r="BE132">
        <v>-0.85299999999999998</v>
      </c>
    </row>
    <row r="133" spans="1:57">
      <c r="A133">
        <v>0</v>
      </c>
      <c r="B133">
        <v>0</v>
      </c>
      <c r="C133">
        <v>0</v>
      </c>
      <c r="D133">
        <v>145</v>
      </c>
      <c r="E133" t="s">
        <v>560</v>
      </c>
      <c r="F133" t="s">
        <v>5762</v>
      </c>
      <c r="G133" t="s">
        <v>57</v>
      </c>
      <c r="H133">
        <v>149953</v>
      </c>
      <c r="I133">
        <v>150312</v>
      </c>
      <c r="J133" t="s">
        <v>561</v>
      </c>
      <c r="K133">
        <v>120</v>
      </c>
      <c r="L133" t="s">
        <v>59</v>
      </c>
      <c r="M133">
        <v>5</v>
      </c>
      <c r="N133" t="str">
        <f>HYPERLINK("Gene145-zp_tree_all.dnd", "Gene145-tree")</f>
        <v>Gene145-tree</v>
      </c>
      <c r="O133">
        <v>4</v>
      </c>
      <c r="P133">
        <v>0</v>
      </c>
      <c r="Q133">
        <v>4</v>
      </c>
      <c r="R133">
        <v>0</v>
      </c>
      <c r="S133">
        <v>0</v>
      </c>
      <c r="T133" t="s">
        <v>60</v>
      </c>
      <c r="U133" t="s">
        <v>62</v>
      </c>
      <c r="V133" t="s">
        <v>62</v>
      </c>
      <c r="W133" t="s">
        <v>62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3</v>
      </c>
      <c r="AM133">
        <v>1</v>
      </c>
      <c r="AN133">
        <v>3</v>
      </c>
      <c r="AO133">
        <v>0</v>
      </c>
      <c r="AP133">
        <v>1</v>
      </c>
      <c r="AQ133">
        <v>0</v>
      </c>
      <c r="AR133" t="s">
        <v>64</v>
      </c>
      <c r="AS133" t="s">
        <v>64</v>
      </c>
      <c r="AT133">
        <v>0</v>
      </c>
      <c r="AU133" t="s">
        <v>65</v>
      </c>
      <c r="AV133">
        <v>4</v>
      </c>
      <c r="AW133">
        <v>0</v>
      </c>
      <c r="AX133" t="s">
        <v>562</v>
      </c>
      <c r="AY133" t="s">
        <v>563</v>
      </c>
      <c r="AZ133" t="s">
        <v>64</v>
      </c>
      <c r="BA133">
        <v>0</v>
      </c>
      <c r="BB133">
        <v>1</v>
      </c>
      <c r="BC133" t="s">
        <v>69</v>
      </c>
      <c r="BD133">
        <v>0.27300000000000002</v>
      </c>
      <c r="BE133">
        <v>0.27300000000000002</v>
      </c>
    </row>
    <row r="134" spans="1:57">
      <c r="A134">
        <v>0</v>
      </c>
      <c r="B134">
        <v>0</v>
      </c>
      <c r="C134">
        <v>0</v>
      </c>
      <c r="D134">
        <v>4072</v>
      </c>
      <c r="E134" t="s">
        <v>5467</v>
      </c>
      <c r="F134" t="s">
        <v>5762</v>
      </c>
      <c r="G134" t="s">
        <v>62</v>
      </c>
      <c r="H134">
        <v>4038797</v>
      </c>
      <c r="I134">
        <v>4039159</v>
      </c>
      <c r="J134" t="s">
        <v>118</v>
      </c>
      <c r="K134">
        <v>121</v>
      </c>
      <c r="L134" t="s">
        <v>112</v>
      </c>
      <c r="M134">
        <v>4</v>
      </c>
      <c r="N134" t="str">
        <f>HYPERLINK("Gene4072-zp_tree_all.dnd", "Gene4072-tree")</f>
        <v>Gene4072-tree</v>
      </c>
      <c r="O134">
        <v>1</v>
      </c>
      <c r="P134">
        <v>3</v>
      </c>
      <c r="Q134">
        <v>1</v>
      </c>
      <c r="R134">
        <v>3</v>
      </c>
      <c r="S134">
        <v>0.75</v>
      </c>
      <c r="T134" t="s">
        <v>61</v>
      </c>
      <c r="U134" t="s">
        <v>84</v>
      </c>
      <c r="V134" t="s">
        <v>62</v>
      </c>
      <c r="W134" t="s">
        <v>62</v>
      </c>
      <c r="X134">
        <v>0</v>
      </c>
      <c r="Y134">
        <v>0</v>
      </c>
      <c r="Z134">
        <v>3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3</v>
      </c>
      <c r="AK134">
        <v>0</v>
      </c>
      <c r="AL134">
        <v>3</v>
      </c>
      <c r="AM134">
        <v>1</v>
      </c>
      <c r="AN134">
        <v>4</v>
      </c>
      <c r="AO134">
        <v>2</v>
      </c>
      <c r="AP134">
        <v>2</v>
      </c>
      <c r="AQ134">
        <v>1</v>
      </c>
      <c r="AR134" t="s">
        <v>5468</v>
      </c>
      <c r="AS134" t="s">
        <v>5469</v>
      </c>
      <c r="AT134">
        <v>6.0000000000000001E-3</v>
      </c>
      <c r="AU134" t="s">
        <v>65</v>
      </c>
      <c r="AV134">
        <v>6</v>
      </c>
      <c r="AW134">
        <v>3</v>
      </c>
      <c r="AX134" t="s">
        <v>5470</v>
      </c>
      <c r="AY134" t="s">
        <v>5471</v>
      </c>
      <c r="AZ134" t="s">
        <v>5472</v>
      </c>
      <c r="BA134">
        <v>0.1116</v>
      </c>
      <c r="BB134">
        <v>1</v>
      </c>
      <c r="BC134" t="s">
        <v>69</v>
      </c>
      <c r="BD134">
        <v>0.184</v>
      </c>
      <c r="BE134">
        <v>0.184</v>
      </c>
    </row>
    <row r="135" spans="1:57">
      <c r="A135">
        <v>0</v>
      </c>
      <c r="B135">
        <v>0</v>
      </c>
      <c r="C135">
        <v>0</v>
      </c>
      <c r="D135">
        <v>1588</v>
      </c>
      <c r="E135" t="s">
        <v>2211</v>
      </c>
      <c r="F135" t="s">
        <v>5762</v>
      </c>
      <c r="G135" t="s">
        <v>57</v>
      </c>
      <c r="H135">
        <v>1595935</v>
      </c>
      <c r="I135">
        <v>1596297</v>
      </c>
      <c r="J135" t="s">
        <v>2212</v>
      </c>
      <c r="K135">
        <v>121</v>
      </c>
      <c r="L135" t="s">
        <v>59</v>
      </c>
      <c r="M135">
        <v>5</v>
      </c>
      <c r="N135" t="str">
        <f>HYPERLINK("Gene1588-zp_tree_all.dnd", "Gene1588-tree")</f>
        <v>Gene1588-tree</v>
      </c>
      <c r="O135">
        <v>2</v>
      </c>
      <c r="P135">
        <v>2</v>
      </c>
      <c r="Q135">
        <v>2</v>
      </c>
      <c r="R135">
        <v>2</v>
      </c>
      <c r="S135">
        <v>0.5</v>
      </c>
      <c r="T135" t="s">
        <v>135</v>
      </c>
      <c r="U135" t="s">
        <v>135</v>
      </c>
      <c r="V135" t="s">
        <v>62</v>
      </c>
      <c r="W135" t="s">
        <v>62</v>
      </c>
      <c r="X135">
        <v>0</v>
      </c>
      <c r="Y135">
        <v>0</v>
      </c>
      <c r="Z135">
        <v>2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2</v>
      </c>
      <c r="AK135">
        <v>0</v>
      </c>
      <c r="AL135">
        <v>3</v>
      </c>
      <c r="AM135">
        <v>1</v>
      </c>
      <c r="AN135">
        <v>7</v>
      </c>
      <c r="AO135">
        <v>2</v>
      </c>
      <c r="AP135">
        <v>5</v>
      </c>
      <c r="AQ135">
        <v>0</v>
      </c>
      <c r="AR135" t="s">
        <v>2213</v>
      </c>
      <c r="AS135" t="s">
        <v>64</v>
      </c>
      <c r="AT135">
        <v>3.1930000000000001</v>
      </c>
      <c r="AU135" t="s">
        <v>286</v>
      </c>
      <c r="AV135">
        <v>12</v>
      </c>
      <c r="AW135">
        <v>2</v>
      </c>
      <c r="AX135" t="s">
        <v>2214</v>
      </c>
      <c r="AY135" t="s">
        <v>2215</v>
      </c>
      <c r="AZ135" t="s">
        <v>2216</v>
      </c>
      <c r="BA135">
        <v>4.4970000000000003E-2</v>
      </c>
      <c r="BB135">
        <v>1</v>
      </c>
      <c r="BC135" t="s">
        <v>69</v>
      </c>
      <c r="BD135">
        <v>-0.13</v>
      </c>
      <c r="BE135">
        <v>-0.13</v>
      </c>
    </row>
    <row r="136" spans="1:57">
      <c r="A136">
        <v>0</v>
      </c>
      <c r="B136">
        <v>0</v>
      </c>
      <c r="C136">
        <v>2</v>
      </c>
      <c r="D136">
        <v>1197</v>
      </c>
      <c r="E136" t="s">
        <v>1683</v>
      </c>
      <c r="F136" t="s">
        <v>5762</v>
      </c>
      <c r="G136" t="s">
        <v>57</v>
      </c>
      <c r="H136">
        <v>1236609</v>
      </c>
      <c r="I136">
        <v>1236974</v>
      </c>
      <c r="J136" t="s">
        <v>118</v>
      </c>
      <c r="K136">
        <v>122</v>
      </c>
      <c r="L136" t="s">
        <v>59</v>
      </c>
      <c r="M136">
        <v>5</v>
      </c>
      <c r="N136" t="str">
        <f>HYPERLINK("Gene1197-zp_tree_all.dnd", "Gene1197-tree")</f>
        <v>Gene1197-tree</v>
      </c>
      <c r="O136">
        <v>0</v>
      </c>
      <c r="P136">
        <v>5</v>
      </c>
      <c r="Q136">
        <v>0</v>
      </c>
      <c r="R136">
        <v>5</v>
      </c>
      <c r="S136">
        <v>1</v>
      </c>
      <c r="T136" t="s">
        <v>62</v>
      </c>
      <c r="U136" t="s">
        <v>98</v>
      </c>
      <c r="V136" t="s">
        <v>62</v>
      </c>
      <c r="W136" t="s">
        <v>62</v>
      </c>
      <c r="X136">
        <v>1</v>
      </c>
      <c r="Y136">
        <v>2</v>
      </c>
      <c r="Z136">
        <v>7</v>
      </c>
      <c r="AA136">
        <v>0.22222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2</v>
      </c>
      <c r="AI136">
        <v>2</v>
      </c>
      <c r="AJ136">
        <v>4</v>
      </c>
      <c r="AK136">
        <v>0.33333000000000002</v>
      </c>
      <c r="AL136">
        <v>4</v>
      </c>
      <c r="AM136">
        <v>2</v>
      </c>
      <c r="AN136">
        <v>5</v>
      </c>
      <c r="AO136">
        <v>5</v>
      </c>
      <c r="AP136">
        <v>8</v>
      </c>
      <c r="AQ136">
        <v>4</v>
      </c>
      <c r="AR136" t="s">
        <v>1684</v>
      </c>
      <c r="AS136" t="s">
        <v>1685</v>
      </c>
      <c r="AT136">
        <v>0.71099999999999997</v>
      </c>
      <c r="AU136" t="s">
        <v>65</v>
      </c>
      <c r="AV136">
        <v>13</v>
      </c>
      <c r="AW136">
        <v>9</v>
      </c>
      <c r="AX136" t="s">
        <v>1686</v>
      </c>
      <c r="AY136" t="s">
        <v>1687</v>
      </c>
      <c r="AZ136" t="s">
        <v>1688</v>
      </c>
      <c r="BA136">
        <v>0.17311000000000001</v>
      </c>
      <c r="BB136">
        <v>1</v>
      </c>
      <c r="BC136" t="s">
        <v>69</v>
      </c>
      <c r="BD136">
        <v>0.629</v>
      </c>
      <c r="BE136">
        <v>0.16900000000000001</v>
      </c>
    </row>
    <row r="137" spans="1:57">
      <c r="A137">
        <v>0</v>
      </c>
      <c r="B137">
        <v>2</v>
      </c>
      <c r="C137">
        <v>2</v>
      </c>
      <c r="D137">
        <v>448</v>
      </c>
      <c r="E137" t="s">
        <v>895</v>
      </c>
      <c r="F137" t="s">
        <v>5762</v>
      </c>
      <c r="G137" t="s">
        <v>57</v>
      </c>
      <c r="H137">
        <v>494506</v>
      </c>
      <c r="I137">
        <v>494874</v>
      </c>
      <c r="J137" t="s">
        <v>896</v>
      </c>
      <c r="K137">
        <v>123</v>
      </c>
      <c r="L137" t="s">
        <v>59</v>
      </c>
      <c r="M137">
        <v>5</v>
      </c>
      <c r="N137" t="str">
        <f>HYPERLINK("Gene448-zp_tree_all.dnd", "Gene448-tree")</f>
        <v>Gene448-tree</v>
      </c>
      <c r="O137">
        <v>1</v>
      </c>
      <c r="P137">
        <v>4</v>
      </c>
      <c r="Q137">
        <v>1</v>
      </c>
      <c r="R137">
        <v>4</v>
      </c>
      <c r="S137">
        <v>0.8</v>
      </c>
      <c r="T137" t="s">
        <v>61</v>
      </c>
      <c r="U137" t="s">
        <v>60</v>
      </c>
      <c r="V137" t="s">
        <v>62</v>
      </c>
      <c r="W137" t="s">
        <v>62</v>
      </c>
      <c r="X137">
        <v>2</v>
      </c>
      <c r="Y137">
        <v>4</v>
      </c>
      <c r="Z137">
        <v>2</v>
      </c>
      <c r="AA137">
        <v>0.66666999999999998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2</v>
      </c>
      <c r="AI137">
        <v>2</v>
      </c>
      <c r="AJ137">
        <v>3</v>
      </c>
      <c r="AK137">
        <v>0.4</v>
      </c>
      <c r="AL137">
        <v>5</v>
      </c>
      <c r="AM137">
        <v>2</v>
      </c>
      <c r="AN137">
        <v>16</v>
      </c>
      <c r="AO137">
        <v>5</v>
      </c>
      <c r="AP137">
        <v>7</v>
      </c>
      <c r="AQ137">
        <v>1</v>
      </c>
      <c r="AR137" t="s">
        <v>897</v>
      </c>
      <c r="AS137" t="s">
        <v>898</v>
      </c>
      <c r="AT137">
        <v>1.216</v>
      </c>
      <c r="AU137" t="s">
        <v>65</v>
      </c>
      <c r="AV137">
        <v>23</v>
      </c>
      <c r="AW137">
        <v>6</v>
      </c>
      <c r="AX137" t="s">
        <v>899</v>
      </c>
      <c r="AY137" t="s">
        <v>900</v>
      </c>
      <c r="AZ137" t="s">
        <v>901</v>
      </c>
      <c r="BA137">
        <v>4.666E-2</v>
      </c>
      <c r="BB137">
        <v>1</v>
      </c>
      <c r="BC137" t="s">
        <v>69</v>
      </c>
      <c r="BD137">
        <v>0.24199999999999999</v>
      </c>
      <c r="BE137">
        <v>-0.43</v>
      </c>
    </row>
    <row r="138" spans="1:57">
      <c r="A138">
        <v>0</v>
      </c>
      <c r="B138">
        <v>0</v>
      </c>
      <c r="C138">
        <v>0</v>
      </c>
      <c r="D138">
        <v>657</v>
      </c>
      <c r="E138" t="s">
        <v>1068</v>
      </c>
      <c r="F138" t="s">
        <v>5762</v>
      </c>
      <c r="G138" t="s">
        <v>57</v>
      </c>
      <c r="H138">
        <v>679390</v>
      </c>
      <c r="I138">
        <v>679758</v>
      </c>
      <c r="J138" t="s">
        <v>1069</v>
      </c>
      <c r="K138">
        <v>123</v>
      </c>
      <c r="L138" t="s">
        <v>59</v>
      </c>
      <c r="M138">
        <v>5</v>
      </c>
      <c r="N138" t="str">
        <f>HYPERLINK("Gene657-zp_tree_all.dnd", "Gene657-tree")</f>
        <v>Gene657-tree</v>
      </c>
      <c r="O138">
        <v>5</v>
      </c>
      <c r="P138">
        <v>0</v>
      </c>
      <c r="Q138">
        <v>5</v>
      </c>
      <c r="R138">
        <v>0</v>
      </c>
      <c r="S138">
        <v>0</v>
      </c>
      <c r="T138" t="s">
        <v>98</v>
      </c>
      <c r="U138" t="s">
        <v>62</v>
      </c>
      <c r="V138" t="s">
        <v>62</v>
      </c>
      <c r="W138" t="s">
        <v>62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3</v>
      </c>
      <c r="AM138">
        <v>2</v>
      </c>
      <c r="AN138">
        <v>5</v>
      </c>
      <c r="AO138">
        <v>0</v>
      </c>
      <c r="AP138">
        <v>9</v>
      </c>
      <c r="AQ138">
        <v>1</v>
      </c>
      <c r="AR138" t="s">
        <v>64</v>
      </c>
      <c r="AS138" t="s">
        <v>1070</v>
      </c>
      <c r="AT138">
        <v>0.872</v>
      </c>
      <c r="AU138" t="s">
        <v>65</v>
      </c>
      <c r="AV138">
        <v>14</v>
      </c>
      <c r="AW138">
        <v>1</v>
      </c>
      <c r="AX138" t="s">
        <v>1071</v>
      </c>
      <c r="AY138" t="s">
        <v>1072</v>
      </c>
      <c r="AZ138" t="s">
        <v>1073</v>
      </c>
      <c r="BA138">
        <v>2.3449999999999999E-2</v>
      </c>
      <c r="BB138">
        <v>1</v>
      </c>
      <c r="BC138" t="s">
        <v>69</v>
      </c>
      <c r="BD138">
        <v>1.0629999999999999</v>
      </c>
      <c r="BE138">
        <v>0.52100000000000002</v>
      </c>
    </row>
    <row r="139" spans="1:57">
      <c r="A139">
        <v>0</v>
      </c>
      <c r="B139">
        <v>0</v>
      </c>
      <c r="C139">
        <v>0</v>
      </c>
      <c r="D139">
        <v>105</v>
      </c>
      <c r="E139" t="s">
        <v>407</v>
      </c>
      <c r="F139" t="s">
        <v>5762</v>
      </c>
      <c r="G139" t="s">
        <v>57</v>
      </c>
      <c r="H139">
        <v>120607</v>
      </c>
      <c r="I139">
        <v>120975</v>
      </c>
      <c r="J139" t="s">
        <v>408</v>
      </c>
      <c r="K139">
        <v>123</v>
      </c>
      <c r="L139" t="s">
        <v>59</v>
      </c>
      <c r="M139">
        <v>5</v>
      </c>
      <c r="N139" t="str">
        <f>HYPERLINK("Gene105-zp_tree_all.dnd", "Gene105-tree")</f>
        <v>Gene105-tree</v>
      </c>
      <c r="O139">
        <v>5</v>
      </c>
      <c r="P139">
        <v>0</v>
      </c>
      <c r="Q139">
        <v>5</v>
      </c>
      <c r="R139">
        <v>0</v>
      </c>
      <c r="S139">
        <v>0</v>
      </c>
      <c r="T139" t="s">
        <v>98</v>
      </c>
      <c r="U139" t="s">
        <v>62</v>
      </c>
      <c r="V139" t="s">
        <v>62</v>
      </c>
      <c r="W139" t="s">
        <v>62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3</v>
      </c>
      <c r="AM139">
        <v>2</v>
      </c>
      <c r="AN139">
        <v>3</v>
      </c>
      <c r="AO139">
        <v>0</v>
      </c>
      <c r="AP139">
        <v>3</v>
      </c>
      <c r="AQ139">
        <v>0</v>
      </c>
      <c r="AR139" t="s">
        <v>64</v>
      </c>
      <c r="AS139" t="s">
        <v>64</v>
      </c>
      <c r="AT139">
        <v>0</v>
      </c>
      <c r="AU139" t="s">
        <v>65</v>
      </c>
      <c r="AV139">
        <v>6</v>
      </c>
      <c r="AW139">
        <v>0</v>
      </c>
      <c r="AX139" t="s">
        <v>409</v>
      </c>
      <c r="AY139" t="s">
        <v>410</v>
      </c>
      <c r="AZ139" t="s">
        <v>64</v>
      </c>
      <c r="BA139">
        <v>0</v>
      </c>
      <c r="BB139">
        <v>1</v>
      </c>
      <c r="BC139" t="s">
        <v>69</v>
      </c>
      <c r="BD139">
        <v>0.28599999999999998</v>
      </c>
      <c r="BE139">
        <v>0.28599999999999998</v>
      </c>
    </row>
    <row r="140" spans="1:57">
      <c r="A140">
        <v>0</v>
      </c>
      <c r="B140">
        <v>0</v>
      </c>
      <c r="C140">
        <v>0</v>
      </c>
      <c r="D140">
        <v>938</v>
      </c>
      <c r="E140" t="s">
        <v>1389</v>
      </c>
      <c r="F140" t="s">
        <v>5762</v>
      </c>
      <c r="G140" t="s">
        <v>57</v>
      </c>
      <c r="H140">
        <v>979939</v>
      </c>
      <c r="I140">
        <v>980310</v>
      </c>
      <c r="J140" t="s">
        <v>1390</v>
      </c>
      <c r="K140">
        <v>124</v>
      </c>
      <c r="L140" t="s">
        <v>59</v>
      </c>
      <c r="M140">
        <v>5</v>
      </c>
      <c r="N140" t="str">
        <f>HYPERLINK("Gene938-zp_tree_all.dnd", "Gene938-tree")</f>
        <v>Gene938-tree</v>
      </c>
      <c r="O140">
        <v>2</v>
      </c>
      <c r="P140">
        <v>3</v>
      </c>
      <c r="Q140">
        <v>1</v>
      </c>
      <c r="R140">
        <v>3</v>
      </c>
      <c r="S140">
        <v>0.75</v>
      </c>
      <c r="T140" t="s">
        <v>61</v>
      </c>
      <c r="U140" t="s">
        <v>84</v>
      </c>
      <c r="V140" t="s">
        <v>62</v>
      </c>
      <c r="W140" t="s">
        <v>62</v>
      </c>
      <c r="X140">
        <v>0</v>
      </c>
      <c r="Y140">
        <v>0</v>
      </c>
      <c r="Z140">
        <v>10</v>
      </c>
      <c r="AA140">
        <v>0</v>
      </c>
      <c r="AB140">
        <v>0</v>
      </c>
      <c r="AC140">
        <v>0</v>
      </c>
      <c r="AD140">
        <v>0</v>
      </c>
      <c r="AE140">
        <v>3</v>
      </c>
      <c r="AF140">
        <v>0</v>
      </c>
      <c r="AG140">
        <v>0</v>
      </c>
      <c r="AH140">
        <v>0</v>
      </c>
      <c r="AI140">
        <v>0</v>
      </c>
      <c r="AJ140">
        <v>7</v>
      </c>
      <c r="AK140">
        <v>0</v>
      </c>
      <c r="AL140">
        <v>4</v>
      </c>
      <c r="AM140">
        <v>1</v>
      </c>
      <c r="AN140">
        <v>13</v>
      </c>
      <c r="AO140">
        <v>7</v>
      </c>
      <c r="AP140">
        <v>4</v>
      </c>
      <c r="AQ140">
        <v>3</v>
      </c>
      <c r="AR140" t="s">
        <v>1391</v>
      </c>
      <c r="AS140" t="s">
        <v>1392</v>
      </c>
      <c r="AT140">
        <v>1.026</v>
      </c>
      <c r="AU140" t="s">
        <v>65</v>
      </c>
      <c r="AV140">
        <v>17</v>
      </c>
      <c r="AW140">
        <v>10</v>
      </c>
      <c r="AX140" t="s">
        <v>1393</v>
      </c>
      <c r="AY140" t="s">
        <v>1394</v>
      </c>
      <c r="AZ140" t="s">
        <v>1395</v>
      </c>
      <c r="BA140">
        <v>0.15705</v>
      </c>
      <c r="BB140">
        <v>1</v>
      </c>
      <c r="BC140" t="s">
        <v>69</v>
      </c>
      <c r="BD140">
        <v>-0.24399999999999999</v>
      </c>
      <c r="BE140">
        <v>-0.24399999999999999</v>
      </c>
    </row>
    <row r="141" spans="1:57">
      <c r="A141">
        <v>0</v>
      </c>
      <c r="B141">
        <v>0</v>
      </c>
      <c r="C141">
        <v>0</v>
      </c>
      <c r="D141">
        <v>3950</v>
      </c>
      <c r="E141" t="s">
        <v>5313</v>
      </c>
      <c r="F141" t="s">
        <v>5762</v>
      </c>
      <c r="G141" t="s">
        <v>62</v>
      </c>
      <c r="H141">
        <v>3914318</v>
      </c>
      <c r="I141">
        <v>3914689</v>
      </c>
      <c r="J141" t="s">
        <v>5314</v>
      </c>
      <c r="K141">
        <v>124</v>
      </c>
      <c r="L141" t="s">
        <v>59</v>
      </c>
      <c r="M141">
        <v>5</v>
      </c>
      <c r="N141" t="str">
        <f>HYPERLINK("Gene3950-zp_tree_all.dnd", "Gene3950-tree")</f>
        <v>Gene3950-tree</v>
      </c>
      <c r="O141">
        <v>4</v>
      </c>
      <c r="P141">
        <v>0</v>
      </c>
      <c r="Q141">
        <v>4</v>
      </c>
      <c r="R141">
        <v>0</v>
      </c>
      <c r="S141">
        <v>0</v>
      </c>
      <c r="T141" t="s">
        <v>60</v>
      </c>
      <c r="U141" t="s">
        <v>62</v>
      </c>
      <c r="V141" t="s">
        <v>62</v>
      </c>
      <c r="W141" t="s">
        <v>62</v>
      </c>
      <c r="X141">
        <v>0</v>
      </c>
      <c r="Y141">
        <v>0</v>
      </c>
      <c r="Z141">
        <v>2</v>
      </c>
      <c r="AA141">
        <v>0</v>
      </c>
      <c r="AB141">
        <v>0</v>
      </c>
      <c r="AC141">
        <v>0</v>
      </c>
      <c r="AD141">
        <v>0</v>
      </c>
      <c r="AE141">
        <v>2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3</v>
      </c>
      <c r="AM141">
        <v>1</v>
      </c>
      <c r="AN141">
        <v>6</v>
      </c>
      <c r="AO141">
        <v>0</v>
      </c>
      <c r="AP141">
        <v>9</v>
      </c>
      <c r="AQ141">
        <v>4</v>
      </c>
      <c r="AR141" t="s">
        <v>64</v>
      </c>
      <c r="AS141" t="s">
        <v>5315</v>
      </c>
      <c r="AT141">
        <v>0</v>
      </c>
      <c r="AU141" t="s">
        <v>65</v>
      </c>
      <c r="AV141">
        <v>15</v>
      </c>
      <c r="AW141">
        <v>4</v>
      </c>
      <c r="AX141" t="s">
        <v>5316</v>
      </c>
      <c r="AY141" t="s">
        <v>5317</v>
      </c>
      <c r="AZ141" t="s">
        <v>5318</v>
      </c>
      <c r="BA141">
        <v>7.9399999999999998E-2</v>
      </c>
      <c r="BB141">
        <v>1</v>
      </c>
      <c r="BC141" t="s">
        <v>69</v>
      </c>
      <c r="BD141">
        <v>0.874</v>
      </c>
      <c r="BE141">
        <v>0.874</v>
      </c>
    </row>
    <row r="142" spans="1:57">
      <c r="A142">
        <v>0</v>
      </c>
      <c r="B142">
        <v>0</v>
      </c>
      <c r="C142">
        <v>0</v>
      </c>
      <c r="D142">
        <v>2419</v>
      </c>
      <c r="E142" t="s">
        <v>3174</v>
      </c>
      <c r="F142" t="s">
        <v>5762</v>
      </c>
      <c r="G142" t="s">
        <v>62</v>
      </c>
      <c r="H142">
        <v>2427408</v>
      </c>
      <c r="I142">
        <v>2427779</v>
      </c>
      <c r="J142" t="s">
        <v>3175</v>
      </c>
      <c r="K142">
        <v>124</v>
      </c>
      <c r="L142" t="s">
        <v>59</v>
      </c>
      <c r="M142">
        <v>5</v>
      </c>
      <c r="N142" t="str">
        <f>HYPERLINK("Gene2419-zp_tree_all.dnd", "Gene2419-tree")</f>
        <v>Gene2419-tree</v>
      </c>
      <c r="O142">
        <v>4</v>
      </c>
      <c r="P142">
        <v>0</v>
      </c>
      <c r="Q142">
        <v>4</v>
      </c>
      <c r="R142">
        <v>0</v>
      </c>
      <c r="S142">
        <v>0</v>
      </c>
      <c r="T142" t="s">
        <v>60</v>
      </c>
      <c r="U142" t="s">
        <v>62</v>
      </c>
      <c r="V142" t="s">
        <v>62</v>
      </c>
      <c r="W142" t="s">
        <v>62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3</v>
      </c>
      <c r="AM142">
        <v>1</v>
      </c>
      <c r="AN142">
        <v>6</v>
      </c>
      <c r="AO142">
        <v>0</v>
      </c>
      <c r="AP142">
        <v>3</v>
      </c>
      <c r="AQ142">
        <v>0</v>
      </c>
      <c r="AR142" t="s">
        <v>64</v>
      </c>
      <c r="AS142" t="s">
        <v>64</v>
      </c>
      <c r="AT142">
        <v>0</v>
      </c>
      <c r="AU142" t="s">
        <v>65</v>
      </c>
      <c r="AV142">
        <v>9</v>
      </c>
      <c r="AW142">
        <v>0</v>
      </c>
      <c r="AX142" t="s">
        <v>3176</v>
      </c>
      <c r="AY142" t="s">
        <v>3177</v>
      </c>
      <c r="AZ142" t="s">
        <v>64</v>
      </c>
      <c r="BA142">
        <v>0</v>
      </c>
      <c r="BB142">
        <v>1</v>
      </c>
      <c r="BC142" t="s">
        <v>69</v>
      </c>
      <c r="BD142">
        <v>-0.19700000000000001</v>
      </c>
      <c r="BE142">
        <v>-0.19700000000000001</v>
      </c>
    </row>
    <row r="143" spans="1:57">
      <c r="A143">
        <v>0</v>
      </c>
      <c r="B143">
        <v>0</v>
      </c>
      <c r="C143">
        <v>0</v>
      </c>
      <c r="D143">
        <v>3849</v>
      </c>
      <c r="E143" t="s">
        <v>5219</v>
      </c>
      <c r="F143" t="s">
        <v>5762</v>
      </c>
      <c r="G143" t="s">
        <v>62</v>
      </c>
      <c r="H143">
        <v>3809553</v>
      </c>
      <c r="I143">
        <v>3809924</v>
      </c>
      <c r="J143" t="s">
        <v>5220</v>
      </c>
      <c r="K143">
        <v>124</v>
      </c>
      <c r="L143" t="s">
        <v>83</v>
      </c>
      <c r="M143">
        <v>4</v>
      </c>
      <c r="N143" t="str">
        <f>HYPERLINK("Gene3849-zp_tree_all.dnd", "Gene3849-tree")</f>
        <v>Gene3849-tree</v>
      </c>
      <c r="O143">
        <v>4</v>
      </c>
      <c r="P143">
        <v>0</v>
      </c>
      <c r="Q143">
        <v>4</v>
      </c>
      <c r="R143">
        <v>0</v>
      </c>
      <c r="S143">
        <v>0</v>
      </c>
      <c r="T143" t="s">
        <v>60</v>
      </c>
      <c r="U143" t="s">
        <v>62</v>
      </c>
      <c r="V143" t="s">
        <v>62</v>
      </c>
      <c r="W143" t="s">
        <v>62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3</v>
      </c>
      <c r="AM143">
        <v>0</v>
      </c>
      <c r="AN143">
        <v>17</v>
      </c>
      <c r="AO143">
        <v>0</v>
      </c>
      <c r="AP143">
        <v>0</v>
      </c>
      <c r="AQ143">
        <v>0</v>
      </c>
      <c r="AR143" t="s">
        <v>64</v>
      </c>
      <c r="AS143" t="s">
        <v>64</v>
      </c>
      <c r="AT143">
        <v>0</v>
      </c>
      <c r="AU143" t="s">
        <v>65</v>
      </c>
      <c r="AV143">
        <v>17</v>
      </c>
      <c r="AW143">
        <v>0</v>
      </c>
      <c r="AX143" t="s">
        <v>5221</v>
      </c>
      <c r="AY143" t="s">
        <v>5222</v>
      </c>
      <c r="AZ143" t="s">
        <v>64</v>
      </c>
      <c r="BA143">
        <v>0</v>
      </c>
      <c r="BB143">
        <v>1</v>
      </c>
      <c r="BC143" t="s">
        <v>69</v>
      </c>
      <c r="BD143">
        <v>-0.85099999999999998</v>
      </c>
      <c r="BE143">
        <v>-0.85099999999999998</v>
      </c>
    </row>
    <row r="144" spans="1:57">
      <c r="A144">
        <v>0</v>
      </c>
      <c r="B144">
        <v>0</v>
      </c>
      <c r="C144">
        <v>0</v>
      </c>
      <c r="D144">
        <v>62</v>
      </c>
      <c r="E144" t="s">
        <v>234</v>
      </c>
      <c r="F144" t="s">
        <v>5762</v>
      </c>
      <c r="G144" t="s">
        <v>57</v>
      </c>
      <c r="H144">
        <v>69168</v>
      </c>
      <c r="I144">
        <v>69542</v>
      </c>
      <c r="J144" t="s">
        <v>235</v>
      </c>
      <c r="K144">
        <v>125</v>
      </c>
      <c r="L144" t="s">
        <v>59</v>
      </c>
      <c r="M144">
        <v>5</v>
      </c>
      <c r="N144" t="str">
        <f>HYPERLINK("Gene62-zp_tree_all.dnd", "Gene62-tree")</f>
        <v>Gene62-tree</v>
      </c>
      <c r="O144">
        <v>4</v>
      </c>
      <c r="P144">
        <v>1</v>
      </c>
      <c r="Q144">
        <v>4</v>
      </c>
      <c r="R144">
        <v>1</v>
      </c>
      <c r="S144">
        <v>0.2</v>
      </c>
      <c r="T144" t="s">
        <v>60</v>
      </c>
      <c r="U144" t="s">
        <v>61</v>
      </c>
      <c r="V144" t="s">
        <v>62</v>
      </c>
      <c r="W144" t="s">
        <v>62</v>
      </c>
      <c r="X144">
        <v>0</v>
      </c>
      <c r="Y144">
        <v>0</v>
      </c>
      <c r="Z144">
        <v>2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</v>
      </c>
      <c r="AK144">
        <v>0</v>
      </c>
      <c r="AL144">
        <v>4</v>
      </c>
      <c r="AM144">
        <v>2</v>
      </c>
      <c r="AN144">
        <v>7</v>
      </c>
      <c r="AO144">
        <v>1</v>
      </c>
      <c r="AP144">
        <v>7</v>
      </c>
      <c r="AQ144">
        <v>1</v>
      </c>
      <c r="AR144" t="s">
        <v>236</v>
      </c>
      <c r="AS144" t="s">
        <v>237</v>
      </c>
      <c r="AT144">
        <v>1.6E-2</v>
      </c>
      <c r="AU144" t="s">
        <v>65</v>
      </c>
      <c r="AV144">
        <v>14</v>
      </c>
      <c r="AW144">
        <v>2</v>
      </c>
      <c r="AX144" t="s">
        <v>238</v>
      </c>
      <c r="AY144" t="s">
        <v>239</v>
      </c>
      <c r="AZ144" t="s">
        <v>240</v>
      </c>
      <c r="BA144">
        <v>3.637E-2</v>
      </c>
      <c r="BB144">
        <v>1</v>
      </c>
      <c r="BC144" t="s">
        <v>69</v>
      </c>
      <c r="BD144">
        <v>0.30499999999999999</v>
      </c>
      <c r="BE144">
        <v>0.30499999999999999</v>
      </c>
    </row>
    <row r="145" spans="1:57">
      <c r="A145">
        <v>0</v>
      </c>
      <c r="B145">
        <v>0</v>
      </c>
      <c r="C145">
        <v>0</v>
      </c>
      <c r="D145">
        <v>48</v>
      </c>
      <c r="E145" t="s">
        <v>185</v>
      </c>
      <c r="F145" t="s">
        <v>5762</v>
      </c>
      <c r="G145" t="s">
        <v>57</v>
      </c>
      <c r="H145">
        <v>55295</v>
      </c>
      <c r="I145">
        <v>55669</v>
      </c>
      <c r="J145" t="s">
        <v>186</v>
      </c>
      <c r="K145">
        <v>125</v>
      </c>
      <c r="L145" t="s">
        <v>112</v>
      </c>
      <c r="M145">
        <v>4</v>
      </c>
      <c r="N145" t="str">
        <f>HYPERLINK("Gene48-zp_tree_all.dnd", "Gene48-tree")</f>
        <v>Gene48-tree</v>
      </c>
      <c r="O145">
        <v>2</v>
      </c>
      <c r="P145">
        <v>2</v>
      </c>
      <c r="Q145">
        <v>2</v>
      </c>
      <c r="R145">
        <v>2</v>
      </c>
      <c r="S145">
        <v>0.5</v>
      </c>
      <c r="T145" t="s">
        <v>135</v>
      </c>
      <c r="U145" t="s">
        <v>135</v>
      </c>
      <c r="V145" t="s">
        <v>62</v>
      </c>
      <c r="W145" t="s">
        <v>62</v>
      </c>
      <c r="X145">
        <v>0</v>
      </c>
      <c r="Y145">
        <v>0</v>
      </c>
      <c r="Z145">
        <v>2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2</v>
      </c>
      <c r="AK145">
        <v>0</v>
      </c>
      <c r="AL145">
        <v>4</v>
      </c>
      <c r="AM145">
        <v>1</v>
      </c>
      <c r="AN145">
        <v>21</v>
      </c>
      <c r="AO145">
        <v>2</v>
      </c>
      <c r="AP145">
        <v>2</v>
      </c>
      <c r="AQ145">
        <v>0</v>
      </c>
      <c r="AR145" t="s">
        <v>187</v>
      </c>
      <c r="AS145" t="s">
        <v>64</v>
      </c>
      <c r="AT145">
        <v>0.86799999999999999</v>
      </c>
      <c r="AU145" t="s">
        <v>65</v>
      </c>
      <c r="AV145">
        <v>23</v>
      </c>
      <c r="AW145">
        <v>2</v>
      </c>
      <c r="AX145" t="s">
        <v>188</v>
      </c>
      <c r="AY145" t="s">
        <v>189</v>
      </c>
      <c r="AZ145" t="s">
        <v>190</v>
      </c>
      <c r="BA145">
        <v>2.197E-2</v>
      </c>
      <c r="BB145">
        <v>1</v>
      </c>
      <c r="BC145" t="s">
        <v>69</v>
      </c>
      <c r="BD145">
        <v>-0.60699999999999998</v>
      </c>
      <c r="BE145">
        <v>-0.60699999999999998</v>
      </c>
    </row>
    <row r="146" spans="1:57">
      <c r="A146">
        <v>0</v>
      </c>
      <c r="B146">
        <v>0</v>
      </c>
      <c r="C146">
        <v>2</v>
      </c>
      <c r="D146">
        <v>2579</v>
      </c>
      <c r="E146" t="s">
        <v>3425</v>
      </c>
      <c r="F146" t="s">
        <v>5762</v>
      </c>
      <c r="G146" t="s">
        <v>62</v>
      </c>
      <c r="H146">
        <v>2564029</v>
      </c>
      <c r="I146">
        <v>2564406</v>
      </c>
      <c r="J146" t="s">
        <v>3426</v>
      </c>
      <c r="K146">
        <v>126</v>
      </c>
      <c r="L146" t="s">
        <v>59</v>
      </c>
      <c r="M146">
        <v>5</v>
      </c>
      <c r="N146" t="str">
        <f>HYPERLINK("Gene2579-zp_tree_all.dnd", "Gene2579-tree")</f>
        <v>Gene2579-tree</v>
      </c>
      <c r="O146">
        <v>3</v>
      </c>
      <c r="P146">
        <v>2</v>
      </c>
      <c r="Q146">
        <v>3</v>
      </c>
      <c r="R146">
        <v>1</v>
      </c>
      <c r="S146">
        <v>0.25</v>
      </c>
      <c r="T146" t="s">
        <v>84</v>
      </c>
      <c r="U146" t="s">
        <v>61</v>
      </c>
      <c r="V146" t="s">
        <v>62</v>
      </c>
      <c r="W146" t="s">
        <v>62</v>
      </c>
      <c r="X146">
        <v>1</v>
      </c>
      <c r="Y146">
        <v>2</v>
      </c>
      <c r="Z146">
        <v>2</v>
      </c>
      <c r="AA146">
        <v>0.5</v>
      </c>
      <c r="AB146">
        <v>0</v>
      </c>
      <c r="AC146">
        <v>0</v>
      </c>
      <c r="AD146">
        <v>0</v>
      </c>
      <c r="AE146">
        <v>3</v>
      </c>
      <c r="AF146">
        <v>0</v>
      </c>
      <c r="AG146">
        <v>0</v>
      </c>
      <c r="AH146">
        <v>0</v>
      </c>
      <c r="AI146">
        <v>0</v>
      </c>
      <c r="AJ146">
        <v>1</v>
      </c>
      <c r="AK146">
        <v>0</v>
      </c>
      <c r="AL146">
        <v>4</v>
      </c>
      <c r="AM146">
        <v>1</v>
      </c>
      <c r="AN146">
        <v>7</v>
      </c>
      <c r="AO146">
        <v>1</v>
      </c>
      <c r="AP146">
        <v>11</v>
      </c>
      <c r="AQ146">
        <v>3</v>
      </c>
      <c r="AR146" t="s">
        <v>3427</v>
      </c>
      <c r="AS146" t="s">
        <v>3428</v>
      </c>
      <c r="AT146">
        <v>0.47699999999999998</v>
      </c>
      <c r="AU146" t="s">
        <v>65</v>
      </c>
      <c r="AV146">
        <v>18</v>
      </c>
      <c r="AW146">
        <v>4</v>
      </c>
      <c r="AX146" t="s">
        <v>3429</v>
      </c>
      <c r="AY146" t="s">
        <v>3430</v>
      </c>
      <c r="AZ146" t="s">
        <v>3431</v>
      </c>
      <c r="BA146">
        <v>5.781E-2</v>
      </c>
      <c r="BB146">
        <v>1</v>
      </c>
      <c r="BC146" t="s">
        <v>69</v>
      </c>
      <c r="BD146">
        <v>1.0109999999999999</v>
      </c>
      <c r="BE146">
        <v>1.0109999999999999</v>
      </c>
    </row>
    <row r="147" spans="1:57">
      <c r="A147">
        <v>0</v>
      </c>
      <c r="B147">
        <v>0</v>
      </c>
      <c r="C147">
        <v>0</v>
      </c>
      <c r="D147">
        <v>3019</v>
      </c>
      <c r="E147" t="s">
        <v>4030</v>
      </c>
      <c r="F147" t="s">
        <v>5762</v>
      </c>
      <c r="G147" t="s">
        <v>62</v>
      </c>
      <c r="H147">
        <v>2968263</v>
      </c>
      <c r="I147">
        <v>2968640</v>
      </c>
      <c r="J147" t="s">
        <v>4031</v>
      </c>
      <c r="K147">
        <v>126</v>
      </c>
      <c r="L147" t="s">
        <v>83</v>
      </c>
      <c r="M147">
        <v>4</v>
      </c>
      <c r="N147" t="str">
        <f>HYPERLINK("Gene3019-zp_tree_all.dnd", "Gene3019-tree")</f>
        <v>Gene3019-tree</v>
      </c>
      <c r="O147">
        <v>2</v>
      </c>
      <c r="P147">
        <v>2</v>
      </c>
      <c r="Q147">
        <v>2</v>
      </c>
      <c r="R147">
        <v>2</v>
      </c>
      <c r="S147">
        <v>0.5</v>
      </c>
      <c r="T147" t="s">
        <v>135</v>
      </c>
      <c r="U147" t="s">
        <v>135</v>
      </c>
      <c r="V147" t="s">
        <v>62</v>
      </c>
      <c r="W147" t="s">
        <v>62</v>
      </c>
      <c r="X147">
        <v>0</v>
      </c>
      <c r="Y147">
        <v>0</v>
      </c>
      <c r="Z147">
        <v>4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4</v>
      </c>
      <c r="AK147">
        <v>0</v>
      </c>
      <c r="AL147">
        <v>4</v>
      </c>
      <c r="AM147">
        <v>1</v>
      </c>
      <c r="AN147">
        <v>23</v>
      </c>
      <c r="AO147">
        <v>4</v>
      </c>
      <c r="AP147">
        <v>1</v>
      </c>
      <c r="AQ147">
        <v>0</v>
      </c>
      <c r="AR147" t="s">
        <v>4032</v>
      </c>
      <c r="AS147" t="s">
        <v>64</v>
      </c>
      <c r="AT147">
        <v>1</v>
      </c>
      <c r="AU147" t="s">
        <v>65</v>
      </c>
      <c r="AV147">
        <v>24</v>
      </c>
      <c r="AW147">
        <v>4</v>
      </c>
      <c r="AX147" t="s">
        <v>4033</v>
      </c>
      <c r="AY147" t="s">
        <v>4034</v>
      </c>
      <c r="AZ147" t="s">
        <v>1730</v>
      </c>
      <c r="BA147">
        <v>4.4060000000000002E-2</v>
      </c>
      <c r="BB147">
        <v>1</v>
      </c>
      <c r="BC147" t="s">
        <v>69</v>
      </c>
      <c r="BD147">
        <v>-0.35499999999999998</v>
      </c>
      <c r="BE147">
        <v>-0.73299999999999998</v>
      </c>
    </row>
    <row r="148" spans="1:57">
      <c r="A148">
        <v>0</v>
      </c>
      <c r="B148">
        <v>0</v>
      </c>
      <c r="C148">
        <v>0</v>
      </c>
      <c r="D148">
        <v>3017</v>
      </c>
      <c r="E148" t="s">
        <v>4026</v>
      </c>
      <c r="F148" t="s">
        <v>5762</v>
      </c>
      <c r="G148" t="s">
        <v>62</v>
      </c>
      <c r="H148">
        <v>2966416</v>
      </c>
      <c r="I148">
        <v>2966793</v>
      </c>
      <c r="J148" t="s">
        <v>4027</v>
      </c>
      <c r="K148">
        <v>126</v>
      </c>
      <c r="L148" t="s">
        <v>59</v>
      </c>
      <c r="M148">
        <v>5</v>
      </c>
      <c r="N148" t="str">
        <f>HYPERLINK("Gene3017-zp_tree_all.dnd", "Gene3017-tree")</f>
        <v>Gene3017-tree</v>
      </c>
      <c r="O148">
        <v>5</v>
      </c>
      <c r="P148">
        <v>0</v>
      </c>
      <c r="Q148">
        <v>4</v>
      </c>
      <c r="R148">
        <v>0</v>
      </c>
      <c r="S148">
        <v>0</v>
      </c>
      <c r="T148" t="s">
        <v>150</v>
      </c>
      <c r="U148" t="s">
        <v>62</v>
      </c>
      <c r="V148" t="s">
        <v>62</v>
      </c>
      <c r="W148" t="s">
        <v>62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3</v>
      </c>
      <c r="AM148">
        <v>1</v>
      </c>
      <c r="AN148">
        <v>3</v>
      </c>
      <c r="AO148">
        <v>0</v>
      </c>
      <c r="AP148">
        <v>1</v>
      </c>
      <c r="AQ148">
        <v>0</v>
      </c>
      <c r="AR148" t="s">
        <v>64</v>
      </c>
      <c r="AS148" t="s">
        <v>64</v>
      </c>
      <c r="AT148">
        <v>0</v>
      </c>
      <c r="AU148" t="s">
        <v>65</v>
      </c>
      <c r="AV148">
        <v>4</v>
      </c>
      <c r="AW148">
        <v>0</v>
      </c>
      <c r="AX148" t="s">
        <v>4028</v>
      </c>
      <c r="AY148" t="s">
        <v>4029</v>
      </c>
      <c r="AZ148" t="s">
        <v>64</v>
      </c>
      <c r="BA148">
        <v>0</v>
      </c>
      <c r="BB148">
        <v>1</v>
      </c>
      <c r="BC148" t="s">
        <v>69</v>
      </c>
      <c r="BD148">
        <v>0.27300000000000002</v>
      </c>
      <c r="BE148">
        <v>0.27300000000000002</v>
      </c>
    </row>
    <row r="149" spans="1:57">
      <c r="A149">
        <v>0</v>
      </c>
      <c r="B149">
        <v>0</v>
      </c>
      <c r="C149">
        <v>0</v>
      </c>
      <c r="D149">
        <v>3823</v>
      </c>
      <c r="E149" t="s">
        <v>5156</v>
      </c>
      <c r="F149" t="s">
        <v>5762</v>
      </c>
      <c r="G149" t="s">
        <v>62</v>
      </c>
      <c r="H149">
        <v>3787623</v>
      </c>
      <c r="I149">
        <v>3788003</v>
      </c>
      <c r="J149" t="s">
        <v>5157</v>
      </c>
      <c r="K149">
        <v>127</v>
      </c>
      <c r="L149" t="s">
        <v>59</v>
      </c>
      <c r="M149">
        <v>5</v>
      </c>
      <c r="N149" t="str">
        <f>HYPERLINK("Gene3823-zp_tree_all.dnd", "Gene3823-tree")</f>
        <v>Gene3823-tree</v>
      </c>
      <c r="O149">
        <v>3</v>
      </c>
      <c r="P149">
        <v>2</v>
      </c>
      <c r="Q149">
        <v>3</v>
      </c>
      <c r="R149">
        <v>2</v>
      </c>
      <c r="S149">
        <v>0.4</v>
      </c>
      <c r="T149" t="s">
        <v>84</v>
      </c>
      <c r="U149" t="s">
        <v>135</v>
      </c>
      <c r="V149" t="s">
        <v>62</v>
      </c>
      <c r="W149" t="s">
        <v>62</v>
      </c>
      <c r="X149">
        <v>0</v>
      </c>
      <c r="Y149">
        <v>0</v>
      </c>
      <c r="Z149">
        <v>2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2</v>
      </c>
      <c r="AK149">
        <v>0</v>
      </c>
      <c r="AL149">
        <v>2</v>
      </c>
      <c r="AM149">
        <v>2</v>
      </c>
      <c r="AN149">
        <v>3</v>
      </c>
      <c r="AO149">
        <v>1</v>
      </c>
      <c r="AP149">
        <v>9</v>
      </c>
      <c r="AQ149">
        <v>1</v>
      </c>
      <c r="AR149" t="s">
        <v>5158</v>
      </c>
      <c r="AS149" t="s">
        <v>5159</v>
      </c>
      <c r="AT149">
        <v>0.80400000000000005</v>
      </c>
      <c r="AU149" t="s">
        <v>65</v>
      </c>
      <c r="AV149">
        <v>12</v>
      </c>
      <c r="AW149">
        <v>2</v>
      </c>
      <c r="AX149" t="s">
        <v>5160</v>
      </c>
      <c r="AY149" t="s">
        <v>5161</v>
      </c>
      <c r="AZ149" t="s">
        <v>5162</v>
      </c>
      <c r="BA149">
        <v>4.3560000000000001E-2</v>
      </c>
      <c r="BB149">
        <v>1</v>
      </c>
      <c r="BC149" t="s">
        <v>69</v>
      </c>
      <c r="BD149">
        <v>0.95399999999999996</v>
      </c>
      <c r="BE149">
        <v>0.95399999999999996</v>
      </c>
    </row>
    <row r="150" spans="1:57">
      <c r="A150">
        <v>0</v>
      </c>
      <c r="B150">
        <v>0</v>
      </c>
      <c r="C150">
        <v>0</v>
      </c>
      <c r="D150">
        <v>2335</v>
      </c>
      <c r="E150" t="s">
        <v>3006</v>
      </c>
      <c r="F150" t="s">
        <v>5762</v>
      </c>
      <c r="G150" t="s">
        <v>62</v>
      </c>
      <c r="H150">
        <v>2352595</v>
      </c>
      <c r="I150">
        <v>2352975</v>
      </c>
      <c r="J150" t="s">
        <v>3007</v>
      </c>
      <c r="K150">
        <v>127</v>
      </c>
      <c r="L150" t="s">
        <v>59</v>
      </c>
      <c r="M150">
        <v>5</v>
      </c>
      <c r="N150" t="str">
        <f>HYPERLINK("Gene2335-zp_tree_all.dnd", "Gene2335-tree")</f>
        <v>Gene2335-tree</v>
      </c>
      <c r="O150">
        <v>5</v>
      </c>
      <c r="P150">
        <v>0</v>
      </c>
      <c r="Q150">
        <v>5</v>
      </c>
      <c r="R150">
        <v>0</v>
      </c>
      <c r="S150">
        <v>0</v>
      </c>
      <c r="T150" t="s">
        <v>98</v>
      </c>
      <c r="U150" t="s">
        <v>62</v>
      </c>
      <c r="V150" t="s">
        <v>62</v>
      </c>
      <c r="W150" t="s">
        <v>62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4</v>
      </c>
      <c r="AM150">
        <v>2</v>
      </c>
      <c r="AN150">
        <v>10</v>
      </c>
      <c r="AO150">
        <v>0</v>
      </c>
      <c r="AP150">
        <v>11</v>
      </c>
      <c r="AQ150">
        <v>0</v>
      </c>
      <c r="AR150" t="s">
        <v>64</v>
      </c>
      <c r="AS150" t="s">
        <v>64</v>
      </c>
      <c r="AT150">
        <v>0</v>
      </c>
      <c r="AU150" t="s">
        <v>65</v>
      </c>
      <c r="AV150">
        <v>21</v>
      </c>
      <c r="AW150">
        <v>0</v>
      </c>
      <c r="AX150" t="s">
        <v>3008</v>
      </c>
      <c r="AY150" t="s">
        <v>3009</v>
      </c>
      <c r="AZ150" t="s">
        <v>64</v>
      </c>
      <c r="BA150">
        <v>0</v>
      </c>
      <c r="BB150">
        <v>1</v>
      </c>
      <c r="BC150" t="s">
        <v>69</v>
      </c>
      <c r="BD150">
        <v>0.38200000000000001</v>
      </c>
      <c r="BE150">
        <v>0.38200000000000001</v>
      </c>
    </row>
    <row r="151" spans="1:57">
      <c r="A151">
        <v>0</v>
      </c>
      <c r="B151">
        <v>0</v>
      </c>
      <c r="C151">
        <v>0</v>
      </c>
      <c r="D151">
        <v>3401</v>
      </c>
      <c r="E151" t="s">
        <v>4663</v>
      </c>
      <c r="F151" t="s">
        <v>5762</v>
      </c>
      <c r="G151" t="s">
        <v>62</v>
      </c>
      <c r="H151">
        <v>3366126</v>
      </c>
      <c r="I151">
        <v>3366506</v>
      </c>
      <c r="J151" t="s">
        <v>4664</v>
      </c>
      <c r="K151">
        <v>127</v>
      </c>
      <c r="L151" t="s">
        <v>59</v>
      </c>
      <c r="M151">
        <v>5</v>
      </c>
      <c r="N151" t="str">
        <f>HYPERLINK("Gene3401-zp_tree_all.dnd", "Gene3401-tree")</f>
        <v>Gene3401-tree</v>
      </c>
      <c r="O151">
        <v>4</v>
      </c>
      <c r="P151">
        <v>0</v>
      </c>
      <c r="Q151">
        <v>4</v>
      </c>
      <c r="R151">
        <v>0</v>
      </c>
      <c r="S151">
        <v>0</v>
      </c>
      <c r="T151" t="s">
        <v>60</v>
      </c>
      <c r="U151" t="s">
        <v>62</v>
      </c>
      <c r="V151" t="s">
        <v>62</v>
      </c>
      <c r="W151" t="s">
        <v>62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3</v>
      </c>
      <c r="AM151">
        <v>1</v>
      </c>
      <c r="AN151">
        <v>8</v>
      </c>
      <c r="AO151">
        <v>0</v>
      </c>
      <c r="AP151">
        <v>6</v>
      </c>
      <c r="AQ151">
        <v>0</v>
      </c>
      <c r="AR151" t="s">
        <v>64</v>
      </c>
      <c r="AS151" t="s">
        <v>64</v>
      </c>
      <c r="AT151">
        <v>0</v>
      </c>
      <c r="AU151" t="s">
        <v>65</v>
      </c>
      <c r="AV151">
        <v>14</v>
      </c>
      <c r="AW151">
        <v>0</v>
      </c>
      <c r="AX151" t="s">
        <v>4665</v>
      </c>
      <c r="AY151" t="s">
        <v>4666</v>
      </c>
      <c r="AZ151" t="s">
        <v>64</v>
      </c>
      <c r="BA151">
        <v>0</v>
      </c>
      <c r="BB151">
        <v>1</v>
      </c>
      <c r="BC151" t="s">
        <v>69</v>
      </c>
      <c r="BD151">
        <v>8.6999999999999994E-2</v>
      </c>
      <c r="BE151">
        <v>8.6999999999999994E-2</v>
      </c>
    </row>
    <row r="152" spans="1:57">
      <c r="A152">
        <v>0</v>
      </c>
      <c r="B152">
        <v>0</v>
      </c>
      <c r="C152">
        <v>2</v>
      </c>
      <c r="D152">
        <v>1662</v>
      </c>
      <c r="E152" t="s">
        <v>2409</v>
      </c>
      <c r="F152" t="s">
        <v>5762</v>
      </c>
      <c r="G152" t="s">
        <v>57</v>
      </c>
      <c r="H152">
        <v>1674259</v>
      </c>
      <c r="I152">
        <v>1674642</v>
      </c>
      <c r="J152" t="s">
        <v>170</v>
      </c>
      <c r="K152">
        <v>128</v>
      </c>
      <c r="L152" t="s">
        <v>59</v>
      </c>
      <c r="M152">
        <v>5</v>
      </c>
      <c r="N152" t="str">
        <f>HYPERLINK("Gene1662-zp_tree_all.dnd", "Gene1662-tree")</f>
        <v>Gene1662-tree</v>
      </c>
      <c r="O152">
        <v>1</v>
      </c>
      <c r="P152">
        <v>4</v>
      </c>
      <c r="Q152">
        <v>1</v>
      </c>
      <c r="R152">
        <v>4</v>
      </c>
      <c r="S152">
        <v>0.8</v>
      </c>
      <c r="T152" t="s">
        <v>61</v>
      </c>
      <c r="U152" t="s">
        <v>60</v>
      </c>
      <c r="V152" t="s">
        <v>62</v>
      </c>
      <c r="W152" t="s">
        <v>62</v>
      </c>
      <c r="X152">
        <v>1</v>
      </c>
      <c r="Y152">
        <v>2</v>
      </c>
      <c r="Z152">
        <v>3</v>
      </c>
      <c r="AA152">
        <v>0.4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2</v>
      </c>
      <c r="AI152">
        <v>2</v>
      </c>
      <c r="AJ152">
        <v>1</v>
      </c>
      <c r="AK152">
        <v>0.66666999999999998</v>
      </c>
      <c r="AL152">
        <v>4</v>
      </c>
      <c r="AM152">
        <v>1</v>
      </c>
      <c r="AN152">
        <v>8</v>
      </c>
      <c r="AO152">
        <v>3</v>
      </c>
      <c r="AP152">
        <v>5</v>
      </c>
      <c r="AQ152">
        <v>2</v>
      </c>
      <c r="AR152" t="s">
        <v>2410</v>
      </c>
      <c r="AS152" t="s">
        <v>2411</v>
      </c>
      <c r="AT152">
        <v>0.128</v>
      </c>
      <c r="AU152" t="s">
        <v>65</v>
      </c>
      <c r="AV152">
        <v>13</v>
      </c>
      <c r="AW152">
        <v>5</v>
      </c>
      <c r="AX152" t="s">
        <v>2412</v>
      </c>
      <c r="AY152" t="s">
        <v>2413</v>
      </c>
      <c r="AZ152" t="s">
        <v>2414</v>
      </c>
      <c r="BA152">
        <v>8.6529999999999996E-2</v>
      </c>
      <c r="BB152">
        <v>1</v>
      </c>
      <c r="BC152" t="s">
        <v>69</v>
      </c>
      <c r="BD152">
        <v>-3.4000000000000002E-2</v>
      </c>
      <c r="BE152">
        <v>-3.4000000000000002E-2</v>
      </c>
    </row>
    <row r="153" spans="1:57">
      <c r="A153">
        <v>0</v>
      </c>
      <c r="B153">
        <v>0</v>
      </c>
      <c r="C153">
        <v>0</v>
      </c>
      <c r="D153">
        <v>1679</v>
      </c>
      <c r="E153" t="s">
        <v>2453</v>
      </c>
      <c r="F153" t="s">
        <v>5762</v>
      </c>
      <c r="G153" t="s">
        <v>57</v>
      </c>
      <c r="H153">
        <v>1691278</v>
      </c>
      <c r="I153">
        <v>1691664</v>
      </c>
      <c r="J153" t="s">
        <v>2454</v>
      </c>
      <c r="K153">
        <v>129</v>
      </c>
      <c r="L153" t="s">
        <v>59</v>
      </c>
      <c r="M153">
        <v>5</v>
      </c>
      <c r="N153" t="str">
        <f>HYPERLINK("Gene1679-zp_tree_all.dnd", "Gene1679-tree")</f>
        <v>Gene1679-tree</v>
      </c>
      <c r="O153">
        <v>1</v>
      </c>
      <c r="P153">
        <v>3</v>
      </c>
      <c r="Q153">
        <v>1</v>
      </c>
      <c r="R153">
        <v>3</v>
      </c>
      <c r="S153">
        <v>0.75</v>
      </c>
      <c r="T153" t="s">
        <v>61</v>
      </c>
      <c r="U153" t="s">
        <v>84</v>
      </c>
      <c r="V153" t="s">
        <v>62</v>
      </c>
      <c r="W153" t="s">
        <v>62</v>
      </c>
      <c r="X153">
        <v>0</v>
      </c>
      <c r="Y153">
        <v>0</v>
      </c>
      <c r="Z153">
        <v>6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6</v>
      </c>
      <c r="AK153">
        <v>0</v>
      </c>
      <c r="AL153">
        <v>3</v>
      </c>
      <c r="AM153">
        <v>1</v>
      </c>
      <c r="AN153">
        <v>7</v>
      </c>
      <c r="AO153">
        <v>2</v>
      </c>
      <c r="AP153">
        <v>5</v>
      </c>
      <c r="AQ153">
        <v>4</v>
      </c>
      <c r="AR153" t="s">
        <v>2455</v>
      </c>
      <c r="AS153" t="s">
        <v>2456</v>
      </c>
      <c r="AT153">
        <v>2.6389999999999998</v>
      </c>
      <c r="AU153" t="s">
        <v>65</v>
      </c>
      <c r="AV153">
        <v>12</v>
      </c>
      <c r="AW153">
        <v>6</v>
      </c>
      <c r="AX153" t="s">
        <v>2457</v>
      </c>
      <c r="AY153" t="s">
        <v>2458</v>
      </c>
      <c r="AZ153" t="s">
        <v>2459</v>
      </c>
      <c r="BA153">
        <v>0.13814000000000001</v>
      </c>
      <c r="BB153">
        <v>1</v>
      </c>
      <c r="BC153" t="s">
        <v>69</v>
      </c>
      <c r="BD153">
        <v>0.307</v>
      </c>
      <c r="BE153">
        <v>0.307</v>
      </c>
    </row>
    <row r="154" spans="1:57">
      <c r="A154">
        <v>0</v>
      </c>
      <c r="B154">
        <v>0</v>
      </c>
      <c r="C154">
        <v>2</v>
      </c>
      <c r="D154">
        <v>3161</v>
      </c>
      <c r="E154" t="s">
        <v>4279</v>
      </c>
      <c r="F154" t="s">
        <v>5762</v>
      </c>
      <c r="G154" t="s">
        <v>62</v>
      </c>
      <c r="H154">
        <v>3118850</v>
      </c>
      <c r="I154">
        <v>3119239</v>
      </c>
      <c r="J154" t="s">
        <v>4280</v>
      </c>
      <c r="K154">
        <v>130</v>
      </c>
      <c r="L154" t="s">
        <v>59</v>
      </c>
      <c r="M154">
        <v>5</v>
      </c>
      <c r="N154" t="str">
        <f>HYPERLINK("Gene3161-zp_tree_all.dnd", "Gene3161-tree")</f>
        <v>Gene3161-tree</v>
      </c>
      <c r="O154">
        <v>2</v>
      </c>
      <c r="P154">
        <v>3</v>
      </c>
      <c r="Q154">
        <v>2</v>
      </c>
      <c r="R154">
        <v>2</v>
      </c>
      <c r="S154">
        <v>0.5</v>
      </c>
      <c r="T154" t="s">
        <v>135</v>
      </c>
      <c r="U154" t="s">
        <v>217</v>
      </c>
      <c r="V154">
        <v>0.30599999999999999</v>
      </c>
      <c r="W154" t="s">
        <v>65</v>
      </c>
      <c r="X154">
        <v>1</v>
      </c>
      <c r="Y154">
        <v>2</v>
      </c>
      <c r="Z154">
        <v>3</v>
      </c>
      <c r="AA154">
        <v>0.4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2</v>
      </c>
      <c r="AI154">
        <v>2</v>
      </c>
      <c r="AJ154">
        <v>3</v>
      </c>
      <c r="AK154">
        <v>0.4</v>
      </c>
      <c r="AL154">
        <v>3</v>
      </c>
      <c r="AM154">
        <v>1</v>
      </c>
      <c r="AN154">
        <v>9</v>
      </c>
      <c r="AO154">
        <v>4</v>
      </c>
      <c r="AP154">
        <v>3</v>
      </c>
      <c r="AQ154">
        <v>2</v>
      </c>
      <c r="AR154" t="s">
        <v>4281</v>
      </c>
      <c r="AS154" t="s">
        <v>4282</v>
      </c>
      <c r="AT154">
        <v>1.508</v>
      </c>
      <c r="AU154" t="s">
        <v>65</v>
      </c>
      <c r="AV154">
        <v>12</v>
      </c>
      <c r="AW154">
        <v>6</v>
      </c>
      <c r="AX154" t="s">
        <v>4283</v>
      </c>
      <c r="AY154" t="s">
        <v>4284</v>
      </c>
      <c r="AZ154" t="s">
        <v>4285</v>
      </c>
      <c r="BA154">
        <v>0.1361</v>
      </c>
      <c r="BB154">
        <v>1</v>
      </c>
      <c r="BC154" t="s">
        <v>69</v>
      </c>
      <c r="BD154">
        <v>0.307</v>
      </c>
      <c r="BE154">
        <v>0.307</v>
      </c>
    </row>
    <row r="155" spans="1:57">
      <c r="A155">
        <v>0</v>
      </c>
      <c r="B155">
        <v>0</v>
      </c>
      <c r="C155">
        <v>2</v>
      </c>
      <c r="D155">
        <v>1800</v>
      </c>
      <c r="E155" t="s">
        <v>2698</v>
      </c>
      <c r="F155" t="s">
        <v>5762</v>
      </c>
      <c r="G155" t="s">
        <v>57</v>
      </c>
      <c r="H155">
        <v>1868617</v>
      </c>
      <c r="I155">
        <v>1869006</v>
      </c>
      <c r="J155" t="s">
        <v>2699</v>
      </c>
      <c r="K155">
        <v>130</v>
      </c>
      <c r="L155" t="s">
        <v>59</v>
      </c>
      <c r="M155">
        <v>5</v>
      </c>
      <c r="N155" t="str">
        <f>HYPERLINK("Gene1800-zp_tree_all.dnd", "Gene1800-tree")</f>
        <v>Gene1800-tree</v>
      </c>
      <c r="O155">
        <v>4</v>
      </c>
      <c r="P155">
        <v>1</v>
      </c>
      <c r="Q155">
        <v>4</v>
      </c>
      <c r="R155">
        <v>1</v>
      </c>
      <c r="S155">
        <v>0.2</v>
      </c>
      <c r="T155" t="s">
        <v>60</v>
      </c>
      <c r="U155" t="s">
        <v>61</v>
      </c>
      <c r="V155" t="s">
        <v>62</v>
      </c>
      <c r="W155" t="s">
        <v>62</v>
      </c>
      <c r="X155">
        <v>1</v>
      </c>
      <c r="Y155">
        <v>2</v>
      </c>
      <c r="Z155">
        <v>2</v>
      </c>
      <c r="AA155">
        <v>0.5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</v>
      </c>
      <c r="AK155">
        <v>0</v>
      </c>
      <c r="AL155">
        <v>4</v>
      </c>
      <c r="AM155">
        <v>2</v>
      </c>
      <c r="AN155">
        <v>5</v>
      </c>
      <c r="AO155">
        <v>1</v>
      </c>
      <c r="AP155">
        <v>4</v>
      </c>
      <c r="AQ155">
        <v>3</v>
      </c>
      <c r="AR155" t="s">
        <v>2700</v>
      </c>
      <c r="AS155" t="s">
        <v>2701</v>
      </c>
      <c r="AT155">
        <v>1.482</v>
      </c>
      <c r="AU155" t="s">
        <v>65</v>
      </c>
      <c r="AV155">
        <v>9</v>
      </c>
      <c r="AW155">
        <v>4</v>
      </c>
      <c r="AX155" t="s">
        <v>2702</v>
      </c>
      <c r="AY155" t="s">
        <v>2703</v>
      </c>
      <c r="AZ155" t="s">
        <v>2704</v>
      </c>
      <c r="BA155">
        <v>0.12099</v>
      </c>
      <c r="BB155">
        <v>1</v>
      </c>
      <c r="BC155" t="s">
        <v>69</v>
      </c>
      <c r="BD155">
        <v>0.84499999999999997</v>
      </c>
      <c r="BE155">
        <v>-0.38200000000000001</v>
      </c>
    </row>
    <row r="156" spans="1:57">
      <c r="A156">
        <v>0</v>
      </c>
      <c r="B156">
        <v>0</v>
      </c>
      <c r="C156">
        <v>0</v>
      </c>
      <c r="D156">
        <v>3258</v>
      </c>
      <c r="E156" t="s">
        <v>4396</v>
      </c>
      <c r="F156" t="s">
        <v>5762</v>
      </c>
      <c r="G156" t="s">
        <v>62</v>
      </c>
      <c r="H156">
        <v>3225181</v>
      </c>
      <c r="I156">
        <v>3225570</v>
      </c>
      <c r="J156" t="s">
        <v>4397</v>
      </c>
      <c r="K156">
        <v>130</v>
      </c>
      <c r="L156" t="s">
        <v>59</v>
      </c>
      <c r="M156">
        <v>5</v>
      </c>
      <c r="N156" t="str">
        <f>HYPERLINK("Gene3258-zp_tree_all.dnd", "Gene3258-tree")</f>
        <v>Gene3258-tree</v>
      </c>
      <c r="O156">
        <v>3</v>
      </c>
      <c r="P156">
        <v>2</v>
      </c>
      <c r="Q156">
        <v>3</v>
      </c>
      <c r="R156">
        <v>2</v>
      </c>
      <c r="S156">
        <v>0.4</v>
      </c>
      <c r="T156" t="s">
        <v>84</v>
      </c>
      <c r="U156" t="s">
        <v>135</v>
      </c>
      <c r="V156" t="s">
        <v>62</v>
      </c>
      <c r="W156" t="s">
        <v>62</v>
      </c>
      <c r="X156">
        <v>0</v>
      </c>
      <c r="Y156">
        <v>0</v>
      </c>
      <c r="Z156">
        <v>2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2</v>
      </c>
      <c r="AK156">
        <v>0</v>
      </c>
      <c r="AL156">
        <v>2</v>
      </c>
      <c r="AM156">
        <v>2</v>
      </c>
      <c r="AN156">
        <v>2</v>
      </c>
      <c r="AO156">
        <v>2</v>
      </c>
      <c r="AP156">
        <v>2</v>
      </c>
      <c r="AQ156">
        <v>0</v>
      </c>
      <c r="AR156" t="s">
        <v>4398</v>
      </c>
      <c r="AS156" t="s">
        <v>64</v>
      </c>
      <c r="AT156">
        <v>0</v>
      </c>
      <c r="AU156" t="s">
        <v>65</v>
      </c>
      <c r="AV156">
        <v>4</v>
      </c>
      <c r="AW156">
        <v>2</v>
      </c>
      <c r="AX156" t="s">
        <v>4399</v>
      </c>
      <c r="AY156" t="s">
        <v>4400</v>
      </c>
      <c r="AZ156" t="s">
        <v>4401</v>
      </c>
      <c r="BA156">
        <v>0.11012</v>
      </c>
      <c r="BB156">
        <v>1</v>
      </c>
      <c r="BC156" t="s">
        <v>69</v>
      </c>
      <c r="BD156">
        <v>-0.191</v>
      </c>
      <c r="BE156">
        <v>-0.191</v>
      </c>
    </row>
    <row r="157" spans="1:57">
      <c r="A157">
        <v>0</v>
      </c>
      <c r="B157">
        <v>0</v>
      </c>
      <c r="C157">
        <v>0</v>
      </c>
      <c r="D157">
        <v>151</v>
      </c>
      <c r="E157" t="s">
        <v>580</v>
      </c>
      <c r="F157" t="s">
        <v>5762</v>
      </c>
      <c r="G157" t="s">
        <v>57</v>
      </c>
      <c r="H157">
        <v>154300</v>
      </c>
      <c r="I157">
        <v>154689</v>
      </c>
      <c r="J157" t="s">
        <v>581</v>
      </c>
      <c r="K157">
        <v>130</v>
      </c>
      <c r="L157" t="s">
        <v>59</v>
      </c>
      <c r="M157">
        <v>5</v>
      </c>
      <c r="N157" t="str">
        <f>HYPERLINK("Gene151-zp_tree_all.dnd", "Gene151-tree")</f>
        <v>Gene151-tree</v>
      </c>
      <c r="O157">
        <v>3</v>
      </c>
      <c r="P157">
        <v>2</v>
      </c>
      <c r="Q157">
        <v>3</v>
      </c>
      <c r="R157">
        <v>2</v>
      </c>
      <c r="S157">
        <v>0.4</v>
      </c>
      <c r="T157" t="s">
        <v>84</v>
      </c>
      <c r="U157" t="s">
        <v>135</v>
      </c>
      <c r="V157" t="s">
        <v>62</v>
      </c>
      <c r="W157" t="s">
        <v>62</v>
      </c>
      <c r="X157">
        <v>0</v>
      </c>
      <c r="Y157">
        <v>0</v>
      </c>
      <c r="Z157">
        <v>3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3</v>
      </c>
      <c r="AK157">
        <v>0</v>
      </c>
      <c r="AL157">
        <v>3</v>
      </c>
      <c r="AM157">
        <v>1</v>
      </c>
      <c r="AN157">
        <v>7</v>
      </c>
      <c r="AO157">
        <v>3</v>
      </c>
      <c r="AP157">
        <v>3</v>
      </c>
      <c r="AQ157">
        <v>0</v>
      </c>
      <c r="AR157" t="s">
        <v>582</v>
      </c>
      <c r="AS157" t="s">
        <v>64</v>
      </c>
      <c r="AT157">
        <v>0.88800000000000001</v>
      </c>
      <c r="AU157" t="s">
        <v>65</v>
      </c>
      <c r="AV157">
        <v>10</v>
      </c>
      <c r="AW157">
        <v>3</v>
      </c>
      <c r="AX157" t="s">
        <v>583</v>
      </c>
      <c r="AY157" t="s">
        <v>584</v>
      </c>
      <c r="AZ157" t="s">
        <v>585</v>
      </c>
      <c r="BA157">
        <v>8.838E-2</v>
      </c>
      <c r="BB157">
        <v>1</v>
      </c>
      <c r="BC157" t="s">
        <v>69</v>
      </c>
      <c r="BD157">
        <v>-0.51200000000000001</v>
      </c>
      <c r="BE157">
        <v>-0.51200000000000001</v>
      </c>
    </row>
    <row r="158" spans="1:57">
      <c r="A158">
        <v>0</v>
      </c>
      <c r="B158">
        <v>0</v>
      </c>
      <c r="C158">
        <v>2</v>
      </c>
      <c r="D158">
        <v>956</v>
      </c>
      <c r="E158" t="s">
        <v>1400</v>
      </c>
      <c r="F158" t="s">
        <v>5762</v>
      </c>
      <c r="G158" t="s">
        <v>57</v>
      </c>
      <c r="H158">
        <v>996643</v>
      </c>
      <c r="I158">
        <v>997035</v>
      </c>
      <c r="J158" t="s">
        <v>118</v>
      </c>
      <c r="K158">
        <v>131</v>
      </c>
      <c r="L158" t="s">
        <v>59</v>
      </c>
      <c r="M158">
        <v>5</v>
      </c>
      <c r="N158" t="str">
        <f>HYPERLINK("Gene956-zp_tree_all.dnd", "Gene956-tree")</f>
        <v>Gene956-tree</v>
      </c>
      <c r="O158">
        <v>2</v>
      </c>
      <c r="P158">
        <v>3</v>
      </c>
      <c r="Q158">
        <v>2</v>
      </c>
      <c r="R158">
        <v>3</v>
      </c>
      <c r="S158">
        <v>0.6</v>
      </c>
      <c r="T158" t="s">
        <v>135</v>
      </c>
      <c r="U158" t="s">
        <v>84</v>
      </c>
      <c r="V158" t="s">
        <v>62</v>
      </c>
      <c r="W158" t="s">
        <v>62</v>
      </c>
      <c r="X158">
        <v>1</v>
      </c>
      <c r="Y158">
        <v>2</v>
      </c>
      <c r="Z158">
        <v>9</v>
      </c>
      <c r="AA158">
        <v>0.18182000000000001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8</v>
      </c>
      <c r="AK158">
        <v>0</v>
      </c>
      <c r="AL158">
        <v>4</v>
      </c>
      <c r="AM158">
        <v>1</v>
      </c>
      <c r="AN158">
        <v>4</v>
      </c>
      <c r="AO158">
        <v>8</v>
      </c>
      <c r="AP158">
        <v>3</v>
      </c>
      <c r="AQ158">
        <v>3</v>
      </c>
      <c r="AR158" t="s">
        <v>1401</v>
      </c>
      <c r="AS158" t="s">
        <v>1402</v>
      </c>
      <c r="AT158">
        <v>1.006</v>
      </c>
      <c r="AU158" t="s">
        <v>65</v>
      </c>
      <c r="AV158">
        <v>7</v>
      </c>
      <c r="AW158">
        <v>11</v>
      </c>
      <c r="AX158" t="s">
        <v>1403</v>
      </c>
      <c r="AY158" t="s">
        <v>1404</v>
      </c>
      <c r="AZ158" t="s">
        <v>1405</v>
      </c>
      <c r="BA158">
        <v>0.37728</v>
      </c>
      <c r="BB158">
        <v>0.99</v>
      </c>
      <c r="BC158" t="s">
        <v>69</v>
      </c>
      <c r="BD158">
        <v>-0.20499999999999999</v>
      </c>
      <c r="BE158">
        <v>-0.20499999999999999</v>
      </c>
    </row>
    <row r="159" spans="1:57">
      <c r="A159">
        <v>0</v>
      </c>
      <c r="B159">
        <v>2</v>
      </c>
      <c r="C159">
        <v>0</v>
      </c>
      <c r="D159">
        <v>1187</v>
      </c>
      <c r="E159" t="s">
        <v>1667</v>
      </c>
      <c r="F159" t="s">
        <v>5762</v>
      </c>
      <c r="G159" t="s">
        <v>57</v>
      </c>
      <c r="H159">
        <v>1227697</v>
      </c>
      <c r="I159">
        <v>1228089</v>
      </c>
      <c r="J159" t="s">
        <v>1668</v>
      </c>
      <c r="K159">
        <v>131</v>
      </c>
      <c r="L159" t="s">
        <v>59</v>
      </c>
      <c r="M159">
        <v>5</v>
      </c>
      <c r="N159" t="str">
        <f>HYPERLINK("Gene1187-zp_tree_all.dnd", "Gene1187-tree")</f>
        <v>Gene1187-tree</v>
      </c>
      <c r="O159">
        <v>3</v>
      </c>
      <c r="P159">
        <v>2</v>
      </c>
      <c r="Q159">
        <v>3</v>
      </c>
      <c r="R159">
        <v>2</v>
      </c>
      <c r="S159">
        <v>0.4</v>
      </c>
      <c r="T159" t="s">
        <v>84</v>
      </c>
      <c r="U159" t="s">
        <v>135</v>
      </c>
      <c r="V159" t="s">
        <v>62</v>
      </c>
      <c r="W159" t="s">
        <v>62</v>
      </c>
      <c r="X159">
        <v>1</v>
      </c>
      <c r="Y159">
        <v>2</v>
      </c>
      <c r="Z159">
        <v>1</v>
      </c>
      <c r="AA159">
        <v>0.66666999999999998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2</v>
      </c>
      <c r="AH159">
        <v>0</v>
      </c>
      <c r="AI159">
        <v>2</v>
      </c>
      <c r="AJ159">
        <v>0</v>
      </c>
      <c r="AK159">
        <v>1</v>
      </c>
      <c r="AL159">
        <v>3</v>
      </c>
      <c r="AM159">
        <v>2</v>
      </c>
      <c r="AN159">
        <v>7</v>
      </c>
      <c r="AO159">
        <v>1</v>
      </c>
      <c r="AP159">
        <v>5</v>
      </c>
      <c r="AQ159">
        <v>2</v>
      </c>
      <c r="AR159" t="s">
        <v>1669</v>
      </c>
      <c r="AS159" t="s">
        <v>1670</v>
      </c>
      <c r="AT159">
        <v>1.2849999999999999</v>
      </c>
      <c r="AU159" t="s">
        <v>65</v>
      </c>
      <c r="AV159">
        <v>12</v>
      </c>
      <c r="AW159">
        <v>3</v>
      </c>
      <c r="AX159" t="s">
        <v>1671</v>
      </c>
      <c r="AY159" t="s">
        <v>1672</v>
      </c>
      <c r="AZ159" t="s">
        <v>1673</v>
      </c>
      <c r="BA159">
        <v>5.6340000000000001E-2</v>
      </c>
      <c r="BB159">
        <v>1</v>
      </c>
      <c r="BC159" t="s">
        <v>69</v>
      </c>
      <c r="BD159">
        <v>0.30399999999999999</v>
      </c>
      <c r="BE159">
        <v>0.30399999999999999</v>
      </c>
    </row>
    <row r="160" spans="1:57">
      <c r="A160">
        <v>0</v>
      </c>
      <c r="B160">
        <v>0</v>
      </c>
      <c r="C160">
        <v>0</v>
      </c>
      <c r="D160">
        <v>2873</v>
      </c>
      <c r="E160" t="s">
        <v>3728</v>
      </c>
      <c r="F160" t="s">
        <v>5762</v>
      </c>
      <c r="G160" t="s">
        <v>62</v>
      </c>
      <c r="H160">
        <v>2820080</v>
      </c>
      <c r="I160">
        <v>2820475</v>
      </c>
      <c r="J160" t="s">
        <v>3729</v>
      </c>
      <c r="K160">
        <v>132</v>
      </c>
      <c r="L160" t="s">
        <v>59</v>
      </c>
      <c r="M160">
        <v>5</v>
      </c>
      <c r="N160" t="str">
        <f>HYPERLINK("Gene2873-zp_tree_all.dnd", "Gene2873-tree")</f>
        <v>Gene2873-tree</v>
      </c>
      <c r="O160">
        <v>3</v>
      </c>
      <c r="P160">
        <v>2</v>
      </c>
      <c r="Q160">
        <v>3</v>
      </c>
      <c r="R160">
        <v>2</v>
      </c>
      <c r="S160">
        <v>0.4</v>
      </c>
      <c r="T160" t="s">
        <v>84</v>
      </c>
      <c r="U160" t="s">
        <v>135</v>
      </c>
      <c r="V160" t="s">
        <v>62</v>
      </c>
      <c r="W160" t="s">
        <v>62</v>
      </c>
      <c r="X160">
        <v>0</v>
      </c>
      <c r="Y160">
        <v>0</v>
      </c>
      <c r="Z160">
        <v>9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5</v>
      </c>
      <c r="AK160">
        <v>0</v>
      </c>
      <c r="AL160">
        <v>5</v>
      </c>
      <c r="AM160">
        <v>2</v>
      </c>
      <c r="AN160">
        <v>12</v>
      </c>
      <c r="AO160">
        <v>5</v>
      </c>
      <c r="AP160">
        <v>8</v>
      </c>
      <c r="AQ160">
        <v>4</v>
      </c>
      <c r="AR160" t="s">
        <v>3730</v>
      </c>
      <c r="AS160" t="s">
        <v>3731</v>
      </c>
      <c r="AT160">
        <v>9.7000000000000003E-2</v>
      </c>
      <c r="AU160" t="s">
        <v>65</v>
      </c>
      <c r="AV160">
        <v>20</v>
      </c>
      <c r="AW160">
        <v>9</v>
      </c>
      <c r="AX160" t="s">
        <v>3732</v>
      </c>
      <c r="AY160" t="s">
        <v>3733</v>
      </c>
      <c r="AZ160" t="s">
        <v>3734</v>
      </c>
      <c r="BA160">
        <v>0.13159000000000001</v>
      </c>
      <c r="BB160">
        <v>1</v>
      </c>
      <c r="BC160" t="s">
        <v>69</v>
      </c>
      <c r="BD160">
        <v>0.14399999999999999</v>
      </c>
      <c r="BE160">
        <v>-0.13300000000000001</v>
      </c>
    </row>
    <row r="161" spans="1:57">
      <c r="A161">
        <v>0</v>
      </c>
      <c r="B161">
        <v>2</v>
      </c>
      <c r="C161">
        <v>0</v>
      </c>
      <c r="D161">
        <v>1557</v>
      </c>
      <c r="E161" t="s">
        <v>2102</v>
      </c>
      <c r="F161" t="s">
        <v>5762</v>
      </c>
      <c r="G161" t="s">
        <v>57</v>
      </c>
      <c r="H161">
        <v>1567651</v>
      </c>
      <c r="I161">
        <v>1568046</v>
      </c>
      <c r="J161" t="s">
        <v>2103</v>
      </c>
      <c r="K161">
        <v>132</v>
      </c>
      <c r="L161" t="s">
        <v>59</v>
      </c>
      <c r="M161">
        <v>5</v>
      </c>
      <c r="N161" t="str">
        <f>HYPERLINK("Gene1557-zp_tree_all.dnd", "Gene1557-tree")</f>
        <v>Gene1557-tree</v>
      </c>
      <c r="O161">
        <v>1</v>
      </c>
      <c r="P161">
        <v>4</v>
      </c>
      <c r="Q161">
        <v>1</v>
      </c>
      <c r="R161">
        <v>4</v>
      </c>
      <c r="S161">
        <v>0.8</v>
      </c>
      <c r="T161" t="s">
        <v>61</v>
      </c>
      <c r="U161" t="s">
        <v>60</v>
      </c>
      <c r="V161" t="s">
        <v>62</v>
      </c>
      <c r="W161" t="s">
        <v>62</v>
      </c>
      <c r="X161">
        <v>1</v>
      </c>
      <c r="Y161">
        <v>2</v>
      </c>
      <c r="Z161">
        <v>5</v>
      </c>
      <c r="AA161">
        <v>0.28571000000000002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2</v>
      </c>
      <c r="AH161">
        <v>0</v>
      </c>
      <c r="AI161">
        <v>2</v>
      </c>
      <c r="AJ161">
        <v>3</v>
      </c>
      <c r="AK161">
        <v>0.4</v>
      </c>
      <c r="AL161">
        <v>5</v>
      </c>
      <c r="AM161">
        <v>2</v>
      </c>
      <c r="AN161">
        <v>6</v>
      </c>
      <c r="AO161">
        <v>5</v>
      </c>
      <c r="AP161">
        <v>9</v>
      </c>
      <c r="AQ161">
        <v>3</v>
      </c>
      <c r="AR161" t="s">
        <v>2104</v>
      </c>
      <c r="AS161" t="s">
        <v>2105</v>
      </c>
      <c r="AT161">
        <v>1.0980000000000001</v>
      </c>
      <c r="AU161" t="s">
        <v>65</v>
      </c>
      <c r="AV161">
        <v>15</v>
      </c>
      <c r="AW161">
        <v>8</v>
      </c>
      <c r="AX161" t="s">
        <v>2106</v>
      </c>
      <c r="AY161" t="s">
        <v>2107</v>
      </c>
      <c r="AZ161" t="s">
        <v>2108</v>
      </c>
      <c r="BA161">
        <v>0.11953999999999999</v>
      </c>
      <c r="BB161">
        <v>1</v>
      </c>
      <c r="BC161" t="s">
        <v>69</v>
      </c>
      <c r="BD161">
        <v>1.036</v>
      </c>
      <c r="BE161">
        <v>0.22700000000000001</v>
      </c>
    </row>
    <row r="162" spans="1:57">
      <c r="A162">
        <v>0</v>
      </c>
      <c r="B162">
        <v>0</v>
      </c>
      <c r="C162">
        <v>0</v>
      </c>
      <c r="D162">
        <v>3815</v>
      </c>
      <c r="E162" t="s">
        <v>5107</v>
      </c>
      <c r="F162" t="s">
        <v>5762</v>
      </c>
      <c r="G162" t="s">
        <v>62</v>
      </c>
      <c r="H162">
        <v>3781072</v>
      </c>
      <c r="I162">
        <v>3781467</v>
      </c>
      <c r="J162" t="s">
        <v>5108</v>
      </c>
      <c r="K162">
        <v>132</v>
      </c>
      <c r="L162" t="s">
        <v>59</v>
      </c>
      <c r="M162">
        <v>5</v>
      </c>
      <c r="N162" t="str">
        <f>HYPERLINK("Gene3815-zp_tree_all.dnd", "Gene3815-tree")</f>
        <v>Gene3815-tree</v>
      </c>
      <c r="O162">
        <v>4</v>
      </c>
      <c r="P162">
        <v>1</v>
      </c>
      <c r="Q162">
        <v>4</v>
      </c>
      <c r="R162">
        <v>1</v>
      </c>
      <c r="S162">
        <v>0.2</v>
      </c>
      <c r="T162" t="s">
        <v>60</v>
      </c>
      <c r="U162" t="s">
        <v>61</v>
      </c>
      <c r="V162" t="s">
        <v>62</v>
      </c>
      <c r="W162" t="s">
        <v>62</v>
      </c>
      <c r="X162">
        <v>0</v>
      </c>
      <c r="Y162">
        <v>0</v>
      </c>
      <c r="Z162">
        <v>3</v>
      </c>
      <c r="AA162">
        <v>0</v>
      </c>
      <c r="AB162">
        <v>0</v>
      </c>
      <c r="AC162">
        <v>0</v>
      </c>
      <c r="AD162">
        <v>0</v>
      </c>
      <c r="AE162">
        <v>2</v>
      </c>
      <c r="AF162">
        <v>0</v>
      </c>
      <c r="AG162">
        <v>0</v>
      </c>
      <c r="AH162">
        <v>0</v>
      </c>
      <c r="AI162">
        <v>0</v>
      </c>
      <c r="AJ162">
        <v>1</v>
      </c>
      <c r="AK162">
        <v>0</v>
      </c>
      <c r="AL162">
        <v>3</v>
      </c>
      <c r="AM162">
        <v>2</v>
      </c>
      <c r="AN162">
        <v>3</v>
      </c>
      <c r="AO162">
        <v>1</v>
      </c>
      <c r="AP162">
        <v>9</v>
      </c>
      <c r="AQ162">
        <v>2</v>
      </c>
      <c r="AR162" t="s">
        <v>5109</v>
      </c>
      <c r="AS162" t="s">
        <v>5110</v>
      </c>
      <c r="AT162">
        <v>0.21</v>
      </c>
      <c r="AU162" t="s">
        <v>65</v>
      </c>
      <c r="AV162">
        <v>12</v>
      </c>
      <c r="AW162">
        <v>3</v>
      </c>
      <c r="AX162" t="s">
        <v>5111</v>
      </c>
      <c r="AY162" t="s">
        <v>5112</v>
      </c>
      <c r="AZ162" t="s">
        <v>5113</v>
      </c>
      <c r="BA162">
        <v>7.3099999999999998E-2</v>
      </c>
      <c r="BB162">
        <v>1</v>
      </c>
      <c r="BC162" t="s">
        <v>69</v>
      </c>
      <c r="BD162">
        <v>1.0149999999999999</v>
      </c>
      <c r="BE162">
        <v>1.0149999999999999</v>
      </c>
    </row>
    <row r="163" spans="1:57">
      <c r="A163">
        <v>0</v>
      </c>
      <c r="B163">
        <v>0</v>
      </c>
      <c r="C163">
        <v>0</v>
      </c>
      <c r="D163">
        <v>130</v>
      </c>
      <c r="E163" t="s">
        <v>508</v>
      </c>
      <c r="F163" t="s">
        <v>5762</v>
      </c>
      <c r="G163" t="s">
        <v>57</v>
      </c>
      <c r="H163">
        <v>141974</v>
      </c>
      <c r="I163">
        <v>142369</v>
      </c>
      <c r="J163" t="s">
        <v>509</v>
      </c>
      <c r="K163">
        <v>132</v>
      </c>
      <c r="L163" t="s">
        <v>59</v>
      </c>
      <c r="M163">
        <v>5</v>
      </c>
      <c r="N163" t="str">
        <f>HYPERLINK("Gene130-zp_tree_all.dnd", "Gene130-tree")</f>
        <v>Gene130-tree</v>
      </c>
      <c r="O163">
        <v>4</v>
      </c>
      <c r="P163">
        <v>1</v>
      </c>
      <c r="Q163">
        <v>4</v>
      </c>
      <c r="R163">
        <v>1</v>
      </c>
      <c r="S163">
        <v>0.2</v>
      </c>
      <c r="T163" t="s">
        <v>60</v>
      </c>
      <c r="U163" t="s">
        <v>61</v>
      </c>
      <c r="V163" t="s">
        <v>62</v>
      </c>
      <c r="W163" t="s">
        <v>62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3</v>
      </c>
      <c r="AM163">
        <v>1</v>
      </c>
      <c r="AN163">
        <v>3</v>
      </c>
      <c r="AO163">
        <v>1</v>
      </c>
      <c r="AP163">
        <v>1</v>
      </c>
      <c r="AQ163">
        <v>0</v>
      </c>
      <c r="AR163" t="s">
        <v>510</v>
      </c>
      <c r="AS163" t="s">
        <v>64</v>
      </c>
      <c r="AT163">
        <v>0.86599999999999999</v>
      </c>
      <c r="AU163" t="s">
        <v>65</v>
      </c>
      <c r="AV163">
        <v>4</v>
      </c>
      <c r="AW163">
        <v>1</v>
      </c>
      <c r="AX163" t="s">
        <v>511</v>
      </c>
      <c r="AY163" t="s">
        <v>512</v>
      </c>
      <c r="AZ163" t="s">
        <v>513</v>
      </c>
      <c r="BA163">
        <v>6.6739999999999994E-2</v>
      </c>
      <c r="BB163">
        <v>1</v>
      </c>
      <c r="BC163" t="s">
        <v>69</v>
      </c>
      <c r="BD163">
        <v>-0.56200000000000006</v>
      </c>
      <c r="BE163">
        <v>-0.56200000000000006</v>
      </c>
    </row>
    <row r="164" spans="1:57">
      <c r="A164">
        <v>0</v>
      </c>
      <c r="B164">
        <v>0</v>
      </c>
      <c r="C164">
        <v>0</v>
      </c>
      <c r="D164">
        <v>4101</v>
      </c>
      <c r="E164" t="s">
        <v>5511</v>
      </c>
      <c r="F164" t="s">
        <v>5762</v>
      </c>
      <c r="G164" t="s">
        <v>62</v>
      </c>
      <c r="H164">
        <v>4066610</v>
      </c>
      <c r="I164">
        <v>4067005</v>
      </c>
      <c r="J164" t="s">
        <v>5512</v>
      </c>
      <c r="K164">
        <v>132</v>
      </c>
      <c r="L164" t="s">
        <v>59</v>
      </c>
      <c r="M164">
        <v>5</v>
      </c>
      <c r="N164" t="str">
        <f>HYPERLINK("Gene4101-zp_tree_all.dnd", "Gene4101-tree")</f>
        <v>Gene4101-tree</v>
      </c>
      <c r="O164">
        <v>4</v>
      </c>
      <c r="P164">
        <v>1</v>
      </c>
      <c r="Q164">
        <v>4</v>
      </c>
      <c r="R164">
        <v>1</v>
      </c>
      <c r="S164">
        <v>0.2</v>
      </c>
      <c r="T164" t="s">
        <v>60</v>
      </c>
      <c r="U164" t="s">
        <v>61</v>
      </c>
      <c r="V164" t="s">
        <v>62</v>
      </c>
      <c r="W164" t="s">
        <v>62</v>
      </c>
      <c r="X164">
        <v>0</v>
      </c>
      <c r="Y164">
        <v>0</v>
      </c>
      <c r="Z164">
        <v>2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2</v>
      </c>
      <c r="AK164">
        <v>0</v>
      </c>
      <c r="AL164">
        <v>5</v>
      </c>
      <c r="AM164">
        <v>1</v>
      </c>
      <c r="AN164">
        <v>14</v>
      </c>
      <c r="AO164">
        <v>2</v>
      </c>
      <c r="AP164">
        <v>3</v>
      </c>
      <c r="AQ164">
        <v>0</v>
      </c>
      <c r="AR164" t="s">
        <v>5513</v>
      </c>
      <c r="AS164" t="s">
        <v>64</v>
      </c>
      <c r="AT164">
        <v>0.42</v>
      </c>
      <c r="AU164" t="s">
        <v>65</v>
      </c>
      <c r="AV164">
        <v>17</v>
      </c>
      <c r="AW164">
        <v>2</v>
      </c>
      <c r="AX164" t="s">
        <v>5514</v>
      </c>
      <c r="AY164" t="s">
        <v>5515</v>
      </c>
      <c r="AZ164" t="s">
        <v>5516</v>
      </c>
      <c r="BA164">
        <v>2.759E-2</v>
      </c>
      <c r="BB164">
        <v>1</v>
      </c>
      <c r="BC164" t="s">
        <v>69</v>
      </c>
      <c r="BD164">
        <v>-0.54600000000000004</v>
      </c>
      <c r="BE164">
        <v>-0.54600000000000004</v>
      </c>
    </row>
    <row r="165" spans="1:57">
      <c r="A165">
        <v>0</v>
      </c>
      <c r="B165">
        <v>2</v>
      </c>
      <c r="C165">
        <v>0</v>
      </c>
      <c r="D165">
        <v>3661</v>
      </c>
      <c r="E165" t="s">
        <v>4954</v>
      </c>
      <c r="F165" t="s">
        <v>5762</v>
      </c>
      <c r="G165" t="s">
        <v>62</v>
      </c>
      <c r="H165">
        <v>3632491</v>
      </c>
      <c r="I165">
        <v>3632889</v>
      </c>
      <c r="J165" t="s">
        <v>4955</v>
      </c>
      <c r="K165">
        <v>133</v>
      </c>
      <c r="L165" t="s">
        <v>112</v>
      </c>
      <c r="M165">
        <v>4</v>
      </c>
      <c r="N165" t="str">
        <f>HYPERLINK("Gene3661-zp_tree_all.dnd", "Gene3661-tree")</f>
        <v>Gene3661-tree</v>
      </c>
      <c r="O165">
        <v>2</v>
      </c>
      <c r="P165">
        <v>2</v>
      </c>
      <c r="Q165">
        <v>2</v>
      </c>
      <c r="R165">
        <v>2</v>
      </c>
      <c r="S165">
        <v>0.5</v>
      </c>
      <c r="T165" t="s">
        <v>135</v>
      </c>
      <c r="U165" t="s">
        <v>135</v>
      </c>
      <c r="V165" t="s">
        <v>62</v>
      </c>
      <c r="W165" t="s">
        <v>62</v>
      </c>
      <c r="X165">
        <v>1</v>
      </c>
      <c r="Y165">
        <v>2</v>
      </c>
      <c r="Z165">
        <v>2</v>
      </c>
      <c r="AA165">
        <v>0.5</v>
      </c>
      <c r="AB165">
        <v>0</v>
      </c>
      <c r="AC165">
        <v>0</v>
      </c>
      <c r="AD165">
        <v>0</v>
      </c>
      <c r="AE165">
        <v>1</v>
      </c>
      <c r="AF165">
        <v>0</v>
      </c>
      <c r="AG165">
        <v>2</v>
      </c>
      <c r="AH165">
        <v>0</v>
      </c>
      <c r="AI165">
        <v>2</v>
      </c>
      <c r="AJ165">
        <v>1</v>
      </c>
      <c r="AK165">
        <v>0.66666999999999998</v>
      </c>
      <c r="AL165">
        <v>4</v>
      </c>
      <c r="AM165">
        <v>1</v>
      </c>
      <c r="AN165">
        <v>23</v>
      </c>
      <c r="AO165">
        <v>3</v>
      </c>
      <c r="AP165">
        <v>3</v>
      </c>
      <c r="AQ165">
        <v>1</v>
      </c>
      <c r="AR165" t="s">
        <v>4956</v>
      </c>
      <c r="AS165" t="s">
        <v>4957</v>
      </c>
      <c r="AT165">
        <v>2.4409999999999998</v>
      </c>
      <c r="AU165" t="s">
        <v>65</v>
      </c>
      <c r="AV165">
        <v>26</v>
      </c>
      <c r="AW165">
        <v>4</v>
      </c>
      <c r="AX165" t="s">
        <v>4958</v>
      </c>
      <c r="AY165" t="s">
        <v>4959</v>
      </c>
      <c r="AZ165" t="s">
        <v>4960</v>
      </c>
      <c r="BA165">
        <v>3.6560000000000002E-2</v>
      </c>
      <c r="BB165">
        <v>1</v>
      </c>
      <c r="BC165" t="s">
        <v>69</v>
      </c>
      <c r="BD165">
        <v>0.23100000000000001</v>
      </c>
      <c r="BE165">
        <v>-0.13200000000000001</v>
      </c>
    </row>
    <row r="166" spans="1:57">
      <c r="A166">
        <v>0</v>
      </c>
      <c r="B166">
        <v>0</v>
      </c>
      <c r="C166">
        <v>0</v>
      </c>
      <c r="D166">
        <v>2542</v>
      </c>
      <c r="E166" t="s">
        <v>3362</v>
      </c>
      <c r="F166" t="s">
        <v>5762</v>
      </c>
      <c r="G166" t="s">
        <v>62</v>
      </c>
      <c r="H166">
        <v>2535547</v>
      </c>
      <c r="I166">
        <v>2535945</v>
      </c>
      <c r="J166" t="s">
        <v>3356</v>
      </c>
      <c r="K166">
        <v>133</v>
      </c>
      <c r="L166" t="s">
        <v>59</v>
      </c>
      <c r="M166">
        <v>5</v>
      </c>
      <c r="N166" t="str">
        <f>HYPERLINK("Gene2542-zp_tree_all.dnd", "Gene2542-tree")</f>
        <v>Gene2542-tree</v>
      </c>
      <c r="O166">
        <v>5</v>
      </c>
      <c r="P166">
        <v>0</v>
      </c>
      <c r="Q166">
        <v>4</v>
      </c>
      <c r="R166">
        <v>0</v>
      </c>
      <c r="S166">
        <v>0</v>
      </c>
      <c r="T166" t="s">
        <v>150</v>
      </c>
      <c r="U166" t="s">
        <v>62</v>
      </c>
      <c r="V166" t="s">
        <v>62</v>
      </c>
      <c r="W166" t="s">
        <v>62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4</v>
      </c>
      <c r="AM166">
        <v>1</v>
      </c>
      <c r="AN166">
        <v>11</v>
      </c>
      <c r="AO166">
        <v>0</v>
      </c>
      <c r="AP166">
        <v>7</v>
      </c>
      <c r="AQ166">
        <v>0</v>
      </c>
      <c r="AR166" t="s">
        <v>64</v>
      </c>
      <c r="AS166" t="s">
        <v>64</v>
      </c>
      <c r="AT166">
        <v>0</v>
      </c>
      <c r="AU166" t="s">
        <v>65</v>
      </c>
      <c r="AV166">
        <v>18</v>
      </c>
      <c r="AW166">
        <v>0</v>
      </c>
      <c r="AX166" t="s">
        <v>3363</v>
      </c>
      <c r="AY166" t="s">
        <v>3364</v>
      </c>
      <c r="AZ166" t="s">
        <v>64</v>
      </c>
      <c r="BA166">
        <v>0</v>
      </c>
      <c r="BB166">
        <v>1</v>
      </c>
      <c r="BC166" t="s">
        <v>69</v>
      </c>
      <c r="BD166">
        <v>0.39600000000000002</v>
      </c>
      <c r="BE166">
        <v>0.39600000000000002</v>
      </c>
    </row>
    <row r="167" spans="1:57">
      <c r="A167">
        <v>0</v>
      </c>
      <c r="B167">
        <v>2</v>
      </c>
      <c r="C167">
        <v>0</v>
      </c>
      <c r="D167">
        <v>3179</v>
      </c>
      <c r="E167" t="s">
        <v>4334</v>
      </c>
      <c r="F167" t="s">
        <v>5762</v>
      </c>
      <c r="G167" t="s">
        <v>62</v>
      </c>
      <c r="H167">
        <v>3135671</v>
      </c>
      <c r="I167">
        <v>3136072</v>
      </c>
      <c r="J167" t="s">
        <v>4335</v>
      </c>
      <c r="K167">
        <v>134</v>
      </c>
      <c r="L167" t="s">
        <v>59</v>
      </c>
      <c r="M167">
        <v>5</v>
      </c>
      <c r="N167" t="str">
        <f>HYPERLINK("Gene3179-zp_tree_all.dnd", "Gene3179-tree")</f>
        <v>Gene3179-tree</v>
      </c>
      <c r="O167">
        <v>1</v>
      </c>
      <c r="P167">
        <v>4</v>
      </c>
      <c r="Q167">
        <v>1</v>
      </c>
      <c r="R167">
        <v>4</v>
      </c>
      <c r="S167">
        <v>0.8</v>
      </c>
      <c r="T167" t="s">
        <v>61</v>
      </c>
      <c r="U167" t="s">
        <v>60</v>
      </c>
      <c r="V167" t="s">
        <v>62</v>
      </c>
      <c r="W167" t="s">
        <v>62</v>
      </c>
      <c r="X167">
        <v>1</v>
      </c>
      <c r="Y167">
        <v>2</v>
      </c>
      <c r="Z167">
        <v>5</v>
      </c>
      <c r="AA167">
        <v>0.28571000000000002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5</v>
      </c>
      <c r="AK167">
        <v>0</v>
      </c>
      <c r="AL167">
        <v>4</v>
      </c>
      <c r="AM167">
        <v>2</v>
      </c>
      <c r="AN167">
        <v>4</v>
      </c>
      <c r="AO167">
        <v>5</v>
      </c>
      <c r="AP167">
        <v>12</v>
      </c>
      <c r="AQ167">
        <v>2</v>
      </c>
      <c r="AR167" t="s">
        <v>4336</v>
      </c>
      <c r="AS167" t="s">
        <v>4337</v>
      </c>
      <c r="AT167">
        <v>1.8440000000000001</v>
      </c>
      <c r="AU167" t="s">
        <v>65</v>
      </c>
      <c r="AV167">
        <v>16</v>
      </c>
      <c r="AW167">
        <v>7</v>
      </c>
      <c r="AX167" t="s">
        <v>4338</v>
      </c>
      <c r="AY167" t="s">
        <v>4339</v>
      </c>
      <c r="AZ167" t="s">
        <v>4340</v>
      </c>
      <c r="BA167">
        <v>8.9029999999999998E-2</v>
      </c>
      <c r="BB167">
        <v>1</v>
      </c>
      <c r="BC167" t="s">
        <v>69</v>
      </c>
      <c r="BD167">
        <v>0.73</v>
      </c>
      <c r="BE167">
        <v>0.73</v>
      </c>
    </row>
    <row r="168" spans="1:57">
      <c r="A168">
        <v>0</v>
      </c>
      <c r="B168">
        <v>0</v>
      </c>
      <c r="C168">
        <v>0</v>
      </c>
      <c r="D168">
        <v>2974</v>
      </c>
      <c r="E168" t="s">
        <v>3949</v>
      </c>
      <c r="F168" t="s">
        <v>5762</v>
      </c>
      <c r="G168" t="s">
        <v>62</v>
      </c>
      <c r="H168">
        <v>2920520</v>
      </c>
      <c r="I168">
        <v>2920921</v>
      </c>
      <c r="J168" t="s">
        <v>2782</v>
      </c>
      <c r="K168">
        <v>134</v>
      </c>
      <c r="L168" t="s">
        <v>59</v>
      </c>
      <c r="M168">
        <v>5</v>
      </c>
      <c r="N168" t="str">
        <f>HYPERLINK("Gene2974-zp_tree_all.dnd", "Gene2974-tree")</f>
        <v>Gene2974-tree</v>
      </c>
      <c r="O168">
        <v>5</v>
      </c>
      <c r="P168">
        <v>0</v>
      </c>
      <c r="Q168">
        <v>4</v>
      </c>
      <c r="R168">
        <v>0</v>
      </c>
      <c r="S168">
        <v>0</v>
      </c>
      <c r="T168" t="s">
        <v>150</v>
      </c>
      <c r="U168" t="s">
        <v>62</v>
      </c>
      <c r="V168" t="s">
        <v>62</v>
      </c>
      <c r="W168" t="s">
        <v>62</v>
      </c>
      <c r="X168">
        <v>0</v>
      </c>
      <c r="Y168">
        <v>0</v>
      </c>
      <c r="Z168">
        <v>2</v>
      </c>
      <c r="AA168">
        <v>0</v>
      </c>
      <c r="AB168">
        <v>0</v>
      </c>
      <c r="AC168">
        <v>0</v>
      </c>
      <c r="AD168">
        <v>0</v>
      </c>
      <c r="AE168">
        <v>2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4</v>
      </c>
      <c r="AM168">
        <v>1</v>
      </c>
      <c r="AN168">
        <v>12</v>
      </c>
      <c r="AO168">
        <v>0</v>
      </c>
      <c r="AP168">
        <v>6</v>
      </c>
      <c r="AQ168">
        <v>2</v>
      </c>
      <c r="AR168" t="s">
        <v>64</v>
      </c>
      <c r="AS168" t="s">
        <v>3950</v>
      </c>
      <c r="AT168">
        <v>0</v>
      </c>
      <c r="AU168" t="s">
        <v>65</v>
      </c>
      <c r="AV168">
        <v>18</v>
      </c>
      <c r="AW168">
        <v>2</v>
      </c>
      <c r="AX168" t="s">
        <v>3951</v>
      </c>
      <c r="AY168" t="s">
        <v>3952</v>
      </c>
      <c r="AZ168" t="s">
        <v>3953</v>
      </c>
      <c r="BA168">
        <v>3.8240000000000003E-2</v>
      </c>
      <c r="BB168">
        <v>1</v>
      </c>
      <c r="BC168" t="s">
        <v>69</v>
      </c>
      <c r="BD168">
        <v>0.38800000000000001</v>
      </c>
      <c r="BE168">
        <v>0.38800000000000001</v>
      </c>
    </row>
    <row r="169" spans="1:57">
      <c r="A169">
        <v>0</v>
      </c>
      <c r="B169">
        <v>0</v>
      </c>
      <c r="C169">
        <v>0</v>
      </c>
      <c r="D169">
        <v>1808</v>
      </c>
      <c r="E169" t="s">
        <v>2730</v>
      </c>
      <c r="F169" t="s">
        <v>5762</v>
      </c>
      <c r="G169" t="s">
        <v>57</v>
      </c>
      <c r="H169">
        <v>1877959</v>
      </c>
      <c r="I169">
        <v>1878363</v>
      </c>
      <c r="J169" t="s">
        <v>2731</v>
      </c>
      <c r="K169">
        <v>135</v>
      </c>
      <c r="L169" t="s">
        <v>59</v>
      </c>
      <c r="M169">
        <v>5</v>
      </c>
      <c r="N169" t="str">
        <f>HYPERLINK("Gene1808-zp_tree_all.dnd", "Gene1808-tree")</f>
        <v>Gene1808-tree</v>
      </c>
      <c r="O169">
        <v>2</v>
      </c>
      <c r="P169">
        <v>3</v>
      </c>
      <c r="Q169">
        <v>1</v>
      </c>
      <c r="R169">
        <v>3</v>
      </c>
      <c r="S169">
        <v>0.75</v>
      </c>
      <c r="T169" t="s">
        <v>61</v>
      </c>
      <c r="U169" t="s">
        <v>84</v>
      </c>
      <c r="V169" t="s">
        <v>62</v>
      </c>
      <c r="W169" t="s">
        <v>62</v>
      </c>
      <c r="X169">
        <v>0</v>
      </c>
      <c r="Y169">
        <v>0</v>
      </c>
      <c r="Z169">
        <v>3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3</v>
      </c>
      <c r="AK169">
        <v>0</v>
      </c>
      <c r="AL169">
        <v>4</v>
      </c>
      <c r="AM169">
        <v>1</v>
      </c>
      <c r="AN169">
        <v>6</v>
      </c>
      <c r="AO169">
        <v>3</v>
      </c>
      <c r="AP169">
        <v>4</v>
      </c>
      <c r="AQ169">
        <v>0</v>
      </c>
      <c r="AR169" t="s">
        <v>2732</v>
      </c>
      <c r="AS169" t="s">
        <v>64</v>
      </c>
      <c r="AT169">
        <v>4.476</v>
      </c>
      <c r="AU169" t="s">
        <v>286</v>
      </c>
      <c r="AV169">
        <v>10</v>
      </c>
      <c r="AW169">
        <v>3</v>
      </c>
      <c r="AX169" t="s">
        <v>2733</v>
      </c>
      <c r="AY169" t="s">
        <v>2734</v>
      </c>
      <c r="AZ169" t="s">
        <v>2735</v>
      </c>
      <c r="BA169">
        <v>7.0349999999999996E-2</v>
      </c>
      <c r="BB169">
        <v>1</v>
      </c>
      <c r="BC169" t="s">
        <v>69</v>
      </c>
      <c r="BD169">
        <v>0.55200000000000005</v>
      </c>
      <c r="BE169">
        <v>0.55200000000000005</v>
      </c>
    </row>
    <row r="170" spans="1:57">
      <c r="A170">
        <v>0</v>
      </c>
      <c r="B170">
        <v>0</v>
      </c>
      <c r="C170">
        <v>0</v>
      </c>
      <c r="D170">
        <v>2535</v>
      </c>
      <c r="E170" t="s">
        <v>3328</v>
      </c>
      <c r="F170" t="s">
        <v>5762</v>
      </c>
      <c r="G170" t="s">
        <v>62</v>
      </c>
      <c r="H170">
        <v>2529929</v>
      </c>
      <c r="I170">
        <v>2530333</v>
      </c>
      <c r="J170" t="s">
        <v>3329</v>
      </c>
      <c r="K170">
        <v>135</v>
      </c>
      <c r="L170" t="s">
        <v>59</v>
      </c>
      <c r="M170">
        <v>5</v>
      </c>
      <c r="N170" t="str">
        <f>HYPERLINK("Gene2535-zp_tree_all.dnd", "Gene2535-tree")</f>
        <v>Gene2535-tree</v>
      </c>
      <c r="O170">
        <v>4</v>
      </c>
      <c r="P170">
        <v>1</v>
      </c>
      <c r="Q170">
        <v>4</v>
      </c>
      <c r="R170">
        <v>1</v>
      </c>
      <c r="S170">
        <v>0.2</v>
      </c>
      <c r="T170" t="s">
        <v>60</v>
      </c>
      <c r="U170" t="s">
        <v>61</v>
      </c>
      <c r="V170" t="s">
        <v>62</v>
      </c>
      <c r="W170" t="s">
        <v>62</v>
      </c>
      <c r="X170">
        <v>0</v>
      </c>
      <c r="Y170">
        <v>0</v>
      </c>
      <c r="Z170">
        <v>2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</v>
      </c>
      <c r="AK170">
        <v>0</v>
      </c>
      <c r="AL170">
        <v>3</v>
      </c>
      <c r="AM170">
        <v>2</v>
      </c>
      <c r="AN170">
        <v>9</v>
      </c>
      <c r="AO170">
        <v>1</v>
      </c>
      <c r="AP170">
        <v>10</v>
      </c>
      <c r="AQ170">
        <v>1</v>
      </c>
      <c r="AR170" t="s">
        <v>3330</v>
      </c>
      <c r="AS170" t="s">
        <v>3331</v>
      </c>
      <c r="AT170">
        <v>7.0999999999999994E-2</v>
      </c>
      <c r="AU170" t="s">
        <v>65</v>
      </c>
      <c r="AV170">
        <v>19</v>
      </c>
      <c r="AW170">
        <v>2</v>
      </c>
      <c r="AX170" t="s">
        <v>3332</v>
      </c>
      <c r="AY170" t="s">
        <v>3333</v>
      </c>
      <c r="AZ170" t="s">
        <v>3334</v>
      </c>
      <c r="BA170">
        <v>2.794E-2</v>
      </c>
      <c r="BB170">
        <v>1</v>
      </c>
      <c r="BC170" t="s">
        <v>69</v>
      </c>
      <c r="BD170">
        <v>0.874</v>
      </c>
      <c r="BE170">
        <v>0.55000000000000004</v>
      </c>
    </row>
    <row r="171" spans="1:57">
      <c r="A171">
        <v>0</v>
      </c>
      <c r="B171">
        <v>0</v>
      </c>
      <c r="C171">
        <v>0</v>
      </c>
      <c r="D171">
        <v>2633</v>
      </c>
      <c r="E171" t="s">
        <v>3505</v>
      </c>
      <c r="F171" t="s">
        <v>5762</v>
      </c>
      <c r="G171" t="s">
        <v>62</v>
      </c>
      <c r="H171">
        <v>2610930</v>
      </c>
      <c r="I171">
        <v>2611337</v>
      </c>
      <c r="J171" t="s">
        <v>3506</v>
      </c>
      <c r="K171">
        <v>136</v>
      </c>
      <c r="L171" t="s">
        <v>59</v>
      </c>
      <c r="M171">
        <v>5</v>
      </c>
      <c r="N171" t="str">
        <f>HYPERLINK("Gene2633-zp_tree_all.dnd", "Gene2633-tree")</f>
        <v>Gene2633-tree</v>
      </c>
      <c r="O171">
        <v>5</v>
      </c>
      <c r="P171">
        <v>0</v>
      </c>
      <c r="Q171">
        <v>5</v>
      </c>
      <c r="R171">
        <v>0</v>
      </c>
      <c r="S171">
        <v>0</v>
      </c>
      <c r="T171" t="s">
        <v>98</v>
      </c>
      <c r="U171" t="s">
        <v>62</v>
      </c>
      <c r="V171" t="s">
        <v>62</v>
      </c>
      <c r="W171" t="s">
        <v>62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4</v>
      </c>
      <c r="AM171">
        <v>2</v>
      </c>
      <c r="AN171">
        <v>8</v>
      </c>
      <c r="AO171">
        <v>0</v>
      </c>
      <c r="AP171">
        <v>6</v>
      </c>
      <c r="AQ171">
        <v>1</v>
      </c>
      <c r="AR171" t="s">
        <v>64</v>
      </c>
      <c r="AS171" t="s">
        <v>3507</v>
      </c>
      <c r="AT171">
        <v>1.268</v>
      </c>
      <c r="AU171" t="s">
        <v>65</v>
      </c>
      <c r="AV171">
        <v>14</v>
      </c>
      <c r="AW171">
        <v>1</v>
      </c>
      <c r="AX171" t="s">
        <v>3508</v>
      </c>
      <c r="AY171" t="s">
        <v>3509</v>
      </c>
      <c r="AZ171" t="s">
        <v>3510</v>
      </c>
      <c r="BA171">
        <v>2.5999999999999999E-2</v>
      </c>
      <c r="BB171">
        <v>1</v>
      </c>
      <c r="BC171" t="s">
        <v>69</v>
      </c>
      <c r="BD171">
        <v>0.41199999999999998</v>
      </c>
      <c r="BE171">
        <v>-0.13</v>
      </c>
    </row>
    <row r="172" spans="1:57">
      <c r="A172">
        <v>0</v>
      </c>
      <c r="B172">
        <v>0</v>
      </c>
      <c r="C172">
        <v>0</v>
      </c>
      <c r="D172">
        <v>2342</v>
      </c>
      <c r="E172" t="s">
        <v>3017</v>
      </c>
      <c r="F172" t="s">
        <v>5762</v>
      </c>
      <c r="G172" t="s">
        <v>62</v>
      </c>
      <c r="H172">
        <v>2358914</v>
      </c>
      <c r="I172">
        <v>2359324</v>
      </c>
      <c r="J172" t="s">
        <v>3018</v>
      </c>
      <c r="K172">
        <v>137</v>
      </c>
      <c r="L172" t="s">
        <v>59</v>
      </c>
      <c r="M172">
        <v>5</v>
      </c>
      <c r="N172" t="str">
        <f>HYPERLINK("Gene2342-zp_tree_all.dnd", "Gene2342-tree")</f>
        <v>Gene2342-tree</v>
      </c>
      <c r="O172">
        <v>4</v>
      </c>
      <c r="P172">
        <v>1</v>
      </c>
      <c r="Q172">
        <v>4</v>
      </c>
      <c r="R172">
        <v>1</v>
      </c>
      <c r="S172">
        <v>0.2</v>
      </c>
      <c r="T172" t="s">
        <v>60</v>
      </c>
      <c r="U172" t="s">
        <v>61</v>
      </c>
      <c r="V172" t="s">
        <v>62</v>
      </c>
      <c r="W172" t="s">
        <v>62</v>
      </c>
      <c r="X172">
        <v>0</v>
      </c>
      <c r="Y172">
        <v>0</v>
      </c>
      <c r="Z172">
        <v>3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5</v>
      </c>
      <c r="AM172">
        <v>2</v>
      </c>
      <c r="AN172">
        <v>12</v>
      </c>
      <c r="AO172">
        <v>1</v>
      </c>
      <c r="AP172">
        <v>8</v>
      </c>
      <c r="AQ172">
        <v>2</v>
      </c>
      <c r="AR172" t="s">
        <v>3019</v>
      </c>
      <c r="AS172" t="s">
        <v>3020</v>
      </c>
      <c r="AT172">
        <v>0.51</v>
      </c>
      <c r="AU172" t="s">
        <v>65</v>
      </c>
      <c r="AV172">
        <v>20</v>
      </c>
      <c r="AW172">
        <v>3</v>
      </c>
      <c r="AX172" t="s">
        <v>3021</v>
      </c>
      <c r="AY172" t="s">
        <v>3022</v>
      </c>
      <c r="AZ172" t="s">
        <v>3023</v>
      </c>
      <c r="BA172">
        <v>4.8410000000000002E-2</v>
      </c>
      <c r="BB172">
        <v>1</v>
      </c>
      <c r="BC172" t="s">
        <v>69</v>
      </c>
      <c r="BD172">
        <v>0.108</v>
      </c>
      <c r="BE172">
        <v>0.108</v>
      </c>
    </row>
    <row r="173" spans="1:57">
      <c r="A173">
        <v>0</v>
      </c>
      <c r="B173">
        <v>0</v>
      </c>
      <c r="C173">
        <v>0</v>
      </c>
      <c r="D173">
        <v>110</v>
      </c>
      <c r="E173" t="s">
        <v>436</v>
      </c>
      <c r="F173" t="s">
        <v>5762</v>
      </c>
      <c r="G173" t="s">
        <v>57</v>
      </c>
      <c r="H173">
        <v>129702</v>
      </c>
      <c r="I173">
        <v>130115</v>
      </c>
      <c r="J173" t="s">
        <v>437</v>
      </c>
      <c r="K173">
        <v>138</v>
      </c>
      <c r="L173" t="s">
        <v>59</v>
      </c>
      <c r="M173">
        <v>5</v>
      </c>
      <c r="N173" t="str">
        <f>HYPERLINK("Gene110-zp_tree_all.dnd", "Gene110-tree")</f>
        <v>Gene110-tree</v>
      </c>
      <c r="O173">
        <v>3</v>
      </c>
      <c r="P173">
        <v>1</v>
      </c>
      <c r="Q173">
        <v>3</v>
      </c>
      <c r="R173">
        <v>1</v>
      </c>
      <c r="S173">
        <v>0.25</v>
      </c>
      <c r="T173" t="s">
        <v>84</v>
      </c>
      <c r="U173" t="s">
        <v>61</v>
      </c>
      <c r="V173" t="s">
        <v>62</v>
      </c>
      <c r="W173" t="s">
        <v>62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0</v>
      </c>
      <c r="AL173">
        <v>3</v>
      </c>
      <c r="AM173">
        <v>1</v>
      </c>
      <c r="AN173">
        <v>2</v>
      </c>
      <c r="AO173">
        <v>1</v>
      </c>
      <c r="AP173">
        <v>3</v>
      </c>
      <c r="AQ173">
        <v>0</v>
      </c>
      <c r="AR173" t="s">
        <v>438</v>
      </c>
      <c r="AS173" t="s">
        <v>64</v>
      </c>
      <c r="AT173">
        <v>0.69299999999999995</v>
      </c>
      <c r="AU173" t="s">
        <v>65</v>
      </c>
      <c r="AV173">
        <v>5</v>
      </c>
      <c r="AW173">
        <v>1</v>
      </c>
      <c r="AX173" t="s">
        <v>439</v>
      </c>
      <c r="AY173" t="s">
        <v>440</v>
      </c>
      <c r="AZ173" t="s">
        <v>441</v>
      </c>
      <c r="BA173">
        <v>5.4480000000000001E-2</v>
      </c>
      <c r="BB173">
        <v>1</v>
      </c>
      <c r="BC173" t="s">
        <v>69</v>
      </c>
      <c r="BD173">
        <v>0.28599999999999998</v>
      </c>
      <c r="BE173">
        <v>0.28599999999999998</v>
      </c>
    </row>
    <row r="174" spans="1:57">
      <c r="A174">
        <v>0</v>
      </c>
      <c r="B174">
        <v>0</v>
      </c>
      <c r="C174">
        <v>0</v>
      </c>
      <c r="D174">
        <v>2851</v>
      </c>
      <c r="E174" t="s">
        <v>3689</v>
      </c>
      <c r="F174" t="s">
        <v>5762</v>
      </c>
      <c r="G174" t="s">
        <v>62</v>
      </c>
      <c r="H174">
        <v>2797402</v>
      </c>
      <c r="I174">
        <v>2797815</v>
      </c>
      <c r="J174" t="s">
        <v>3690</v>
      </c>
      <c r="K174">
        <v>138</v>
      </c>
      <c r="L174" t="s">
        <v>59</v>
      </c>
      <c r="M174">
        <v>5</v>
      </c>
      <c r="N174" t="str">
        <f>HYPERLINK("Gene2851-zp_tree_all.dnd", "Gene2851-tree")</f>
        <v>Gene2851-tree</v>
      </c>
      <c r="O174">
        <v>4</v>
      </c>
      <c r="P174">
        <v>0</v>
      </c>
      <c r="Q174">
        <v>4</v>
      </c>
      <c r="R174">
        <v>0</v>
      </c>
      <c r="S174">
        <v>0</v>
      </c>
      <c r="T174" t="s">
        <v>60</v>
      </c>
      <c r="U174" t="s">
        <v>62</v>
      </c>
      <c r="V174" t="s">
        <v>62</v>
      </c>
      <c r="W174" t="s">
        <v>62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1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3</v>
      </c>
      <c r="AM174">
        <v>1</v>
      </c>
      <c r="AN174">
        <v>6</v>
      </c>
      <c r="AO174">
        <v>0</v>
      </c>
      <c r="AP174">
        <v>5</v>
      </c>
      <c r="AQ174">
        <v>1</v>
      </c>
      <c r="AR174" t="s">
        <v>64</v>
      </c>
      <c r="AS174" t="s">
        <v>3691</v>
      </c>
      <c r="AT174">
        <v>0</v>
      </c>
      <c r="AU174" t="s">
        <v>65</v>
      </c>
      <c r="AV174">
        <v>11</v>
      </c>
      <c r="AW174">
        <v>1</v>
      </c>
      <c r="AX174" t="s">
        <v>3692</v>
      </c>
      <c r="AY174" t="s">
        <v>3693</v>
      </c>
      <c r="AZ174" t="s">
        <v>3694</v>
      </c>
      <c r="BA174">
        <v>2.9590000000000002E-2</v>
      </c>
      <c r="BB174">
        <v>1</v>
      </c>
      <c r="BC174" t="s">
        <v>69</v>
      </c>
      <c r="BD174">
        <v>0.30099999999999999</v>
      </c>
      <c r="BE174">
        <v>0.30099999999999999</v>
      </c>
    </row>
    <row r="175" spans="1:57">
      <c r="A175">
        <v>0</v>
      </c>
      <c r="B175">
        <v>0</v>
      </c>
      <c r="C175">
        <v>0</v>
      </c>
      <c r="D175">
        <v>2866</v>
      </c>
      <c r="E175" t="s">
        <v>3711</v>
      </c>
      <c r="F175" t="s">
        <v>5762</v>
      </c>
      <c r="G175" t="s">
        <v>62</v>
      </c>
      <c r="H175">
        <v>2811720</v>
      </c>
      <c r="I175">
        <v>2812133</v>
      </c>
      <c r="J175" t="s">
        <v>3712</v>
      </c>
      <c r="K175">
        <v>138</v>
      </c>
      <c r="L175" t="s">
        <v>59</v>
      </c>
      <c r="M175">
        <v>5</v>
      </c>
      <c r="N175" t="str">
        <f>HYPERLINK("Gene2866-zp_tree_all.dnd", "Gene2866-tree")</f>
        <v>Gene2866-tree</v>
      </c>
      <c r="O175">
        <v>5</v>
      </c>
      <c r="P175">
        <v>0</v>
      </c>
      <c r="Q175">
        <v>5</v>
      </c>
      <c r="R175">
        <v>0</v>
      </c>
      <c r="S175">
        <v>0</v>
      </c>
      <c r="T175" t="s">
        <v>98</v>
      </c>
      <c r="U175" t="s">
        <v>62</v>
      </c>
      <c r="V175" t="s">
        <v>62</v>
      </c>
      <c r="W175" t="s">
        <v>62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4</v>
      </c>
      <c r="AM175">
        <v>1</v>
      </c>
      <c r="AN175">
        <v>8</v>
      </c>
      <c r="AO175">
        <v>0</v>
      </c>
      <c r="AP175">
        <v>13</v>
      </c>
      <c r="AQ175">
        <v>0</v>
      </c>
      <c r="AR175" t="s">
        <v>64</v>
      </c>
      <c r="AS175" t="s">
        <v>64</v>
      </c>
      <c r="AT175">
        <v>0</v>
      </c>
      <c r="AU175" t="s">
        <v>65</v>
      </c>
      <c r="AV175">
        <v>21</v>
      </c>
      <c r="AW175">
        <v>0</v>
      </c>
      <c r="AX175" t="s">
        <v>3713</v>
      </c>
      <c r="AY175" t="s">
        <v>3714</v>
      </c>
      <c r="AZ175" t="s">
        <v>64</v>
      </c>
      <c r="BA175">
        <v>0</v>
      </c>
      <c r="BB175">
        <v>1</v>
      </c>
      <c r="BC175" t="s">
        <v>69</v>
      </c>
      <c r="BD175">
        <v>1.117</v>
      </c>
      <c r="BE175">
        <v>0.38800000000000001</v>
      </c>
    </row>
    <row r="176" spans="1:57">
      <c r="A176">
        <v>0</v>
      </c>
      <c r="B176">
        <v>0</v>
      </c>
      <c r="C176">
        <v>0</v>
      </c>
      <c r="D176">
        <v>776</v>
      </c>
      <c r="E176" t="s">
        <v>1234</v>
      </c>
      <c r="F176" t="s">
        <v>5762</v>
      </c>
      <c r="G176" t="s">
        <v>57</v>
      </c>
      <c r="H176">
        <v>812140</v>
      </c>
      <c r="I176">
        <v>812559</v>
      </c>
      <c r="J176" t="s">
        <v>1235</v>
      </c>
      <c r="K176">
        <v>140</v>
      </c>
      <c r="L176" t="s">
        <v>59</v>
      </c>
      <c r="M176">
        <v>5</v>
      </c>
      <c r="N176" t="str">
        <f>HYPERLINK("Gene776-zp_tree_all.dnd", "Gene776-tree")</f>
        <v>Gene776-tree</v>
      </c>
      <c r="O176">
        <v>4</v>
      </c>
      <c r="P176">
        <v>1</v>
      </c>
      <c r="Q176">
        <v>3</v>
      </c>
      <c r="R176">
        <v>1</v>
      </c>
      <c r="S176">
        <v>0.25</v>
      </c>
      <c r="T176" t="s">
        <v>119</v>
      </c>
      <c r="U176" t="s">
        <v>61</v>
      </c>
      <c r="V176" t="s">
        <v>62</v>
      </c>
      <c r="W176" t="s">
        <v>62</v>
      </c>
      <c r="X176">
        <v>0</v>
      </c>
      <c r="Y176">
        <v>0</v>
      </c>
      <c r="Z176">
        <v>2</v>
      </c>
      <c r="AA176">
        <v>0</v>
      </c>
      <c r="AB176">
        <v>0</v>
      </c>
      <c r="AC176">
        <v>0</v>
      </c>
      <c r="AD176">
        <v>0</v>
      </c>
      <c r="AE176">
        <v>1</v>
      </c>
      <c r="AF176">
        <v>0</v>
      </c>
      <c r="AG176">
        <v>0</v>
      </c>
      <c r="AH176">
        <v>0</v>
      </c>
      <c r="AI176">
        <v>0</v>
      </c>
      <c r="AJ176">
        <v>1</v>
      </c>
      <c r="AK176">
        <v>0</v>
      </c>
      <c r="AL176">
        <v>4</v>
      </c>
      <c r="AM176">
        <v>1</v>
      </c>
      <c r="AN176">
        <v>7</v>
      </c>
      <c r="AO176">
        <v>2</v>
      </c>
      <c r="AP176">
        <v>5</v>
      </c>
      <c r="AQ176">
        <v>1</v>
      </c>
      <c r="AR176" t="s">
        <v>1236</v>
      </c>
      <c r="AS176" t="s">
        <v>1237</v>
      </c>
      <c r="AT176">
        <v>0.186</v>
      </c>
      <c r="AU176" t="s">
        <v>65</v>
      </c>
      <c r="AV176">
        <v>12</v>
      </c>
      <c r="AW176">
        <v>3</v>
      </c>
      <c r="AX176" t="s">
        <v>1238</v>
      </c>
      <c r="AY176" t="s">
        <v>1239</v>
      </c>
      <c r="AZ176" t="s">
        <v>1240</v>
      </c>
      <c r="BA176">
        <v>6.1129999999999997E-2</v>
      </c>
      <c r="BB176">
        <v>1</v>
      </c>
      <c r="BC176" t="s">
        <v>69</v>
      </c>
      <c r="BD176">
        <v>0.40600000000000003</v>
      </c>
      <c r="BE176">
        <v>0.40600000000000003</v>
      </c>
    </row>
    <row r="177" spans="1:57">
      <c r="A177">
        <v>0</v>
      </c>
      <c r="B177">
        <v>0</v>
      </c>
      <c r="C177">
        <v>0</v>
      </c>
      <c r="D177">
        <v>3096</v>
      </c>
      <c r="E177" t="s">
        <v>4193</v>
      </c>
      <c r="F177" t="s">
        <v>5762</v>
      </c>
      <c r="G177" t="s">
        <v>62</v>
      </c>
      <c r="H177">
        <v>3047596</v>
      </c>
      <c r="I177">
        <v>3048015</v>
      </c>
      <c r="J177" t="s">
        <v>4194</v>
      </c>
      <c r="K177">
        <v>140</v>
      </c>
      <c r="L177" t="s">
        <v>112</v>
      </c>
      <c r="M177">
        <v>4</v>
      </c>
      <c r="N177" t="str">
        <f>HYPERLINK("Gene3096-zp_tree_all.dnd", "Gene3096-tree")</f>
        <v>Gene3096-tree</v>
      </c>
      <c r="O177">
        <v>3</v>
      </c>
      <c r="P177">
        <v>1</v>
      </c>
      <c r="Q177">
        <v>3</v>
      </c>
      <c r="R177">
        <v>1</v>
      </c>
      <c r="S177">
        <v>0.25</v>
      </c>
      <c r="T177" t="s">
        <v>84</v>
      </c>
      <c r="U177" t="s">
        <v>61</v>
      </c>
      <c r="V177" t="s">
        <v>62</v>
      </c>
      <c r="W177" t="s">
        <v>62</v>
      </c>
      <c r="X177">
        <v>0</v>
      </c>
      <c r="Y177">
        <v>0</v>
      </c>
      <c r="Z177">
        <v>3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3</v>
      </c>
      <c r="AK177">
        <v>0</v>
      </c>
      <c r="AL177">
        <v>3</v>
      </c>
      <c r="AM177">
        <v>0</v>
      </c>
      <c r="AN177">
        <v>17</v>
      </c>
      <c r="AO177">
        <v>3</v>
      </c>
      <c r="AP177">
        <v>0</v>
      </c>
      <c r="AQ177">
        <v>0</v>
      </c>
      <c r="AR177" t="s">
        <v>4195</v>
      </c>
      <c r="AS177" t="s">
        <v>64</v>
      </c>
      <c r="AT177">
        <v>0.55000000000000004</v>
      </c>
      <c r="AU177" t="s">
        <v>65</v>
      </c>
      <c r="AV177">
        <v>17</v>
      </c>
      <c r="AW177">
        <v>3</v>
      </c>
      <c r="AX177" t="s">
        <v>4196</v>
      </c>
      <c r="AY177" t="s">
        <v>4197</v>
      </c>
      <c r="AZ177" t="s">
        <v>4198</v>
      </c>
      <c r="BA177">
        <v>4.759E-2</v>
      </c>
      <c r="BB177">
        <v>1</v>
      </c>
      <c r="BC177" t="s">
        <v>69</v>
      </c>
      <c r="BD177">
        <v>-0.85399999999999998</v>
      </c>
      <c r="BE177">
        <v>-0.85399999999999998</v>
      </c>
    </row>
    <row r="178" spans="1:57">
      <c r="A178">
        <v>0</v>
      </c>
      <c r="B178">
        <v>0</v>
      </c>
      <c r="C178">
        <v>2</v>
      </c>
      <c r="D178">
        <v>430</v>
      </c>
      <c r="E178" t="s">
        <v>876</v>
      </c>
      <c r="F178" t="s">
        <v>5762</v>
      </c>
      <c r="G178" t="s">
        <v>57</v>
      </c>
      <c r="H178">
        <v>473803</v>
      </c>
      <c r="I178">
        <v>474222</v>
      </c>
      <c r="J178" t="s">
        <v>877</v>
      </c>
      <c r="K178">
        <v>140</v>
      </c>
      <c r="L178" t="s">
        <v>59</v>
      </c>
      <c r="M178">
        <v>5</v>
      </c>
      <c r="N178" t="str">
        <f>HYPERLINK("Gene430-zp_tree_all.dnd", "Gene430-tree")</f>
        <v>Gene430-tree</v>
      </c>
      <c r="O178">
        <v>3</v>
      </c>
      <c r="P178">
        <v>2</v>
      </c>
      <c r="Q178">
        <v>3</v>
      </c>
      <c r="R178">
        <v>2</v>
      </c>
      <c r="S178">
        <v>0.4</v>
      </c>
      <c r="T178" t="s">
        <v>84</v>
      </c>
      <c r="U178" t="s">
        <v>135</v>
      </c>
      <c r="V178" t="s">
        <v>62</v>
      </c>
      <c r="W178" t="s">
        <v>62</v>
      </c>
      <c r="X178">
        <v>1</v>
      </c>
      <c r="Y178">
        <v>2</v>
      </c>
      <c r="Z178">
        <v>3</v>
      </c>
      <c r="AA178">
        <v>0.4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2</v>
      </c>
      <c r="AI178">
        <v>2</v>
      </c>
      <c r="AJ178">
        <v>3</v>
      </c>
      <c r="AK178">
        <v>0.4</v>
      </c>
      <c r="AL178">
        <v>5</v>
      </c>
      <c r="AM178">
        <v>2</v>
      </c>
      <c r="AN178">
        <v>20</v>
      </c>
      <c r="AO178">
        <v>5</v>
      </c>
      <c r="AP178">
        <v>6</v>
      </c>
      <c r="AQ178">
        <v>0</v>
      </c>
      <c r="AR178" t="s">
        <v>878</v>
      </c>
      <c r="AS178" t="s">
        <v>64</v>
      </c>
      <c r="AT178">
        <v>1.107</v>
      </c>
      <c r="AU178" t="s">
        <v>65</v>
      </c>
      <c r="AV178">
        <v>26</v>
      </c>
      <c r="AW178">
        <v>5</v>
      </c>
      <c r="AX178" t="s">
        <v>879</v>
      </c>
      <c r="AY178" t="s">
        <v>880</v>
      </c>
      <c r="AZ178" t="s">
        <v>881</v>
      </c>
      <c r="BA178">
        <v>4.1689999999999998E-2</v>
      </c>
      <c r="BB178">
        <v>1</v>
      </c>
      <c r="BC178" t="s">
        <v>69</v>
      </c>
      <c r="BD178">
        <v>-0.629</v>
      </c>
      <c r="BE178">
        <v>-0.66300000000000003</v>
      </c>
    </row>
    <row r="179" spans="1:57">
      <c r="A179">
        <v>0</v>
      </c>
      <c r="B179">
        <v>0</v>
      </c>
      <c r="C179">
        <v>0</v>
      </c>
      <c r="D179">
        <v>1272</v>
      </c>
      <c r="E179" t="s">
        <v>1731</v>
      </c>
      <c r="F179" t="s">
        <v>5762</v>
      </c>
      <c r="G179" t="s">
        <v>57</v>
      </c>
      <c r="H179">
        <v>1298612</v>
      </c>
      <c r="I179">
        <v>1299031</v>
      </c>
      <c r="J179" t="s">
        <v>170</v>
      </c>
      <c r="K179">
        <v>140</v>
      </c>
      <c r="L179" t="s">
        <v>59</v>
      </c>
      <c r="M179">
        <v>5</v>
      </c>
      <c r="N179" t="str">
        <f>HYPERLINK("Gene1272-zp_tree_all.dnd", "Gene1272-tree")</f>
        <v>Gene1272-tree</v>
      </c>
      <c r="O179">
        <v>4</v>
      </c>
      <c r="P179">
        <v>1</v>
      </c>
      <c r="Q179">
        <v>4</v>
      </c>
      <c r="R179">
        <v>1</v>
      </c>
      <c r="S179">
        <v>0.2</v>
      </c>
      <c r="T179" t="s">
        <v>60</v>
      </c>
      <c r="U179" t="s">
        <v>61</v>
      </c>
      <c r="V179" t="s">
        <v>62</v>
      </c>
      <c r="W179" t="s">
        <v>62</v>
      </c>
      <c r="X179">
        <v>0</v>
      </c>
      <c r="Y179">
        <v>0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0</v>
      </c>
      <c r="AL179">
        <v>4</v>
      </c>
      <c r="AM179">
        <v>2</v>
      </c>
      <c r="AN179">
        <v>4</v>
      </c>
      <c r="AO179">
        <v>1</v>
      </c>
      <c r="AP179">
        <v>16</v>
      </c>
      <c r="AQ179">
        <v>1</v>
      </c>
      <c r="AR179" t="s">
        <v>1732</v>
      </c>
      <c r="AS179" t="s">
        <v>1733</v>
      </c>
      <c r="AT179">
        <v>0.50700000000000001</v>
      </c>
      <c r="AU179" t="s">
        <v>65</v>
      </c>
      <c r="AV179">
        <v>20</v>
      </c>
      <c r="AW179">
        <v>2</v>
      </c>
      <c r="AX179" t="s">
        <v>1734</v>
      </c>
      <c r="AY179" t="s">
        <v>1735</v>
      </c>
      <c r="AZ179" t="s">
        <v>1736</v>
      </c>
      <c r="BA179">
        <v>2.4039999999999999E-2</v>
      </c>
      <c r="BB179">
        <v>1</v>
      </c>
      <c r="BC179" t="s">
        <v>69</v>
      </c>
      <c r="BD179">
        <v>1.2629999999999999</v>
      </c>
      <c r="BE179">
        <v>1.2629999999999999</v>
      </c>
    </row>
    <row r="180" spans="1:57">
      <c r="A180">
        <v>0</v>
      </c>
      <c r="B180">
        <v>0</v>
      </c>
      <c r="C180">
        <v>0</v>
      </c>
      <c r="D180">
        <v>102</v>
      </c>
      <c r="E180" t="s">
        <v>395</v>
      </c>
      <c r="F180" t="s">
        <v>5762</v>
      </c>
      <c r="G180" t="s">
        <v>57</v>
      </c>
      <c r="H180">
        <v>118591</v>
      </c>
      <c r="I180">
        <v>119013</v>
      </c>
      <c r="J180" t="s">
        <v>396</v>
      </c>
      <c r="K180">
        <v>141</v>
      </c>
      <c r="L180" t="s">
        <v>59</v>
      </c>
      <c r="M180">
        <v>5</v>
      </c>
      <c r="N180" t="str">
        <f>HYPERLINK("Gene102-zp_tree_all.dnd", "Gene102-tree")</f>
        <v>Gene102-tree</v>
      </c>
      <c r="O180">
        <v>4</v>
      </c>
      <c r="P180">
        <v>0</v>
      </c>
      <c r="Q180">
        <v>4</v>
      </c>
      <c r="R180">
        <v>0</v>
      </c>
      <c r="S180">
        <v>0</v>
      </c>
      <c r="T180" t="s">
        <v>60</v>
      </c>
      <c r="U180" t="s">
        <v>62</v>
      </c>
      <c r="V180" t="s">
        <v>62</v>
      </c>
      <c r="W180" t="s">
        <v>62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3</v>
      </c>
      <c r="AM180">
        <v>1</v>
      </c>
      <c r="AN180">
        <v>4</v>
      </c>
      <c r="AO180">
        <v>0</v>
      </c>
      <c r="AP180">
        <v>1</v>
      </c>
      <c r="AQ180">
        <v>0</v>
      </c>
      <c r="AR180" t="s">
        <v>64</v>
      </c>
      <c r="AS180" t="s">
        <v>64</v>
      </c>
      <c r="AT180">
        <v>0</v>
      </c>
      <c r="AU180" t="s">
        <v>65</v>
      </c>
      <c r="AV180">
        <v>5</v>
      </c>
      <c r="AW180">
        <v>0</v>
      </c>
      <c r="AX180" t="s">
        <v>397</v>
      </c>
      <c r="AY180" t="s">
        <v>398</v>
      </c>
      <c r="AZ180" t="s">
        <v>64</v>
      </c>
      <c r="BA180">
        <v>0</v>
      </c>
      <c r="BB180">
        <v>1</v>
      </c>
      <c r="BC180" t="s">
        <v>69</v>
      </c>
      <c r="BD180">
        <v>-0.56200000000000006</v>
      </c>
      <c r="BE180">
        <v>-0.56200000000000006</v>
      </c>
    </row>
    <row r="181" spans="1:57">
      <c r="A181">
        <v>0</v>
      </c>
      <c r="B181">
        <v>0</v>
      </c>
      <c r="C181">
        <v>0</v>
      </c>
      <c r="D181">
        <v>260</v>
      </c>
      <c r="E181" t="s">
        <v>685</v>
      </c>
      <c r="F181" t="s">
        <v>5762</v>
      </c>
      <c r="G181" t="s">
        <v>57</v>
      </c>
      <c r="H181">
        <v>282469</v>
      </c>
      <c r="I181">
        <v>282894</v>
      </c>
      <c r="J181" t="s">
        <v>686</v>
      </c>
      <c r="K181">
        <v>142</v>
      </c>
      <c r="L181" t="s">
        <v>83</v>
      </c>
      <c r="M181">
        <v>4</v>
      </c>
      <c r="N181" t="str">
        <f>HYPERLINK("Gene260-zp_tree_all.dnd", "Gene260-tree")</f>
        <v>Gene260-tree</v>
      </c>
      <c r="O181">
        <v>1</v>
      </c>
      <c r="P181">
        <v>3</v>
      </c>
      <c r="Q181">
        <v>1</v>
      </c>
      <c r="R181">
        <v>3</v>
      </c>
      <c r="S181">
        <v>0.75</v>
      </c>
      <c r="T181" t="s">
        <v>61</v>
      </c>
      <c r="U181" t="s">
        <v>84</v>
      </c>
      <c r="V181" t="s">
        <v>62</v>
      </c>
      <c r="W181" t="s">
        <v>62</v>
      </c>
      <c r="X181">
        <v>0</v>
      </c>
      <c r="Y181">
        <v>0</v>
      </c>
      <c r="Z181">
        <v>6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6</v>
      </c>
      <c r="AK181">
        <v>0</v>
      </c>
      <c r="AL181">
        <v>4</v>
      </c>
      <c r="AM181">
        <v>1</v>
      </c>
      <c r="AN181">
        <v>22</v>
      </c>
      <c r="AO181">
        <v>6</v>
      </c>
      <c r="AP181">
        <v>4</v>
      </c>
      <c r="AQ181">
        <v>0</v>
      </c>
      <c r="AR181" t="s">
        <v>687</v>
      </c>
      <c r="AS181" t="s">
        <v>64</v>
      </c>
      <c r="AT181">
        <v>1.8879999999999999</v>
      </c>
      <c r="AU181" t="s">
        <v>65</v>
      </c>
      <c r="AV181">
        <v>26</v>
      </c>
      <c r="AW181">
        <v>6</v>
      </c>
      <c r="AX181" t="s">
        <v>688</v>
      </c>
      <c r="AY181" t="s">
        <v>689</v>
      </c>
      <c r="AZ181" t="s">
        <v>690</v>
      </c>
      <c r="BA181">
        <v>6.1429999999999998E-2</v>
      </c>
      <c r="BB181">
        <v>1</v>
      </c>
      <c r="BC181" t="s">
        <v>69</v>
      </c>
      <c r="BD181">
        <v>-0.23</v>
      </c>
      <c r="BE181">
        <v>-0.23</v>
      </c>
    </row>
    <row r="182" spans="1:57">
      <c r="A182">
        <v>0</v>
      </c>
      <c r="B182">
        <v>0</v>
      </c>
      <c r="C182">
        <v>0</v>
      </c>
      <c r="D182">
        <v>2554</v>
      </c>
      <c r="E182" t="s">
        <v>3403</v>
      </c>
      <c r="F182" t="s">
        <v>5762</v>
      </c>
      <c r="G182" t="s">
        <v>62</v>
      </c>
      <c r="H182">
        <v>2543443</v>
      </c>
      <c r="I182">
        <v>2543868</v>
      </c>
      <c r="J182" t="s">
        <v>3404</v>
      </c>
      <c r="K182">
        <v>142</v>
      </c>
      <c r="L182" t="s">
        <v>59</v>
      </c>
      <c r="M182">
        <v>5</v>
      </c>
      <c r="N182" t="str">
        <f>HYPERLINK("Gene2554-zp_tree_all.dnd", "Gene2554-tree")</f>
        <v>Gene2554-tree</v>
      </c>
      <c r="O182">
        <v>2</v>
      </c>
      <c r="P182">
        <v>2</v>
      </c>
      <c r="Q182">
        <v>2</v>
      </c>
      <c r="R182">
        <v>2</v>
      </c>
      <c r="S182">
        <v>0.5</v>
      </c>
      <c r="T182" t="s">
        <v>135</v>
      </c>
      <c r="U182" t="s">
        <v>135</v>
      </c>
      <c r="V182" t="s">
        <v>62</v>
      </c>
      <c r="W182" t="s">
        <v>62</v>
      </c>
      <c r="X182">
        <v>0</v>
      </c>
      <c r="Y182">
        <v>0</v>
      </c>
      <c r="Z182">
        <v>2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2</v>
      </c>
      <c r="AK182">
        <v>0</v>
      </c>
      <c r="AL182">
        <v>3</v>
      </c>
      <c r="AM182">
        <v>1</v>
      </c>
      <c r="AN182">
        <v>6</v>
      </c>
      <c r="AO182">
        <v>2</v>
      </c>
      <c r="AP182">
        <v>3</v>
      </c>
      <c r="AQ182">
        <v>0</v>
      </c>
      <c r="AR182" t="s">
        <v>3405</v>
      </c>
      <c r="AS182" t="s">
        <v>64</v>
      </c>
      <c r="AT182">
        <v>2.5819999999999999</v>
      </c>
      <c r="AU182" t="s">
        <v>286</v>
      </c>
      <c r="AV182">
        <v>9</v>
      </c>
      <c r="AW182">
        <v>2</v>
      </c>
      <c r="AX182" t="s">
        <v>3406</v>
      </c>
      <c r="AY182" t="s">
        <v>3407</v>
      </c>
      <c r="AZ182" t="s">
        <v>3408</v>
      </c>
      <c r="BA182">
        <v>5.1720000000000002E-2</v>
      </c>
      <c r="BB182">
        <v>1</v>
      </c>
      <c r="BC182" t="s">
        <v>69</v>
      </c>
      <c r="BD182">
        <v>-0.38200000000000001</v>
      </c>
      <c r="BE182">
        <v>-0.38200000000000001</v>
      </c>
    </row>
    <row r="183" spans="1:57">
      <c r="A183">
        <v>0</v>
      </c>
      <c r="B183">
        <v>2</v>
      </c>
      <c r="C183">
        <v>0</v>
      </c>
      <c r="D183">
        <v>95</v>
      </c>
      <c r="E183" t="s">
        <v>362</v>
      </c>
      <c r="F183" t="s">
        <v>5762</v>
      </c>
      <c r="G183" t="s">
        <v>57</v>
      </c>
      <c r="H183">
        <v>114854</v>
      </c>
      <c r="I183">
        <v>115282</v>
      </c>
      <c r="J183" t="s">
        <v>363</v>
      </c>
      <c r="K183">
        <v>143</v>
      </c>
      <c r="L183" t="s">
        <v>112</v>
      </c>
      <c r="M183">
        <v>4</v>
      </c>
      <c r="N183" t="str">
        <f>HYPERLINK("Gene95-zp_tree_all.dnd", "Gene95-tree")</f>
        <v>Gene95-tree</v>
      </c>
      <c r="O183">
        <v>1</v>
      </c>
      <c r="P183">
        <v>3</v>
      </c>
      <c r="Q183">
        <v>1</v>
      </c>
      <c r="R183">
        <v>3</v>
      </c>
      <c r="S183">
        <v>0.75</v>
      </c>
      <c r="T183" t="s">
        <v>61</v>
      </c>
      <c r="U183" t="s">
        <v>84</v>
      </c>
      <c r="V183" t="s">
        <v>62</v>
      </c>
      <c r="W183" t="s">
        <v>62</v>
      </c>
      <c r="X183">
        <v>1</v>
      </c>
      <c r="Y183">
        <v>2</v>
      </c>
      <c r="Z183">
        <v>5</v>
      </c>
      <c r="AA183">
        <v>0.28571000000000002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2</v>
      </c>
      <c r="AH183">
        <v>0</v>
      </c>
      <c r="AI183">
        <v>2</v>
      </c>
      <c r="AJ183">
        <v>5</v>
      </c>
      <c r="AK183">
        <v>0.28571000000000002</v>
      </c>
      <c r="AL183">
        <v>3</v>
      </c>
      <c r="AM183">
        <v>1</v>
      </c>
      <c r="AN183">
        <v>17</v>
      </c>
      <c r="AO183">
        <v>7</v>
      </c>
      <c r="AP183">
        <v>1</v>
      </c>
      <c r="AQ183">
        <v>0</v>
      </c>
      <c r="AR183" t="s">
        <v>364</v>
      </c>
      <c r="AS183" t="s">
        <v>64</v>
      </c>
      <c r="AT183">
        <v>1.0129999999999999</v>
      </c>
      <c r="AU183" t="s">
        <v>65</v>
      </c>
      <c r="AV183">
        <v>18</v>
      </c>
      <c r="AW183">
        <v>7</v>
      </c>
      <c r="AX183" t="s">
        <v>365</v>
      </c>
      <c r="AY183" t="s">
        <v>366</v>
      </c>
      <c r="AZ183" t="s">
        <v>367</v>
      </c>
      <c r="BA183">
        <v>9.4089999999999993E-2</v>
      </c>
      <c r="BB183">
        <v>1</v>
      </c>
      <c r="BC183" t="s">
        <v>69</v>
      </c>
      <c r="BD183">
        <v>-0.59599999999999997</v>
      </c>
      <c r="BE183">
        <v>-0.59599999999999997</v>
      </c>
    </row>
    <row r="184" spans="1:57">
      <c r="A184">
        <v>0</v>
      </c>
      <c r="B184">
        <v>0</v>
      </c>
      <c r="C184">
        <v>2</v>
      </c>
      <c r="D184">
        <v>4142</v>
      </c>
      <c r="E184" t="s">
        <v>5602</v>
      </c>
      <c r="F184" t="s">
        <v>5762</v>
      </c>
      <c r="G184" t="s">
        <v>62</v>
      </c>
      <c r="H184">
        <v>4109188</v>
      </c>
      <c r="I184">
        <v>4109616</v>
      </c>
      <c r="J184" t="s">
        <v>1014</v>
      </c>
      <c r="K184">
        <v>143</v>
      </c>
      <c r="L184" t="s">
        <v>59</v>
      </c>
      <c r="M184">
        <v>5</v>
      </c>
      <c r="N184" t="str">
        <f>HYPERLINK("Gene4142-zp_tree_all.dnd", "Gene4142-tree")</f>
        <v>Gene4142-tree</v>
      </c>
      <c r="O184">
        <v>3</v>
      </c>
      <c r="P184">
        <v>2</v>
      </c>
      <c r="Q184">
        <v>2</v>
      </c>
      <c r="R184">
        <v>2</v>
      </c>
      <c r="S184">
        <v>0.5</v>
      </c>
      <c r="T184" t="s">
        <v>217</v>
      </c>
      <c r="U184" t="s">
        <v>135</v>
      </c>
      <c r="V184" t="s">
        <v>62</v>
      </c>
      <c r="W184" t="s">
        <v>62</v>
      </c>
      <c r="X184">
        <v>1</v>
      </c>
      <c r="Y184">
        <v>2</v>
      </c>
      <c r="Z184">
        <v>3</v>
      </c>
      <c r="AA184">
        <v>0.4</v>
      </c>
      <c r="AB184">
        <v>0</v>
      </c>
      <c r="AC184">
        <v>0</v>
      </c>
      <c r="AD184">
        <v>0</v>
      </c>
      <c r="AE184">
        <v>3</v>
      </c>
      <c r="AF184">
        <v>0</v>
      </c>
      <c r="AG184">
        <v>0</v>
      </c>
      <c r="AH184">
        <v>0</v>
      </c>
      <c r="AI184">
        <v>0</v>
      </c>
      <c r="AJ184">
        <v>2</v>
      </c>
      <c r="AK184">
        <v>0</v>
      </c>
      <c r="AL184">
        <v>4</v>
      </c>
      <c r="AM184">
        <v>1</v>
      </c>
      <c r="AN184">
        <v>20</v>
      </c>
      <c r="AO184">
        <v>2</v>
      </c>
      <c r="AP184">
        <v>8</v>
      </c>
      <c r="AQ184">
        <v>3</v>
      </c>
      <c r="AR184" t="s">
        <v>5603</v>
      </c>
      <c r="AS184" t="s">
        <v>5604</v>
      </c>
      <c r="AT184">
        <v>4.266</v>
      </c>
      <c r="AU184" t="s">
        <v>65</v>
      </c>
      <c r="AV184">
        <v>28</v>
      </c>
      <c r="AW184">
        <v>5</v>
      </c>
      <c r="AX184" t="s">
        <v>5605</v>
      </c>
      <c r="AY184" t="s">
        <v>5606</v>
      </c>
      <c r="AZ184" t="s">
        <v>5607</v>
      </c>
      <c r="BA184">
        <v>5.1979999999999998E-2</v>
      </c>
      <c r="BB184">
        <v>1</v>
      </c>
      <c r="BC184" t="s">
        <v>69</v>
      </c>
      <c r="BD184">
        <v>0.21099999999999999</v>
      </c>
      <c r="BE184">
        <v>-0.24099999999999999</v>
      </c>
    </row>
    <row r="185" spans="1:57">
      <c r="A185">
        <v>0</v>
      </c>
      <c r="B185">
        <v>0</v>
      </c>
      <c r="C185">
        <v>0</v>
      </c>
      <c r="D185">
        <v>3666</v>
      </c>
      <c r="E185" t="s">
        <v>4967</v>
      </c>
      <c r="F185" t="s">
        <v>5762</v>
      </c>
      <c r="G185" t="s">
        <v>62</v>
      </c>
      <c r="H185">
        <v>3636267</v>
      </c>
      <c r="I185">
        <v>3636695</v>
      </c>
      <c r="J185" t="s">
        <v>4968</v>
      </c>
      <c r="K185">
        <v>143</v>
      </c>
      <c r="L185" t="s">
        <v>59</v>
      </c>
      <c r="M185">
        <v>5</v>
      </c>
      <c r="N185" t="str">
        <f>HYPERLINK("Gene3666-zp_tree_all.dnd", "Gene3666-tree")</f>
        <v>Gene3666-tree</v>
      </c>
      <c r="O185">
        <v>4</v>
      </c>
      <c r="P185">
        <v>1</v>
      </c>
      <c r="Q185">
        <v>4</v>
      </c>
      <c r="R185">
        <v>1</v>
      </c>
      <c r="S185">
        <v>0.2</v>
      </c>
      <c r="T185" t="s">
        <v>60</v>
      </c>
      <c r="U185" t="s">
        <v>61</v>
      </c>
      <c r="V185" t="s">
        <v>62</v>
      </c>
      <c r="W185" t="s">
        <v>62</v>
      </c>
      <c r="X185">
        <v>0</v>
      </c>
      <c r="Y185">
        <v>0</v>
      </c>
      <c r="Z185">
        <v>4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</v>
      </c>
      <c r="AK185">
        <v>0</v>
      </c>
      <c r="AL185">
        <v>5</v>
      </c>
      <c r="AM185">
        <v>2</v>
      </c>
      <c r="AN185">
        <v>13</v>
      </c>
      <c r="AO185">
        <v>1</v>
      </c>
      <c r="AP185">
        <v>13</v>
      </c>
      <c r="AQ185">
        <v>3</v>
      </c>
      <c r="AR185" t="s">
        <v>4969</v>
      </c>
      <c r="AS185" t="s">
        <v>4970</v>
      </c>
      <c r="AT185">
        <v>0.52200000000000002</v>
      </c>
      <c r="AU185" t="s">
        <v>65</v>
      </c>
      <c r="AV185">
        <v>26</v>
      </c>
      <c r="AW185">
        <v>4</v>
      </c>
      <c r="AX185" t="s">
        <v>4971</v>
      </c>
      <c r="AY185" t="s">
        <v>4972</v>
      </c>
      <c r="AZ185" t="s">
        <v>4973</v>
      </c>
      <c r="BA185">
        <v>4.2659999999999997E-2</v>
      </c>
      <c r="BB185">
        <v>1</v>
      </c>
      <c r="BC185" t="s">
        <v>69</v>
      </c>
      <c r="BD185">
        <v>0.88600000000000001</v>
      </c>
      <c r="BE185">
        <v>0.59799999999999998</v>
      </c>
    </row>
    <row r="186" spans="1:57">
      <c r="A186">
        <v>0</v>
      </c>
      <c r="B186">
        <v>0</v>
      </c>
      <c r="C186">
        <v>0</v>
      </c>
      <c r="D186">
        <v>2433</v>
      </c>
      <c r="E186" t="s">
        <v>3201</v>
      </c>
      <c r="F186" t="s">
        <v>5762</v>
      </c>
      <c r="G186" t="s">
        <v>62</v>
      </c>
      <c r="H186">
        <v>2435363</v>
      </c>
      <c r="I186">
        <v>2435791</v>
      </c>
      <c r="J186" t="s">
        <v>3202</v>
      </c>
      <c r="K186">
        <v>143</v>
      </c>
      <c r="L186" t="s">
        <v>83</v>
      </c>
      <c r="M186">
        <v>4</v>
      </c>
      <c r="N186" t="str">
        <f>HYPERLINK("Gene2433-zp_tree_all.dnd", "Gene2433-tree")</f>
        <v>Gene2433-tree</v>
      </c>
      <c r="O186">
        <v>3</v>
      </c>
      <c r="P186">
        <v>1</v>
      </c>
      <c r="Q186">
        <v>3</v>
      </c>
      <c r="R186">
        <v>1</v>
      </c>
      <c r="S186">
        <v>0.25</v>
      </c>
      <c r="T186" t="s">
        <v>84</v>
      </c>
      <c r="U186" t="s">
        <v>61</v>
      </c>
      <c r="V186" t="s">
        <v>62</v>
      </c>
      <c r="W186" t="s">
        <v>62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</v>
      </c>
      <c r="AK186">
        <v>0</v>
      </c>
      <c r="AL186">
        <v>4</v>
      </c>
      <c r="AM186">
        <v>1</v>
      </c>
      <c r="AN186">
        <v>24</v>
      </c>
      <c r="AO186">
        <v>1</v>
      </c>
      <c r="AP186">
        <v>2</v>
      </c>
      <c r="AQ186">
        <v>0</v>
      </c>
      <c r="AR186" t="s">
        <v>3203</v>
      </c>
      <c r="AS186" t="s">
        <v>64</v>
      </c>
      <c r="AT186">
        <v>0.44800000000000001</v>
      </c>
      <c r="AU186" t="s">
        <v>65</v>
      </c>
      <c r="AV186">
        <v>26</v>
      </c>
      <c r="AW186">
        <v>1</v>
      </c>
      <c r="AX186" t="s">
        <v>3204</v>
      </c>
      <c r="AY186" t="s">
        <v>3205</v>
      </c>
      <c r="AZ186" t="s">
        <v>3206</v>
      </c>
      <c r="BA186">
        <v>1.057E-2</v>
      </c>
      <c r="BB186">
        <v>1</v>
      </c>
      <c r="BC186" t="s">
        <v>69</v>
      </c>
      <c r="BD186">
        <v>-0.20300000000000001</v>
      </c>
      <c r="BE186">
        <v>-0.20300000000000001</v>
      </c>
    </row>
    <row r="187" spans="1:57">
      <c r="A187">
        <v>0</v>
      </c>
      <c r="B187">
        <v>0</v>
      </c>
      <c r="C187">
        <v>0</v>
      </c>
      <c r="D187">
        <v>1574</v>
      </c>
      <c r="E187" t="s">
        <v>2165</v>
      </c>
      <c r="F187" t="s">
        <v>5762</v>
      </c>
      <c r="G187" t="s">
        <v>57</v>
      </c>
      <c r="H187">
        <v>1580121</v>
      </c>
      <c r="I187">
        <v>1580549</v>
      </c>
      <c r="J187" t="s">
        <v>2166</v>
      </c>
      <c r="K187">
        <v>143</v>
      </c>
      <c r="L187" t="s">
        <v>59</v>
      </c>
      <c r="M187">
        <v>5</v>
      </c>
      <c r="N187" t="str">
        <f>HYPERLINK("Gene1574-zp_tree_all.dnd", "Gene1574-tree")</f>
        <v>Gene1574-tree</v>
      </c>
      <c r="O187">
        <v>5</v>
      </c>
      <c r="P187">
        <v>0</v>
      </c>
      <c r="Q187">
        <v>5</v>
      </c>
      <c r="R187">
        <v>0</v>
      </c>
      <c r="S187">
        <v>0</v>
      </c>
      <c r="T187" t="s">
        <v>98</v>
      </c>
      <c r="U187" t="s">
        <v>62</v>
      </c>
      <c r="V187" t="s">
        <v>62</v>
      </c>
      <c r="W187" t="s">
        <v>62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5</v>
      </c>
      <c r="AM187">
        <v>1</v>
      </c>
      <c r="AN187">
        <v>10</v>
      </c>
      <c r="AO187">
        <v>0</v>
      </c>
      <c r="AP187">
        <v>6</v>
      </c>
      <c r="AQ187">
        <v>0</v>
      </c>
      <c r="AR187" t="s">
        <v>64</v>
      </c>
      <c r="AS187" t="s">
        <v>64</v>
      </c>
      <c r="AT187">
        <v>0</v>
      </c>
      <c r="AU187" t="s">
        <v>65</v>
      </c>
      <c r="AV187">
        <v>16</v>
      </c>
      <c r="AW187">
        <v>0</v>
      </c>
      <c r="AX187" t="s">
        <v>2167</v>
      </c>
      <c r="AY187" t="s">
        <v>2168</v>
      </c>
      <c r="AZ187" t="s">
        <v>64</v>
      </c>
      <c r="BA187">
        <v>0</v>
      </c>
      <c r="BB187">
        <v>1</v>
      </c>
      <c r="BC187" t="s">
        <v>69</v>
      </c>
      <c r="BD187">
        <v>0.10199999999999999</v>
      </c>
      <c r="BE187">
        <v>-0.40600000000000003</v>
      </c>
    </row>
    <row r="188" spans="1:57">
      <c r="A188">
        <v>0</v>
      </c>
      <c r="B188">
        <v>0</v>
      </c>
      <c r="C188">
        <v>0</v>
      </c>
      <c r="D188">
        <v>1763</v>
      </c>
      <c r="E188" t="s">
        <v>2687</v>
      </c>
      <c r="F188" t="s">
        <v>5762</v>
      </c>
      <c r="G188" t="s">
        <v>57</v>
      </c>
      <c r="H188">
        <v>1774374</v>
      </c>
      <c r="I188">
        <v>1774802</v>
      </c>
      <c r="J188" t="s">
        <v>2688</v>
      </c>
      <c r="K188">
        <v>143</v>
      </c>
      <c r="L188" t="s">
        <v>59</v>
      </c>
      <c r="M188">
        <v>5</v>
      </c>
      <c r="N188" t="str">
        <f>HYPERLINK("Gene1763-zp_tree_all.dnd", "Gene1763-tree")</f>
        <v>Gene1763-tree</v>
      </c>
      <c r="O188">
        <v>5</v>
      </c>
      <c r="P188">
        <v>0</v>
      </c>
      <c r="Q188">
        <v>5</v>
      </c>
      <c r="R188">
        <v>0</v>
      </c>
      <c r="S188">
        <v>0</v>
      </c>
      <c r="T188" t="s">
        <v>98</v>
      </c>
      <c r="U188" t="s">
        <v>62</v>
      </c>
      <c r="V188" t="s">
        <v>62</v>
      </c>
      <c r="W188" t="s">
        <v>62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4</v>
      </c>
      <c r="AM188">
        <v>2</v>
      </c>
      <c r="AN188">
        <v>10</v>
      </c>
      <c r="AO188">
        <v>0</v>
      </c>
      <c r="AP188">
        <v>9</v>
      </c>
      <c r="AQ188">
        <v>0</v>
      </c>
      <c r="AR188" t="s">
        <v>64</v>
      </c>
      <c r="AS188" t="s">
        <v>64</v>
      </c>
      <c r="AT188">
        <v>0</v>
      </c>
      <c r="AU188" t="s">
        <v>65</v>
      </c>
      <c r="AV188">
        <v>19</v>
      </c>
      <c r="AW188">
        <v>0</v>
      </c>
      <c r="AX188" t="s">
        <v>2689</v>
      </c>
      <c r="AY188" t="s">
        <v>2690</v>
      </c>
      <c r="AZ188" t="s">
        <v>64</v>
      </c>
      <c r="BA188">
        <v>0</v>
      </c>
      <c r="BB188">
        <v>1</v>
      </c>
      <c r="BC188" t="s">
        <v>69</v>
      </c>
      <c r="BD188">
        <v>0.22700000000000001</v>
      </c>
      <c r="BE188">
        <v>0.22700000000000001</v>
      </c>
    </row>
    <row r="189" spans="1:57">
      <c r="A189">
        <v>0</v>
      </c>
      <c r="B189">
        <v>0</v>
      </c>
      <c r="C189">
        <v>0</v>
      </c>
      <c r="D189">
        <v>433</v>
      </c>
      <c r="E189" t="s">
        <v>887</v>
      </c>
      <c r="F189" t="s">
        <v>5762</v>
      </c>
      <c r="G189" t="s">
        <v>57</v>
      </c>
      <c r="H189">
        <v>476059</v>
      </c>
      <c r="I189">
        <v>476490</v>
      </c>
      <c r="J189" t="s">
        <v>888</v>
      </c>
      <c r="K189">
        <v>144</v>
      </c>
      <c r="L189" t="s">
        <v>59</v>
      </c>
      <c r="M189">
        <v>5</v>
      </c>
      <c r="N189" t="str">
        <f>HYPERLINK("Gene433-zp_tree_all.dnd", "Gene433-tree")</f>
        <v>Gene433-tree</v>
      </c>
      <c r="O189">
        <v>3</v>
      </c>
      <c r="P189">
        <v>2</v>
      </c>
      <c r="Q189">
        <v>3</v>
      </c>
      <c r="R189">
        <v>2</v>
      </c>
      <c r="S189">
        <v>0.4</v>
      </c>
      <c r="T189" t="s">
        <v>84</v>
      </c>
      <c r="U189" t="s">
        <v>135</v>
      </c>
      <c r="V189" t="s">
        <v>62</v>
      </c>
      <c r="W189" t="s">
        <v>62</v>
      </c>
      <c r="X189">
        <v>0</v>
      </c>
      <c r="Y189">
        <v>0</v>
      </c>
      <c r="Z189">
        <v>3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3</v>
      </c>
      <c r="AK189">
        <v>0</v>
      </c>
      <c r="AL189">
        <v>4</v>
      </c>
      <c r="AM189">
        <v>2</v>
      </c>
      <c r="AN189">
        <v>7</v>
      </c>
      <c r="AO189">
        <v>3</v>
      </c>
      <c r="AP189">
        <v>17</v>
      </c>
      <c r="AQ189">
        <v>0</v>
      </c>
      <c r="AR189" t="s">
        <v>889</v>
      </c>
      <c r="AS189" t="s">
        <v>64</v>
      </c>
      <c r="AT189">
        <v>1.3759999999999999</v>
      </c>
      <c r="AU189" t="s">
        <v>65</v>
      </c>
      <c r="AV189">
        <v>24</v>
      </c>
      <c r="AW189">
        <v>3</v>
      </c>
      <c r="AX189" t="s">
        <v>890</v>
      </c>
      <c r="AY189" t="s">
        <v>891</v>
      </c>
      <c r="AZ189" t="s">
        <v>892</v>
      </c>
      <c r="BA189">
        <v>2.349E-2</v>
      </c>
      <c r="BB189">
        <v>1</v>
      </c>
      <c r="BC189" t="s">
        <v>69</v>
      </c>
      <c r="BD189">
        <v>0.71399999999999997</v>
      </c>
      <c r="BE189">
        <v>0.71399999999999997</v>
      </c>
    </row>
    <row r="190" spans="1:57">
      <c r="A190">
        <v>0</v>
      </c>
      <c r="B190">
        <v>0</v>
      </c>
      <c r="C190">
        <v>0</v>
      </c>
      <c r="D190">
        <v>3180</v>
      </c>
      <c r="E190" t="s">
        <v>4341</v>
      </c>
      <c r="F190" t="s">
        <v>5762</v>
      </c>
      <c r="G190" t="s">
        <v>62</v>
      </c>
      <c r="H190">
        <v>3136241</v>
      </c>
      <c r="I190">
        <v>3136675</v>
      </c>
      <c r="J190" t="s">
        <v>4342</v>
      </c>
      <c r="K190">
        <v>145</v>
      </c>
      <c r="L190" t="s">
        <v>59</v>
      </c>
      <c r="M190">
        <v>5</v>
      </c>
      <c r="N190" t="str">
        <f>HYPERLINK("Gene3180-zp_tree_all.dnd", "Gene3180-tree")</f>
        <v>Gene3180-tree</v>
      </c>
      <c r="O190">
        <v>5</v>
      </c>
      <c r="P190">
        <v>0</v>
      </c>
      <c r="Q190">
        <v>5</v>
      </c>
      <c r="R190">
        <v>0</v>
      </c>
      <c r="S190">
        <v>0</v>
      </c>
      <c r="T190" t="s">
        <v>98</v>
      </c>
      <c r="U190" t="s">
        <v>62</v>
      </c>
      <c r="V190" t="s">
        <v>62</v>
      </c>
      <c r="W190" t="s">
        <v>62</v>
      </c>
      <c r="X190">
        <v>0</v>
      </c>
      <c r="Y190">
        <v>0</v>
      </c>
      <c r="Z190">
        <v>2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5</v>
      </c>
      <c r="AM190">
        <v>2</v>
      </c>
      <c r="AN190">
        <v>11</v>
      </c>
      <c r="AO190">
        <v>0</v>
      </c>
      <c r="AP190">
        <v>10</v>
      </c>
      <c r="AQ190">
        <v>2</v>
      </c>
      <c r="AR190" t="s">
        <v>64</v>
      </c>
      <c r="AS190" t="s">
        <v>4343</v>
      </c>
      <c r="AT190">
        <v>0.85299999999999998</v>
      </c>
      <c r="AU190" t="s">
        <v>65</v>
      </c>
      <c r="AV190">
        <v>21</v>
      </c>
      <c r="AW190">
        <v>2</v>
      </c>
      <c r="AX190" t="s">
        <v>4344</v>
      </c>
      <c r="AY190" t="s">
        <v>4345</v>
      </c>
      <c r="AZ190" t="s">
        <v>4346</v>
      </c>
      <c r="BA190">
        <v>2.844E-2</v>
      </c>
      <c r="BB190">
        <v>1</v>
      </c>
      <c r="BC190" t="s">
        <v>69</v>
      </c>
      <c r="BD190">
        <v>0.55700000000000005</v>
      </c>
      <c r="BE190">
        <v>0.51100000000000001</v>
      </c>
    </row>
    <row r="191" spans="1:57">
      <c r="A191">
        <v>0</v>
      </c>
      <c r="B191">
        <v>0</v>
      </c>
      <c r="C191">
        <v>0</v>
      </c>
      <c r="D191">
        <v>1419</v>
      </c>
      <c r="E191" t="s">
        <v>1863</v>
      </c>
      <c r="F191" t="s">
        <v>5762</v>
      </c>
      <c r="G191" t="s">
        <v>57</v>
      </c>
      <c r="H191">
        <v>1433199</v>
      </c>
      <c r="I191">
        <v>1433633</v>
      </c>
      <c r="J191" t="s">
        <v>1864</v>
      </c>
      <c r="K191">
        <v>145</v>
      </c>
      <c r="L191" t="s">
        <v>59</v>
      </c>
      <c r="M191">
        <v>5</v>
      </c>
      <c r="N191" t="str">
        <f>HYPERLINK("Gene1419-zp_tree_all.dnd", "Gene1419-tree")</f>
        <v>Gene1419-tree</v>
      </c>
      <c r="O191">
        <v>4</v>
      </c>
      <c r="P191">
        <v>1</v>
      </c>
      <c r="Q191">
        <v>4</v>
      </c>
      <c r="R191">
        <v>1</v>
      </c>
      <c r="S191">
        <v>0.2</v>
      </c>
      <c r="T191" t="s">
        <v>60</v>
      </c>
      <c r="U191" t="s">
        <v>61</v>
      </c>
      <c r="V191" t="s">
        <v>62</v>
      </c>
      <c r="W191" t="s">
        <v>62</v>
      </c>
      <c r="X191">
        <v>0</v>
      </c>
      <c r="Y191">
        <v>0</v>
      </c>
      <c r="Z191">
        <v>2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2</v>
      </c>
      <c r="AK191">
        <v>0</v>
      </c>
      <c r="AL191">
        <v>4</v>
      </c>
      <c r="AM191">
        <v>2</v>
      </c>
      <c r="AN191">
        <v>8</v>
      </c>
      <c r="AO191">
        <v>2</v>
      </c>
      <c r="AP191">
        <v>9</v>
      </c>
      <c r="AQ191">
        <v>0</v>
      </c>
      <c r="AR191" t="s">
        <v>1865</v>
      </c>
      <c r="AS191" t="s">
        <v>64</v>
      </c>
      <c r="AT191">
        <v>0.63900000000000001</v>
      </c>
      <c r="AU191" t="s">
        <v>65</v>
      </c>
      <c r="AV191">
        <v>17</v>
      </c>
      <c r="AW191">
        <v>2</v>
      </c>
      <c r="AX191" t="s">
        <v>1866</v>
      </c>
      <c r="AY191" t="s">
        <v>1867</v>
      </c>
      <c r="AZ191" t="s">
        <v>1868</v>
      </c>
      <c r="BA191">
        <v>2.333E-2</v>
      </c>
      <c r="BB191">
        <v>1</v>
      </c>
      <c r="BC191" t="s">
        <v>69</v>
      </c>
      <c r="BD191">
        <v>0.22700000000000001</v>
      </c>
      <c r="BE191">
        <v>0.22700000000000001</v>
      </c>
    </row>
    <row r="192" spans="1:57">
      <c r="A192">
        <v>0</v>
      </c>
      <c r="B192">
        <v>0</v>
      </c>
      <c r="C192">
        <v>0</v>
      </c>
      <c r="D192">
        <v>906</v>
      </c>
      <c r="E192" t="s">
        <v>1340</v>
      </c>
      <c r="F192" t="s">
        <v>5762</v>
      </c>
      <c r="G192" t="s">
        <v>57</v>
      </c>
      <c r="H192">
        <v>944487</v>
      </c>
      <c r="I192">
        <v>944921</v>
      </c>
      <c r="J192" t="s">
        <v>1341</v>
      </c>
      <c r="K192">
        <v>145</v>
      </c>
      <c r="L192" t="s">
        <v>59</v>
      </c>
      <c r="M192">
        <v>5</v>
      </c>
      <c r="N192" t="str">
        <f>HYPERLINK("Gene906-zp_tree_all.dnd", "Gene906-tree")</f>
        <v>Gene906-tree</v>
      </c>
      <c r="O192">
        <v>5</v>
      </c>
      <c r="P192">
        <v>0</v>
      </c>
      <c r="Q192">
        <v>5</v>
      </c>
      <c r="R192">
        <v>0</v>
      </c>
      <c r="S192">
        <v>0</v>
      </c>
      <c r="T192" t="s">
        <v>98</v>
      </c>
      <c r="U192" t="s">
        <v>62</v>
      </c>
      <c r="V192" t="s">
        <v>62</v>
      </c>
      <c r="W192" t="s">
        <v>62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4</v>
      </c>
      <c r="AM192">
        <v>2</v>
      </c>
      <c r="AN192">
        <v>7</v>
      </c>
      <c r="AO192">
        <v>0</v>
      </c>
      <c r="AP192">
        <v>10</v>
      </c>
      <c r="AQ192">
        <v>0</v>
      </c>
      <c r="AR192" t="s">
        <v>64</v>
      </c>
      <c r="AS192" t="s">
        <v>64</v>
      </c>
      <c r="AT192">
        <v>0</v>
      </c>
      <c r="AU192" t="s">
        <v>65</v>
      </c>
      <c r="AV192">
        <v>17</v>
      </c>
      <c r="AW192">
        <v>0</v>
      </c>
      <c r="AX192" t="s">
        <v>1342</v>
      </c>
      <c r="AY192" t="s">
        <v>1343</v>
      </c>
      <c r="AZ192" t="s">
        <v>64</v>
      </c>
      <c r="BA192">
        <v>0</v>
      </c>
      <c r="BB192">
        <v>1</v>
      </c>
      <c r="BC192" t="s">
        <v>69</v>
      </c>
      <c r="BD192">
        <v>0.878</v>
      </c>
      <c r="BE192">
        <v>0.878</v>
      </c>
    </row>
    <row r="193" spans="1:57">
      <c r="A193">
        <v>0</v>
      </c>
      <c r="B193">
        <v>2</v>
      </c>
      <c r="C193">
        <v>0</v>
      </c>
      <c r="D193">
        <v>2819</v>
      </c>
      <c r="E193" t="s">
        <v>3624</v>
      </c>
      <c r="F193" t="s">
        <v>5762</v>
      </c>
      <c r="G193" t="s">
        <v>62</v>
      </c>
      <c r="H193">
        <v>2762398</v>
      </c>
      <c r="I193">
        <v>2762835</v>
      </c>
      <c r="J193" t="s">
        <v>3625</v>
      </c>
      <c r="K193">
        <v>146</v>
      </c>
      <c r="L193" t="s">
        <v>59</v>
      </c>
      <c r="M193">
        <v>5</v>
      </c>
      <c r="N193" t="str">
        <f>HYPERLINK("Gene2819-zp_tree_all.dnd", "Gene2819-tree")</f>
        <v>Gene2819-tree</v>
      </c>
      <c r="O193">
        <v>1</v>
      </c>
      <c r="P193">
        <v>4</v>
      </c>
      <c r="Q193">
        <v>1</v>
      </c>
      <c r="R193">
        <v>4</v>
      </c>
      <c r="S193">
        <v>0.8</v>
      </c>
      <c r="T193" t="s">
        <v>61</v>
      </c>
      <c r="U193" t="s">
        <v>60</v>
      </c>
      <c r="V193" t="s">
        <v>62</v>
      </c>
      <c r="W193" t="s">
        <v>62</v>
      </c>
      <c r="X193">
        <v>1</v>
      </c>
      <c r="Y193">
        <v>2</v>
      </c>
      <c r="Z193">
        <v>10</v>
      </c>
      <c r="AA193">
        <v>0.16667000000000001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2</v>
      </c>
      <c r="AH193">
        <v>0</v>
      </c>
      <c r="AI193">
        <v>2</v>
      </c>
      <c r="AJ193">
        <v>6</v>
      </c>
      <c r="AK193">
        <v>0.25</v>
      </c>
      <c r="AL193">
        <v>5</v>
      </c>
      <c r="AM193">
        <v>2</v>
      </c>
      <c r="AN193">
        <v>8</v>
      </c>
      <c r="AO193">
        <v>8</v>
      </c>
      <c r="AP193">
        <v>11</v>
      </c>
      <c r="AQ193">
        <v>4</v>
      </c>
      <c r="AR193" t="s">
        <v>3626</v>
      </c>
      <c r="AS193" t="s">
        <v>3627</v>
      </c>
      <c r="AT193">
        <v>0.84599999999999997</v>
      </c>
      <c r="AU193" t="s">
        <v>65</v>
      </c>
      <c r="AV193">
        <v>19</v>
      </c>
      <c r="AW193">
        <v>12</v>
      </c>
      <c r="AX193" t="s">
        <v>3628</v>
      </c>
      <c r="AY193" t="s">
        <v>3629</v>
      </c>
      <c r="AZ193" t="s">
        <v>3630</v>
      </c>
      <c r="BA193">
        <v>0.14179</v>
      </c>
      <c r="BB193">
        <v>1</v>
      </c>
      <c r="BC193" t="s">
        <v>69</v>
      </c>
      <c r="BD193">
        <v>0.52600000000000002</v>
      </c>
      <c r="BE193">
        <v>0.25800000000000001</v>
      </c>
    </row>
    <row r="194" spans="1:57">
      <c r="A194">
        <v>0</v>
      </c>
      <c r="B194">
        <v>0</v>
      </c>
      <c r="C194">
        <v>0</v>
      </c>
      <c r="D194">
        <v>3007</v>
      </c>
      <c r="E194" t="s">
        <v>4008</v>
      </c>
      <c r="F194" t="s">
        <v>5762</v>
      </c>
      <c r="G194" t="s">
        <v>62</v>
      </c>
      <c r="H194">
        <v>2955212</v>
      </c>
      <c r="I194">
        <v>2955649</v>
      </c>
      <c r="J194" t="s">
        <v>4009</v>
      </c>
      <c r="K194">
        <v>146</v>
      </c>
      <c r="L194" t="s">
        <v>83</v>
      </c>
      <c r="M194">
        <v>4</v>
      </c>
      <c r="N194" t="str">
        <f>HYPERLINK("Gene3007-zp_tree_all.dnd", "Gene3007-tree")</f>
        <v>Gene3007-tree</v>
      </c>
      <c r="O194">
        <v>3</v>
      </c>
      <c r="P194">
        <v>1</v>
      </c>
      <c r="Q194">
        <v>3</v>
      </c>
      <c r="R194">
        <v>1</v>
      </c>
      <c r="S194">
        <v>0.25</v>
      </c>
      <c r="T194" t="s">
        <v>84</v>
      </c>
      <c r="U194" t="s">
        <v>61</v>
      </c>
      <c r="V194" t="s">
        <v>62</v>
      </c>
      <c r="W194" t="s">
        <v>62</v>
      </c>
      <c r="X194">
        <v>0</v>
      </c>
      <c r="Y194">
        <v>0</v>
      </c>
      <c r="Z194">
        <v>3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2</v>
      </c>
      <c r="AK194">
        <v>0</v>
      </c>
      <c r="AL194">
        <v>3</v>
      </c>
      <c r="AM194">
        <v>1</v>
      </c>
      <c r="AN194">
        <v>17</v>
      </c>
      <c r="AO194">
        <v>2</v>
      </c>
      <c r="AP194">
        <v>2</v>
      </c>
      <c r="AQ194">
        <v>1</v>
      </c>
      <c r="AR194" t="s">
        <v>4010</v>
      </c>
      <c r="AS194" t="s">
        <v>4011</v>
      </c>
      <c r="AT194">
        <v>1.9490000000000001</v>
      </c>
      <c r="AU194" t="s">
        <v>65</v>
      </c>
      <c r="AV194">
        <v>19</v>
      </c>
      <c r="AW194">
        <v>3</v>
      </c>
      <c r="AX194" t="s">
        <v>4012</v>
      </c>
      <c r="AY194" t="s">
        <v>4013</v>
      </c>
      <c r="AZ194" t="s">
        <v>4014</v>
      </c>
      <c r="BA194">
        <v>5.1499999999999997E-2</v>
      </c>
      <c r="BB194">
        <v>1</v>
      </c>
      <c r="BC194" t="s">
        <v>69</v>
      </c>
      <c r="BD194">
        <v>-0.42799999999999999</v>
      </c>
      <c r="BE194">
        <v>-0.42799999999999999</v>
      </c>
    </row>
    <row r="195" spans="1:57">
      <c r="A195">
        <v>0</v>
      </c>
      <c r="B195">
        <v>0</v>
      </c>
      <c r="C195">
        <v>0</v>
      </c>
      <c r="D195">
        <v>2957</v>
      </c>
      <c r="E195" t="s">
        <v>3915</v>
      </c>
      <c r="F195" t="s">
        <v>5762</v>
      </c>
      <c r="G195" t="s">
        <v>62</v>
      </c>
      <c r="H195">
        <v>2904046</v>
      </c>
      <c r="I195">
        <v>2904483</v>
      </c>
      <c r="J195" t="s">
        <v>3916</v>
      </c>
      <c r="K195">
        <v>146</v>
      </c>
      <c r="L195" t="s">
        <v>59</v>
      </c>
      <c r="M195">
        <v>5</v>
      </c>
      <c r="N195" t="str">
        <f>HYPERLINK("Gene2957-zp_tree_all.dnd", "Gene2957-tree")</f>
        <v>Gene2957-tree</v>
      </c>
      <c r="O195">
        <v>4</v>
      </c>
      <c r="P195">
        <v>1</v>
      </c>
      <c r="Q195">
        <v>4</v>
      </c>
      <c r="R195">
        <v>1</v>
      </c>
      <c r="S195">
        <v>0.2</v>
      </c>
      <c r="T195" t="s">
        <v>60</v>
      </c>
      <c r="U195" t="s">
        <v>61</v>
      </c>
      <c r="V195" t="s">
        <v>62</v>
      </c>
      <c r="W195" t="s">
        <v>62</v>
      </c>
      <c r="X195">
        <v>0</v>
      </c>
      <c r="Y195">
        <v>0</v>
      </c>
      <c r="Z195">
        <v>2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</v>
      </c>
      <c r="AK195">
        <v>0</v>
      </c>
      <c r="AL195">
        <v>4</v>
      </c>
      <c r="AM195">
        <v>1</v>
      </c>
      <c r="AN195">
        <v>8</v>
      </c>
      <c r="AO195">
        <v>1</v>
      </c>
      <c r="AP195">
        <v>7</v>
      </c>
      <c r="AQ195">
        <v>1</v>
      </c>
      <c r="AR195" t="s">
        <v>3917</v>
      </c>
      <c r="AS195" t="s">
        <v>3918</v>
      </c>
      <c r="AT195">
        <v>6.5000000000000002E-2</v>
      </c>
      <c r="AU195" t="s">
        <v>65</v>
      </c>
      <c r="AV195">
        <v>15</v>
      </c>
      <c r="AW195">
        <v>2</v>
      </c>
      <c r="AX195" t="s">
        <v>3919</v>
      </c>
      <c r="AY195" t="s">
        <v>3920</v>
      </c>
      <c r="AZ195" t="s">
        <v>3921</v>
      </c>
      <c r="BA195">
        <v>3.4680000000000002E-2</v>
      </c>
      <c r="BB195">
        <v>1</v>
      </c>
      <c r="BC195" t="s">
        <v>69</v>
      </c>
      <c r="BD195">
        <v>0.216</v>
      </c>
      <c r="BE195">
        <v>0.216</v>
      </c>
    </row>
    <row r="196" spans="1:57">
      <c r="A196">
        <v>0</v>
      </c>
      <c r="B196">
        <v>0</v>
      </c>
      <c r="C196">
        <v>0</v>
      </c>
      <c r="D196">
        <v>135</v>
      </c>
      <c r="E196" t="s">
        <v>529</v>
      </c>
      <c r="F196" t="s">
        <v>5762</v>
      </c>
      <c r="G196" t="s">
        <v>57</v>
      </c>
      <c r="H196">
        <v>144085</v>
      </c>
      <c r="I196">
        <v>144522</v>
      </c>
      <c r="J196" t="s">
        <v>530</v>
      </c>
      <c r="K196">
        <v>146</v>
      </c>
      <c r="L196" t="s">
        <v>59</v>
      </c>
      <c r="M196">
        <v>5</v>
      </c>
      <c r="N196" t="str">
        <f>HYPERLINK("Gene135-zp_tree_all.dnd", "Gene135-tree")</f>
        <v>Gene135-tree</v>
      </c>
      <c r="O196">
        <v>4</v>
      </c>
      <c r="P196">
        <v>0</v>
      </c>
      <c r="Q196">
        <v>4</v>
      </c>
      <c r="R196">
        <v>0</v>
      </c>
      <c r="S196">
        <v>0</v>
      </c>
      <c r="T196" t="s">
        <v>60</v>
      </c>
      <c r="U196" t="s">
        <v>62</v>
      </c>
      <c r="V196" t="s">
        <v>62</v>
      </c>
      <c r="W196" t="s">
        <v>62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2</v>
      </c>
      <c r="AM196">
        <v>1</v>
      </c>
      <c r="AN196">
        <v>2</v>
      </c>
      <c r="AO196">
        <v>0</v>
      </c>
      <c r="AP196">
        <v>1</v>
      </c>
      <c r="AQ196">
        <v>0</v>
      </c>
      <c r="AR196" t="s">
        <v>64</v>
      </c>
      <c r="AS196" t="s">
        <v>64</v>
      </c>
      <c r="AT196">
        <v>0</v>
      </c>
      <c r="AU196" t="s">
        <v>65</v>
      </c>
      <c r="AV196">
        <v>3</v>
      </c>
      <c r="AW196">
        <v>0</v>
      </c>
      <c r="AX196" t="s">
        <v>531</v>
      </c>
      <c r="AY196" t="s">
        <v>532</v>
      </c>
      <c r="AZ196" t="s">
        <v>64</v>
      </c>
      <c r="BA196">
        <v>0</v>
      </c>
      <c r="BB196">
        <v>1</v>
      </c>
      <c r="BC196" t="s">
        <v>69</v>
      </c>
      <c r="BD196">
        <v>-0.17499999999999999</v>
      </c>
      <c r="BE196">
        <v>-0.17499999999999999</v>
      </c>
    </row>
    <row r="197" spans="1:57">
      <c r="A197">
        <v>0</v>
      </c>
      <c r="B197">
        <v>0</v>
      </c>
      <c r="C197">
        <v>2</v>
      </c>
      <c r="D197">
        <v>153</v>
      </c>
      <c r="E197" t="s">
        <v>586</v>
      </c>
      <c r="F197" t="s">
        <v>5762</v>
      </c>
      <c r="G197" t="s">
        <v>57</v>
      </c>
      <c r="H197">
        <v>156109</v>
      </c>
      <c r="I197">
        <v>156549</v>
      </c>
      <c r="J197" t="s">
        <v>118</v>
      </c>
      <c r="K197">
        <v>147</v>
      </c>
      <c r="L197" t="s">
        <v>59</v>
      </c>
      <c r="M197">
        <v>5</v>
      </c>
      <c r="N197" t="str">
        <f>HYPERLINK("Gene153-zp_tree_all.dnd", "Gene153-tree")</f>
        <v>Gene153-tree</v>
      </c>
      <c r="O197">
        <v>1</v>
      </c>
      <c r="P197">
        <v>4</v>
      </c>
      <c r="Q197">
        <v>1</v>
      </c>
      <c r="R197">
        <v>4</v>
      </c>
      <c r="S197">
        <v>0.8</v>
      </c>
      <c r="T197" t="s">
        <v>61</v>
      </c>
      <c r="U197" t="s">
        <v>60</v>
      </c>
      <c r="V197" t="s">
        <v>62</v>
      </c>
      <c r="W197" t="s">
        <v>62</v>
      </c>
      <c r="X197">
        <v>1</v>
      </c>
      <c r="Y197">
        <v>2</v>
      </c>
      <c r="Z197">
        <v>7</v>
      </c>
      <c r="AA197">
        <v>0.22222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2</v>
      </c>
      <c r="AI197">
        <v>2</v>
      </c>
      <c r="AJ197">
        <v>5</v>
      </c>
      <c r="AK197">
        <v>0.28571000000000002</v>
      </c>
      <c r="AL197">
        <v>5</v>
      </c>
      <c r="AM197">
        <v>2</v>
      </c>
      <c r="AN197">
        <v>15</v>
      </c>
      <c r="AO197">
        <v>7</v>
      </c>
      <c r="AP197">
        <v>9</v>
      </c>
      <c r="AQ197">
        <v>2</v>
      </c>
      <c r="AR197" t="s">
        <v>587</v>
      </c>
      <c r="AS197" t="s">
        <v>588</v>
      </c>
      <c r="AT197">
        <v>1.123</v>
      </c>
      <c r="AU197" t="s">
        <v>65</v>
      </c>
      <c r="AV197">
        <v>24</v>
      </c>
      <c r="AW197">
        <v>9</v>
      </c>
      <c r="AX197" t="s">
        <v>589</v>
      </c>
      <c r="AY197" t="s">
        <v>590</v>
      </c>
      <c r="AZ197" t="s">
        <v>591</v>
      </c>
      <c r="BA197">
        <v>8.5610000000000006E-2</v>
      </c>
      <c r="BB197">
        <v>1</v>
      </c>
      <c r="BC197" t="s">
        <v>69</v>
      </c>
      <c r="BD197">
        <v>0.311</v>
      </c>
      <c r="BE197">
        <v>-0.49399999999999999</v>
      </c>
    </row>
    <row r="198" spans="1:57">
      <c r="A198">
        <v>0</v>
      </c>
      <c r="B198">
        <v>0</v>
      </c>
      <c r="C198">
        <v>0</v>
      </c>
      <c r="D198">
        <v>1686</v>
      </c>
      <c r="E198" t="s">
        <v>2474</v>
      </c>
      <c r="F198" t="s">
        <v>5762</v>
      </c>
      <c r="G198" t="s">
        <v>57</v>
      </c>
      <c r="H198">
        <v>1697196</v>
      </c>
      <c r="I198">
        <v>1697636</v>
      </c>
      <c r="J198" t="s">
        <v>2475</v>
      </c>
      <c r="K198">
        <v>147</v>
      </c>
      <c r="L198" t="s">
        <v>59</v>
      </c>
      <c r="M198">
        <v>5</v>
      </c>
      <c r="N198" t="str">
        <f>HYPERLINK("Gene1686-zp_tree_all.dnd", "Gene1686-tree")</f>
        <v>Gene1686-tree</v>
      </c>
      <c r="O198">
        <v>5</v>
      </c>
      <c r="P198">
        <v>0</v>
      </c>
      <c r="Q198">
        <v>5</v>
      </c>
      <c r="R198">
        <v>0</v>
      </c>
      <c r="S198">
        <v>0</v>
      </c>
      <c r="T198" t="s">
        <v>98</v>
      </c>
      <c r="U198" t="s">
        <v>62</v>
      </c>
      <c r="V198" t="s">
        <v>62</v>
      </c>
      <c r="W198" t="s">
        <v>62</v>
      </c>
      <c r="X198">
        <v>0</v>
      </c>
      <c r="Y198">
        <v>0</v>
      </c>
      <c r="Z198">
        <v>3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3</v>
      </c>
      <c r="AM198">
        <v>2</v>
      </c>
      <c r="AN198">
        <v>8</v>
      </c>
      <c r="AO198">
        <v>0</v>
      </c>
      <c r="AP198">
        <v>16</v>
      </c>
      <c r="AQ198">
        <v>3</v>
      </c>
      <c r="AR198" t="s">
        <v>64</v>
      </c>
      <c r="AS198" t="s">
        <v>2476</v>
      </c>
      <c r="AT198">
        <v>0.88300000000000001</v>
      </c>
      <c r="AU198" t="s">
        <v>65</v>
      </c>
      <c r="AV198">
        <v>24</v>
      </c>
      <c r="AW198">
        <v>3</v>
      </c>
      <c r="AX198" t="s">
        <v>2477</v>
      </c>
      <c r="AY198" t="s">
        <v>2478</v>
      </c>
      <c r="AZ198" t="s">
        <v>2479</v>
      </c>
      <c r="BA198">
        <v>2.6710000000000001E-2</v>
      </c>
      <c r="BB198">
        <v>1</v>
      </c>
      <c r="BC198" t="s">
        <v>69</v>
      </c>
      <c r="BD198">
        <v>1.407</v>
      </c>
      <c r="BE198">
        <v>0.82599999999999996</v>
      </c>
    </row>
    <row r="199" spans="1:57">
      <c r="A199">
        <v>0</v>
      </c>
      <c r="B199">
        <v>0</v>
      </c>
      <c r="C199">
        <v>0</v>
      </c>
      <c r="D199">
        <v>2907</v>
      </c>
      <c r="E199" t="s">
        <v>3781</v>
      </c>
      <c r="F199" t="s">
        <v>5762</v>
      </c>
      <c r="G199" t="s">
        <v>62</v>
      </c>
      <c r="H199">
        <v>2852160</v>
      </c>
      <c r="I199">
        <v>2852600</v>
      </c>
      <c r="J199" t="s">
        <v>3782</v>
      </c>
      <c r="K199">
        <v>147</v>
      </c>
      <c r="L199" t="s">
        <v>59</v>
      </c>
      <c r="M199">
        <v>5</v>
      </c>
      <c r="N199" t="str">
        <f>HYPERLINK("Gene2907-zp_tree_all.dnd", "Gene2907-tree")</f>
        <v>Gene2907-tree</v>
      </c>
      <c r="O199">
        <v>5</v>
      </c>
      <c r="P199">
        <v>0</v>
      </c>
      <c r="Q199">
        <v>5</v>
      </c>
      <c r="R199">
        <v>0</v>
      </c>
      <c r="S199">
        <v>0</v>
      </c>
      <c r="T199" t="s">
        <v>98</v>
      </c>
      <c r="U199" t="s">
        <v>62</v>
      </c>
      <c r="V199" t="s">
        <v>62</v>
      </c>
      <c r="W199" t="s">
        <v>62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5</v>
      </c>
      <c r="AM199">
        <v>2</v>
      </c>
      <c r="AN199">
        <v>15</v>
      </c>
      <c r="AO199">
        <v>0</v>
      </c>
      <c r="AP199">
        <v>12</v>
      </c>
      <c r="AQ199">
        <v>0</v>
      </c>
      <c r="AR199" t="s">
        <v>64</v>
      </c>
      <c r="AS199" t="s">
        <v>64</v>
      </c>
      <c r="AT199">
        <v>0</v>
      </c>
      <c r="AU199" t="s">
        <v>65</v>
      </c>
      <c r="AV199">
        <v>27</v>
      </c>
      <c r="AW199">
        <v>0</v>
      </c>
      <c r="AX199" t="s">
        <v>3783</v>
      </c>
      <c r="AY199" t="s">
        <v>3784</v>
      </c>
      <c r="AZ199" t="s">
        <v>64</v>
      </c>
      <c r="BA199">
        <v>0</v>
      </c>
      <c r="BB199">
        <v>1</v>
      </c>
      <c r="BC199" t="s">
        <v>69</v>
      </c>
      <c r="BD199">
        <v>0.13800000000000001</v>
      </c>
      <c r="BE199">
        <v>0.13800000000000001</v>
      </c>
    </row>
    <row r="200" spans="1:57">
      <c r="A200">
        <v>0</v>
      </c>
      <c r="B200">
        <v>0</v>
      </c>
      <c r="C200">
        <v>0</v>
      </c>
      <c r="D200">
        <v>3388</v>
      </c>
      <c r="E200" t="s">
        <v>4617</v>
      </c>
      <c r="F200" t="s">
        <v>5762</v>
      </c>
      <c r="G200" t="s">
        <v>62</v>
      </c>
      <c r="H200">
        <v>3357014</v>
      </c>
      <c r="I200">
        <v>3357454</v>
      </c>
      <c r="J200" t="s">
        <v>4618</v>
      </c>
      <c r="K200">
        <v>147</v>
      </c>
      <c r="L200" t="s">
        <v>59</v>
      </c>
      <c r="M200">
        <v>5</v>
      </c>
      <c r="N200" t="str">
        <f>HYPERLINK("Gene3388-zp_tree_all.dnd", "Gene3388-tree")</f>
        <v>Gene3388-tree</v>
      </c>
      <c r="O200">
        <v>5</v>
      </c>
      <c r="P200">
        <v>0</v>
      </c>
      <c r="Q200">
        <v>5</v>
      </c>
      <c r="R200">
        <v>0</v>
      </c>
      <c r="S200">
        <v>0</v>
      </c>
      <c r="T200" t="s">
        <v>98</v>
      </c>
      <c r="U200" t="s">
        <v>62</v>
      </c>
      <c r="V200" t="s">
        <v>62</v>
      </c>
      <c r="W200" t="s">
        <v>62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3</v>
      </c>
      <c r="AM200">
        <v>2</v>
      </c>
      <c r="AN200">
        <v>6</v>
      </c>
      <c r="AO200">
        <v>0</v>
      </c>
      <c r="AP200">
        <v>9</v>
      </c>
      <c r="AQ200">
        <v>0</v>
      </c>
      <c r="AR200" t="s">
        <v>64</v>
      </c>
      <c r="AS200" t="s">
        <v>64</v>
      </c>
      <c r="AT200">
        <v>0</v>
      </c>
      <c r="AU200" t="s">
        <v>65</v>
      </c>
      <c r="AV200">
        <v>15</v>
      </c>
      <c r="AW200">
        <v>0</v>
      </c>
      <c r="AX200" t="s">
        <v>4619</v>
      </c>
      <c r="AY200" t="s">
        <v>4620</v>
      </c>
      <c r="AZ200" t="s">
        <v>64</v>
      </c>
      <c r="BA200">
        <v>0</v>
      </c>
      <c r="BB200">
        <v>1</v>
      </c>
      <c r="BC200" t="s">
        <v>69</v>
      </c>
      <c r="BD200">
        <v>0.60899999999999999</v>
      </c>
      <c r="BE200">
        <v>0.60899999999999999</v>
      </c>
    </row>
    <row r="201" spans="1:57">
      <c r="A201">
        <v>0</v>
      </c>
      <c r="B201">
        <v>0</v>
      </c>
      <c r="C201">
        <v>0</v>
      </c>
      <c r="D201">
        <v>1856</v>
      </c>
      <c r="E201" t="s">
        <v>2758</v>
      </c>
      <c r="F201" t="s">
        <v>5762</v>
      </c>
      <c r="G201" t="s">
        <v>57</v>
      </c>
      <c r="H201">
        <v>1922017</v>
      </c>
      <c r="I201">
        <v>1922460</v>
      </c>
      <c r="J201" t="s">
        <v>2759</v>
      </c>
      <c r="K201">
        <v>148</v>
      </c>
      <c r="L201" t="s">
        <v>112</v>
      </c>
      <c r="M201">
        <v>4</v>
      </c>
      <c r="N201" t="str">
        <f>HYPERLINK("Gene1856-zp_tree_all.dnd", "Gene1856-tree")</f>
        <v>Gene1856-tree</v>
      </c>
      <c r="O201">
        <v>2</v>
      </c>
      <c r="P201">
        <v>2</v>
      </c>
      <c r="Q201">
        <v>2</v>
      </c>
      <c r="R201">
        <v>2</v>
      </c>
      <c r="S201">
        <v>0.5</v>
      </c>
      <c r="T201" t="s">
        <v>135</v>
      </c>
      <c r="U201" t="s">
        <v>135</v>
      </c>
      <c r="V201" t="s">
        <v>62</v>
      </c>
      <c r="W201" t="s">
        <v>62</v>
      </c>
      <c r="X201">
        <v>0</v>
      </c>
      <c r="Y201">
        <v>0</v>
      </c>
      <c r="Z201">
        <v>5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5</v>
      </c>
      <c r="AK201">
        <v>0</v>
      </c>
      <c r="AL201">
        <v>3</v>
      </c>
      <c r="AM201">
        <v>1</v>
      </c>
      <c r="AN201">
        <v>16</v>
      </c>
      <c r="AO201">
        <v>6</v>
      </c>
      <c r="AP201">
        <v>1</v>
      </c>
      <c r="AQ201">
        <v>0</v>
      </c>
      <c r="AR201" t="s">
        <v>2760</v>
      </c>
      <c r="AS201" t="s">
        <v>64</v>
      </c>
      <c r="AT201">
        <v>0.68</v>
      </c>
      <c r="AU201" t="s">
        <v>65</v>
      </c>
      <c r="AV201">
        <v>17</v>
      </c>
      <c r="AW201">
        <v>6</v>
      </c>
      <c r="AX201" t="s">
        <v>2761</v>
      </c>
      <c r="AY201" t="s">
        <v>2762</v>
      </c>
      <c r="AZ201" t="s">
        <v>2763</v>
      </c>
      <c r="BA201">
        <v>7.8219999999999998E-2</v>
      </c>
      <c r="BB201">
        <v>1</v>
      </c>
      <c r="BC201" t="s">
        <v>69</v>
      </c>
      <c r="BD201">
        <v>-0.72</v>
      </c>
      <c r="BE201">
        <v>-0.72</v>
      </c>
    </row>
    <row r="202" spans="1:57">
      <c r="A202">
        <v>0</v>
      </c>
      <c r="B202">
        <v>0</v>
      </c>
      <c r="C202">
        <v>0</v>
      </c>
      <c r="D202">
        <v>2549</v>
      </c>
      <c r="E202" t="s">
        <v>3384</v>
      </c>
      <c r="F202" t="s">
        <v>5762</v>
      </c>
      <c r="G202" t="s">
        <v>62</v>
      </c>
      <c r="H202">
        <v>2539758</v>
      </c>
      <c r="I202">
        <v>2540201</v>
      </c>
      <c r="J202" t="s">
        <v>3385</v>
      </c>
      <c r="K202">
        <v>148</v>
      </c>
      <c r="L202" t="s">
        <v>59</v>
      </c>
      <c r="M202">
        <v>5</v>
      </c>
      <c r="N202" t="str">
        <f>HYPERLINK("Gene2549-zp_tree_all.dnd", "Gene2549-tree")</f>
        <v>Gene2549-tree</v>
      </c>
      <c r="O202">
        <v>0</v>
      </c>
      <c r="P202">
        <v>5</v>
      </c>
      <c r="Q202">
        <v>0</v>
      </c>
      <c r="R202">
        <v>5</v>
      </c>
      <c r="S202">
        <v>1</v>
      </c>
      <c r="T202" t="s">
        <v>62</v>
      </c>
      <c r="U202" t="s">
        <v>98</v>
      </c>
      <c r="V202" t="s">
        <v>62</v>
      </c>
      <c r="W202" t="s">
        <v>62</v>
      </c>
      <c r="X202">
        <v>0</v>
      </c>
      <c r="Y202">
        <v>0</v>
      </c>
      <c r="Z202">
        <v>6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4</v>
      </c>
      <c r="AK202">
        <v>0</v>
      </c>
      <c r="AL202">
        <v>4</v>
      </c>
      <c r="AM202">
        <v>2</v>
      </c>
      <c r="AN202">
        <v>11</v>
      </c>
      <c r="AO202">
        <v>4</v>
      </c>
      <c r="AP202">
        <v>14</v>
      </c>
      <c r="AQ202">
        <v>3</v>
      </c>
      <c r="AR202" t="s">
        <v>3386</v>
      </c>
      <c r="AS202" t="s">
        <v>3387</v>
      </c>
      <c r="AT202">
        <v>1.5589999999999999</v>
      </c>
      <c r="AU202" t="s">
        <v>65</v>
      </c>
      <c r="AV202">
        <v>25</v>
      </c>
      <c r="AW202">
        <v>7</v>
      </c>
      <c r="AX202" t="s">
        <v>3388</v>
      </c>
      <c r="AY202" t="s">
        <v>3389</v>
      </c>
      <c r="AZ202" t="s">
        <v>3390</v>
      </c>
      <c r="BA202">
        <v>7.5520000000000004E-2</v>
      </c>
      <c r="BB202">
        <v>1</v>
      </c>
      <c r="BC202" t="s">
        <v>69</v>
      </c>
      <c r="BD202">
        <v>0.51300000000000001</v>
      </c>
      <c r="BE202">
        <v>0.26100000000000001</v>
      </c>
    </row>
    <row r="203" spans="1:57">
      <c r="A203">
        <v>0</v>
      </c>
      <c r="B203">
        <v>0</v>
      </c>
      <c r="C203">
        <v>0</v>
      </c>
      <c r="D203">
        <v>1555</v>
      </c>
      <c r="E203" t="s">
        <v>2096</v>
      </c>
      <c r="F203" t="s">
        <v>5762</v>
      </c>
      <c r="G203" t="s">
        <v>57</v>
      </c>
      <c r="H203">
        <v>1565849</v>
      </c>
      <c r="I203">
        <v>1566292</v>
      </c>
      <c r="J203" t="s">
        <v>2097</v>
      </c>
      <c r="K203">
        <v>148</v>
      </c>
      <c r="L203" t="s">
        <v>83</v>
      </c>
      <c r="M203">
        <v>4</v>
      </c>
      <c r="N203" t="str">
        <f>HYPERLINK("Gene1555-zp_tree_all.dnd", "Gene1555-tree")</f>
        <v>Gene1555-tree</v>
      </c>
      <c r="O203">
        <v>2</v>
      </c>
      <c r="P203">
        <v>2</v>
      </c>
      <c r="Q203">
        <v>2</v>
      </c>
      <c r="R203">
        <v>2</v>
      </c>
      <c r="S203">
        <v>0.5</v>
      </c>
      <c r="T203" t="s">
        <v>135</v>
      </c>
      <c r="U203" t="s">
        <v>135</v>
      </c>
      <c r="V203" t="s">
        <v>62</v>
      </c>
      <c r="W203" t="s">
        <v>62</v>
      </c>
      <c r="X203">
        <v>0</v>
      </c>
      <c r="Y203">
        <v>0</v>
      </c>
      <c r="Z203">
        <v>2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2</v>
      </c>
      <c r="AK203">
        <v>0</v>
      </c>
      <c r="AL203">
        <v>4</v>
      </c>
      <c r="AM203">
        <v>1</v>
      </c>
      <c r="AN203">
        <v>23</v>
      </c>
      <c r="AO203">
        <v>2</v>
      </c>
      <c r="AP203">
        <v>1</v>
      </c>
      <c r="AQ203">
        <v>0</v>
      </c>
      <c r="AR203" t="s">
        <v>2098</v>
      </c>
      <c r="AS203" t="s">
        <v>64</v>
      </c>
      <c r="AT203">
        <v>0.76</v>
      </c>
      <c r="AU203" t="s">
        <v>65</v>
      </c>
      <c r="AV203">
        <v>24</v>
      </c>
      <c r="AW203">
        <v>2</v>
      </c>
      <c r="AX203" t="s">
        <v>2099</v>
      </c>
      <c r="AY203" t="s">
        <v>2100</v>
      </c>
      <c r="AZ203" t="s">
        <v>2101</v>
      </c>
      <c r="BA203">
        <v>2.164E-2</v>
      </c>
      <c r="BB203">
        <v>1</v>
      </c>
      <c r="BC203" t="s">
        <v>69</v>
      </c>
      <c r="BD203">
        <v>-0.60699999999999998</v>
      </c>
      <c r="BE203">
        <v>-0.60699999999999998</v>
      </c>
    </row>
    <row r="204" spans="1:57">
      <c r="A204">
        <v>0</v>
      </c>
      <c r="B204">
        <v>0</v>
      </c>
      <c r="C204">
        <v>2</v>
      </c>
      <c r="D204">
        <v>1425</v>
      </c>
      <c r="E204" t="s">
        <v>1882</v>
      </c>
      <c r="F204" t="s">
        <v>5762</v>
      </c>
      <c r="G204" t="s">
        <v>57</v>
      </c>
      <c r="H204">
        <v>1440100</v>
      </c>
      <c r="I204">
        <v>1440546</v>
      </c>
      <c r="J204" t="s">
        <v>1883</v>
      </c>
      <c r="K204">
        <v>149</v>
      </c>
      <c r="L204" t="s">
        <v>59</v>
      </c>
      <c r="M204">
        <v>5</v>
      </c>
      <c r="N204" t="str">
        <f>HYPERLINK("Gene1425-zp_tree_all.dnd", "Gene1425-tree")</f>
        <v>Gene1425-tree</v>
      </c>
      <c r="O204">
        <v>3</v>
      </c>
      <c r="P204">
        <v>2</v>
      </c>
      <c r="Q204">
        <v>3</v>
      </c>
      <c r="R204">
        <v>2</v>
      </c>
      <c r="S204">
        <v>0.4</v>
      </c>
      <c r="T204" t="s">
        <v>84</v>
      </c>
      <c r="U204" t="s">
        <v>135</v>
      </c>
      <c r="V204" t="s">
        <v>62</v>
      </c>
      <c r="W204" t="s">
        <v>62</v>
      </c>
      <c r="X204">
        <v>1</v>
      </c>
      <c r="Y204">
        <v>2</v>
      </c>
      <c r="Z204">
        <v>1</v>
      </c>
      <c r="AA204">
        <v>0.66666999999999998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2</v>
      </c>
      <c r="AK204">
        <v>0</v>
      </c>
      <c r="AL204">
        <v>5</v>
      </c>
      <c r="AM204">
        <v>2</v>
      </c>
      <c r="AN204">
        <v>12</v>
      </c>
      <c r="AO204">
        <v>2</v>
      </c>
      <c r="AP204">
        <v>11</v>
      </c>
      <c r="AQ204">
        <v>1</v>
      </c>
      <c r="AR204" t="s">
        <v>1884</v>
      </c>
      <c r="AS204" t="s">
        <v>1885</v>
      </c>
      <c r="AT204">
        <v>0.46400000000000002</v>
      </c>
      <c r="AU204" t="s">
        <v>65</v>
      </c>
      <c r="AV204">
        <v>23</v>
      </c>
      <c r="AW204">
        <v>3</v>
      </c>
      <c r="AX204" t="s">
        <v>1886</v>
      </c>
      <c r="AY204" t="s">
        <v>1887</v>
      </c>
      <c r="AZ204" t="s">
        <v>1888</v>
      </c>
      <c r="BA204">
        <v>2.631E-2</v>
      </c>
      <c r="BB204">
        <v>1</v>
      </c>
      <c r="BC204" t="s">
        <v>69</v>
      </c>
      <c r="BD204">
        <v>0.31</v>
      </c>
      <c r="BE204">
        <v>0</v>
      </c>
    </row>
    <row r="205" spans="1:57">
      <c r="A205">
        <v>0</v>
      </c>
      <c r="B205">
        <v>0</v>
      </c>
      <c r="C205">
        <v>0</v>
      </c>
      <c r="D205">
        <v>2367</v>
      </c>
      <c r="E205" t="s">
        <v>3060</v>
      </c>
      <c r="F205" t="s">
        <v>5762</v>
      </c>
      <c r="G205" t="s">
        <v>62</v>
      </c>
      <c r="H205">
        <v>2381357</v>
      </c>
      <c r="I205">
        <v>2381803</v>
      </c>
      <c r="J205" t="s">
        <v>3061</v>
      </c>
      <c r="K205">
        <v>149</v>
      </c>
      <c r="L205" t="s">
        <v>59</v>
      </c>
      <c r="M205">
        <v>5</v>
      </c>
      <c r="N205" t="str">
        <f>HYPERLINK("Gene2367-zp_tree_all.dnd", "Gene2367-tree")</f>
        <v>Gene2367-tree</v>
      </c>
      <c r="O205">
        <v>3</v>
      </c>
      <c r="P205">
        <v>2</v>
      </c>
      <c r="Q205">
        <v>3</v>
      </c>
      <c r="R205">
        <v>2</v>
      </c>
      <c r="S205">
        <v>0.4</v>
      </c>
      <c r="T205" t="s">
        <v>84</v>
      </c>
      <c r="U205" t="s">
        <v>135</v>
      </c>
      <c r="V205" t="s">
        <v>62</v>
      </c>
      <c r="W205" t="s">
        <v>62</v>
      </c>
      <c r="X205">
        <v>0</v>
      </c>
      <c r="Y205">
        <v>0</v>
      </c>
      <c r="Z205">
        <v>2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2</v>
      </c>
      <c r="AK205">
        <v>0</v>
      </c>
      <c r="AL205">
        <v>5</v>
      </c>
      <c r="AM205">
        <v>2</v>
      </c>
      <c r="AN205">
        <v>9</v>
      </c>
      <c r="AO205">
        <v>2</v>
      </c>
      <c r="AP205">
        <v>13</v>
      </c>
      <c r="AQ205">
        <v>0</v>
      </c>
      <c r="AR205" t="s">
        <v>3062</v>
      </c>
      <c r="AS205" t="s">
        <v>64</v>
      </c>
      <c r="AT205">
        <v>1.24</v>
      </c>
      <c r="AU205" t="s">
        <v>65</v>
      </c>
      <c r="AV205">
        <v>22</v>
      </c>
      <c r="AW205">
        <v>2</v>
      </c>
      <c r="AX205" t="s">
        <v>3063</v>
      </c>
      <c r="AY205" t="s">
        <v>3064</v>
      </c>
      <c r="AZ205" t="s">
        <v>3065</v>
      </c>
      <c r="BA205">
        <v>2.4670000000000001E-2</v>
      </c>
      <c r="BB205">
        <v>1</v>
      </c>
      <c r="BC205" t="s">
        <v>69</v>
      </c>
      <c r="BD205">
        <v>0.64600000000000002</v>
      </c>
      <c r="BE205">
        <v>0.377</v>
      </c>
    </row>
    <row r="206" spans="1:57">
      <c r="A206">
        <v>0</v>
      </c>
      <c r="B206">
        <v>0</v>
      </c>
      <c r="C206">
        <v>0</v>
      </c>
      <c r="D206">
        <v>2451</v>
      </c>
      <c r="E206" t="s">
        <v>3226</v>
      </c>
      <c r="F206" t="s">
        <v>5762</v>
      </c>
      <c r="G206" t="s">
        <v>62</v>
      </c>
      <c r="H206">
        <v>2449844</v>
      </c>
      <c r="I206">
        <v>2450290</v>
      </c>
      <c r="J206" t="s">
        <v>3227</v>
      </c>
      <c r="K206">
        <v>149</v>
      </c>
      <c r="L206" t="s">
        <v>59</v>
      </c>
      <c r="M206">
        <v>5</v>
      </c>
      <c r="N206" t="str">
        <f>HYPERLINK("Gene2451-zp_tree_all.dnd", "Gene2451-tree")</f>
        <v>Gene2451-tree</v>
      </c>
      <c r="O206">
        <v>4</v>
      </c>
      <c r="P206">
        <v>1</v>
      </c>
      <c r="Q206">
        <v>4</v>
      </c>
      <c r="R206">
        <v>1</v>
      </c>
      <c r="S206">
        <v>0.2</v>
      </c>
      <c r="T206" t="s">
        <v>60</v>
      </c>
      <c r="U206" t="s">
        <v>61</v>
      </c>
      <c r="V206" t="s">
        <v>62</v>
      </c>
      <c r="W206" t="s">
        <v>62</v>
      </c>
      <c r="X206">
        <v>0</v>
      </c>
      <c r="Y206">
        <v>0</v>
      </c>
      <c r="Z206">
        <v>1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1</v>
      </c>
      <c r="AK206">
        <v>0</v>
      </c>
      <c r="AL206">
        <v>3</v>
      </c>
      <c r="AM206">
        <v>2</v>
      </c>
      <c r="AN206">
        <v>3</v>
      </c>
      <c r="AO206">
        <v>1</v>
      </c>
      <c r="AP206">
        <v>7</v>
      </c>
      <c r="AQ206">
        <v>0</v>
      </c>
      <c r="AR206" t="s">
        <v>3228</v>
      </c>
      <c r="AS206" t="s">
        <v>64</v>
      </c>
      <c r="AT206">
        <v>0.64900000000000002</v>
      </c>
      <c r="AU206" t="s">
        <v>65</v>
      </c>
      <c r="AV206">
        <v>10</v>
      </c>
      <c r="AW206">
        <v>1</v>
      </c>
      <c r="AX206" t="s">
        <v>3229</v>
      </c>
      <c r="AY206" t="s">
        <v>3230</v>
      </c>
      <c r="AZ206" t="s">
        <v>3231</v>
      </c>
      <c r="BA206">
        <v>1.8849999999999999E-2</v>
      </c>
      <c r="BB206">
        <v>1</v>
      </c>
      <c r="BC206" t="s">
        <v>69</v>
      </c>
      <c r="BD206">
        <v>0.70899999999999996</v>
      </c>
      <c r="BE206">
        <v>0.70899999999999996</v>
      </c>
    </row>
    <row r="207" spans="1:57">
      <c r="A207">
        <v>0</v>
      </c>
      <c r="B207">
        <v>0</v>
      </c>
      <c r="C207">
        <v>0</v>
      </c>
      <c r="D207">
        <v>3721</v>
      </c>
      <c r="E207" t="s">
        <v>5008</v>
      </c>
      <c r="F207" t="s">
        <v>5762</v>
      </c>
      <c r="G207" t="s">
        <v>62</v>
      </c>
      <c r="H207">
        <v>3698985</v>
      </c>
      <c r="I207">
        <v>3699431</v>
      </c>
      <c r="J207" t="s">
        <v>5009</v>
      </c>
      <c r="K207">
        <v>149</v>
      </c>
      <c r="L207" t="s">
        <v>59</v>
      </c>
      <c r="M207">
        <v>5</v>
      </c>
      <c r="N207" t="str">
        <f>HYPERLINK("Gene3721-zp_tree_all.dnd", "Gene3721-tree")</f>
        <v>Gene3721-tree</v>
      </c>
      <c r="O207">
        <v>4</v>
      </c>
      <c r="P207">
        <v>1</v>
      </c>
      <c r="Q207">
        <v>4</v>
      </c>
      <c r="R207">
        <v>1</v>
      </c>
      <c r="S207">
        <v>0.2</v>
      </c>
      <c r="T207" t="s">
        <v>60</v>
      </c>
      <c r="U207" t="s">
        <v>61</v>
      </c>
      <c r="V207" t="s">
        <v>62</v>
      </c>
      <c r="W207" t="s">
        <v>62</v>
      </c>
      <c r="X207">
        <v>0</v>
      </c>
      <c r="Y207">
        <v>0</v>
      </c>
      <c r="Z207">
        <v>1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</v>
      </c>
      <c r="AK207">
        <v>0</v>
      </c>
      <c r="AL207">
        <v>4</v>
      </c>
      <c r="AM207">
        <v>2</v>
      </c>
      <c r="AN207">
        <v>12</v>
      </c>
      <c r="AO207">
        <v>1</v>
      </c>
      <c r="AP207">
        <v>5</v>
      </c>
      <c r="AQ207">
        <v>0</v>
      </c>
      <c r="AR207" t="s">
        <v>5010</v>
      </c>
      <c r="AS207" t="s">
        <v>64</v>
      </c>
      <c r="AT207">
        <v>0.58799999999999997</v>
      </c>
      <c r="AU207" t="s">
        <v>65</v>
      </c>
      <c r="AV207">
        <v>17</v>
      </c>
      <c r="AW207">
        <v>1</v>
      </c>
      <c r="AX207" t="s">
        <v>5011</v>
      </c>
      <c r="AY207" t="s">
        <v>5012</v>
      </c>
      <c r="AZ207" t="s">
        <v>5013</v>
      </c>
      <c r="BA207">
        <v>1.67E-2</v>
      </c>
      <c r="BB207">
        <v>1</v>
      </c>
      <c r="BC207" t="s">
        <v>69</v>
      </c>
      <c r="BD207">
        <v>-0.375</v>
      </c>
      <c r="BE207">
        <v>-0.375</v>
      </c>
    </row>
    <row r="208" spans="1:57">
      <c r="A208">
        <v>0</v>
      </c>
      <c r="B208">
        <v>0</v>
      </c>
      <c r="C208">
        <v>0</v>
      </c>
      <c r="D208">
        <v>4196</v>
      </c>
      <c r="E208" t="s">
        <v>5668</v>
      </c>
      <c r="F208" t="s">
        <v>5762</v>
      </c>
      <c r="G208" t="s">
        <v>62</v>
      </c>
      <c r="H208">
        <v>4163200</v>
      </c>
      <c r="I208">
        <v>4163646</v>
      </c>
      <c r="J208" t="s">
        <v>5669</v>
      </c>
      <c r="K208">
        <v>149</v>
      </c>
      <c r="L208" t="s">
        <v>83</v>
      </c>
      <c r="M208">
        <v>4</v>
      </c>
      <c r="N208" t="str">
        <f>HYPERLINK("Gene4196-zp_tree_all.dnd", "Gene4196-tree")</f>
        <v>Gene4196-tree</v>
      </c>
      <c r="O208">
        <v>3</v>
      </c>
      <c r="P208">
        <v>1</v>
      </c>
      <c r="Q208">
        <v>3</v>
      </c>
      <c r="R208">
        <v>1</v>
      </c>
      <c r="S208">
        <v>0.25</v>
      </c>
      <c r="T208" t="s">
        <v>84</v>
      </c>
      <c r="U208" t="s">
        <v>61</v>
      </c>
      <c r="V208" t="s">
        <v>62</v>
      </c>
      <c r="W208" t="s">
        <v>62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</v>
      </c>
      <c r="AK208">
        <v>0</v>
      </c>
      <c r="AL208">
        <v>4</v>
      </c>
      <c r="AM208">
        <v>1</v>
      </c>
      <c r="AN208">
        <v>18</v>
      </c>
      <c r="AO208">
        <v>1</v>
      </c>
      <c r="AP208">
        <v>4</v>
      </c>
      <c r="AQ208">
        <v>0</v>
      </c>
      <c r="AR208" t="s">
        <v>5670</v>
      </c>
      <c r="AS208" t="s">
        <v>64</v>
      </c>
      <c r="AT208">
        <v>0.436</v>
      </c>
      <c r="AU208" t="s">
        <v>65</v>
      </c>
      <c r="AV208">
        <v>22</v>
      </c>
      <c r="AW208">
        <v>1</v>
      </c>
      <c r="AX208" t="s">
        <v>5671</v>
      </c>
      <c r="AY208" t="s">
        <v>5672</v>
      </c>
      <c r="AZ208" t="s">
        <v>5673</v>
      </c>
      <c r="BA208">
        <v>1.073E-2</v>
      </c>
      <c r="BB208">
        <v>1</v>
      </c>
      <c r="BC208" t="s">
        <v>69</v>
      </c>
      <c r="BD208">
        <v>-0.311</v>
      </c>
      <c r="BE208">
        <v>-0.311</v>
      </c>
    </row>
    <row r="209" spans="1:57">
      <c r="A209">
        <v>0</v>
      </c>
      <c r="B209">
        <v>0</v>
      </c>
      <c r="C209">
        <v>0</v>
      </c>
      <c r="D209">
        <v>1559</v>
      </c>
      <c r="E209" t="s">
        <v>2115</v>
      </c>
      <c r="F209" t="s">
        <v>5762</v>
      </c>
      <c r="G209" t="s">
        <v>57</v>
      </c>
      <c r="H209">
        <v>1568420</v>
      </c>
      <c r="I209">
        <v>1568866</v>
      </c>
      <c r="J209" t="s">
        <v>2116</v>
      </c>
      <c r="K209">
        <v>149</v>
      </c>
      <c r="L209" t="s">
        <v>59</v>
      </c>
      <c r="M209">
        <v>5</v>
      </c>
      <c r="N209" t="str">
        <f>HYPERLINK("Gene1559-zp_tree_all.dnd", "Gene1559-tree")</f>
        <v>Gene1559-tree</v>
      </c>
      <c r="O209">
        <v>5</v>
      </c>
      <c r="P209">
        <v>0</v>
      </c>
      <c r="Q209">
        <v>5</v>
      </c>
      <c r="R209">
        <v>0</v>
      </c>
      <c r="S209">
        <v>0</v>
      </c>
      <c r="T209" t="s">
        <v>98</v>
      </c>
      <c r="U209" t="s">
        <v>62</v>
      </c>
      <c r="V209" t="s">
        <v>62</v>
      </c>
      <c r="W209" t="s">
        <v>62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3</v>
      </c>
      <c r="AM209">
        <v>2</v>
      </c>
      <c r="AN209">
        <v>6</v>
      </c>
      <c r="AO209">
        <v>0</v>
      </c>
      <c r="AP209">
        <v>9</v>
      </c>
      <c r="AQ209">
        <v>0</v>
      </c>
      <c r="AR209" t="s">
        <v>64</v>
      </c>
      <c r="AS209" t="s">
        <v>64</v>
      </c>
      <c r="AT209">
        <v>0</v>
      </c>
      <c r="AU209" t="s">
        <v>65</v>
      </c>
      <c r="AV209">
        <v>15</v>
      </c>
      <c r="AW209">
        <v>0</v>
      </c>
      <c r="AX209" t="s">
        <v>2117</v>
      </c>
      <c r="AY209" t="s">
        <v>2118</v>
      </c>
      <c r="AZ209" t="s">
        <v>64</v>
      </c>
      <c r="BA209">
        <v>0</v>
      </c>
      <c r="BB209">
        <v>1</v>
      </c>
      <c r="BC209" t="s">
        <v>69</v>
      </c>
      <c r="BD209">
        <v>0.60899999999999999</v>
      </c>
      <c r="BE209">
        <v>0.60899999999999999</v>
      </c>
    </row>
    <row r="210" spans="1:57">
      <c r="A210">
        <v>0</v>
      </c>
      <c r="B210">
        <v>2</v>
      </c>
      <c r="C210">
        <v>2</v>
      </c>
      <c r="D210">
        <v>3828</v>
      </c>
      <c r="E210" t="s">
        <v>5170</v>
      </c>
      <c r="F210" t="s">
        <v>5762</v>
      </c>
      <c r="G210" t="s">
        <v>62</v>
      </c>
      <c r="H210">
        <v>3791808</v>
      </c>
      <c r="I210">
        <v>3792257</v>
      </c>
      <c r="J210" t="s">
        <v>5171</v>
      </c>
      <c r="K210">
        <v>150</v>
      </c>
      <c r="L210" t="s">
        <v>83</v>
      </c>
      <c r="M210">
        <v>4</v>
      </c>
      <c r="N210" t="str">
        <f>HYPERLINK("Gene3828-zp_tree_all.dnd", "Gene3828-tree")</f>
        <v>Gene3828-tree</v>
      </c>
      <c r="O210">
        <v>1</v>
      </c>
      <c r="P210">
        <v>3</v>
      </c>
      <c r="Q210">
        <v>1</v>
      </c>
      <c r="R210">
        <v>3</v>
      </c>
      <c r="S210">
        <v>0.75</v>
      </c>
      <c r="T210" t="s">
        <v>61</v>
      </c>
      <c r="U210" t="s">
        <v>84</v>
      </c>
      <c r="V210" t="s">
        <v>62</v>
      </c>
      <c r="W210" t="s">
        <v>62</v>
      </c>
      <c r="X210">
        <v>2</v>
      </c>
      <c r="Y210">
        <v>4</v>
      </c>
      <c r="Z210">
        <v>9</v>
      </c>
      <c r="AA210">
        <v>0.30769000000000002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2</v>
      </c>
      <c r="AH210">
        <v>2</v>
      </c>
      <c r="AI210">
        <v>4</v>
      </c>
      <c r="AJ210">
        <v>9</v>
      </c>
      <c r="AK210">
        <v>0.30769000000000002</v>
      </c>
      <c r="AL210">
        <v>4</v>
      </c>
      <c r="AM210">
        <v>1</v>
      </c>
      <c r="AN210">
        <v>11</v>
      </c>
      <c r="AO210">
        <v>13</v>
      </c>
      <c r="AP210">
        <v>2</v>
      </c>
      <c r="AQ210">
        <v>0</v>
      </c>
      <c r="AR210" t="s">
        <v>5172</v>
      </c>
      <c r="AS210" t="s">
        <v>64</v>
      </c>
      <c r="AT210">
        <v>0.93400000000000005</v>
      </c>
      <c r="AU210" t="s">
        <v>65</v>
      </c>
      <c r="AV210">
        <v>13</v>
      </c>
      <c r="AW210">
        <v>13</v>
      </c>
      <c r="AX210" t="s">
        <v>5173</v>
      </c>
      <c r="AY210" t="s">
        <v>5174</v>
      </c>
      <c r="AZ210" t="s">
        <v>5175</v>
      </c>
      <c r="BA210">
        <v>0.26401000000000002</v>
      </c>
      <c r="BB210">
        <v>0.99</v>
      </c>
      <c r="BC210" t="s">
        <v>69</v>
      </c>
      <c r="BD210">
        <v>-3.6999999999999998E-2</v>
      </c>
      <c r="BE210">
        <v>-0.85699999999999998</v>
      </c>
    </row>
    <row r="211" spans="1:57">
      <c r="A211">
        <v>0</v>
      </c>
      <c r="B211">
        <v>0</v>
      </c>
      <c r="C211">
        <v>0</v>
      </c>
      <c r="D211">
        <v>1680</v>
      </c>
      <c r="E211" t="s">
        <v>2460</v>
      </c>
      <c r="F211" t="s">
        <v>5762</v>
      </c>
      <c r="G211" t="s">
        <v>57</v>
      </c>
      <c r="H211">
        <v>1691667</v>
      </c>
      <c r="I211">
        <v>1692116</v>
      </c>
      <c r="J211" t="s">
        <v>2454</v>
      </c>
      <c r="K211">
        <v>150</v>
      </c>
      <c r="L211" t="s">
        <v>59</v>
      </c>
      <c r="M211">
        <v>5</v>
      </c>
      <c r="N211" t="str">
        <f>HYPERLINK("Gene1680-zp_tree_all.dnd", "Gene1680-tree")</f>
        <v>Gene1680-tree</v>
      </c>
      <c r="O211">
        <v>3</v>
      </c>
      <c r="P211">
        <v>2</v>
      </c>
      <c r="Q211">
        <v>3</v>
      </c>
      <c r="R211">
        <v>2</v>
      </c>
      <c r="S211">
        <v>0.4</v>
      </c>
      <c r="T211" t="s">
        <v>84</v>
      </c>
      <c r="U211" t="s">
        <v>135</v>
      </c>
      <c r="V211" t="s">
        <v>62</v>
      </c>
      <c r="W211" t="s">
        <v>62</v>
      </c>
      <c r="X211">
        <v>0</v>
      </c>
      <c r="Y211">
        <v>0</v>
      </c>
      <c r="Z211">
        <v>3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2</v>
      </c>
      <c r="AK211">
        <v>0</v>
      </c>
      <c r="AL211">
        <v>4</v>
      </c>
      <c r="AM211">
        <v>2</v>
      </c>
      <c r="AN211">
        <v>8</v>
      </c>
      <c r="AO211">
        <v>2</v>
      </c>
      <c r="AP211">
        <v>16</v>
      </c>
      <c r="AQ211">
        <v>1</v>
      </c>
      <c r="AR211" t="s">
        <v>2461</v>
      </c>
      <c r="AS211" t="s">
        <v>2462</v>
      </c>
      <c r="AT211">
        <v>1.115</v>
      </c>
      <c r="AU211" t="s">
        <v>65</v>
      </c>
      <c r="AV211">
        <v>24</v>
      </c>
      <c r="AW211">
        <v>3</v>
      </c>
      <c r="AX211" t="s">
        <v>2463</v>
      </c>
      <c r="AY211" t="s">
        <v>2464</v>
      </c>
      <c r="AZ211" t="s">
        <v>2465</v>
      </c>
      <c r="BA211">
        <v>2.7709999999999999E-2</v>
      </c>
      <c r="BB211">
        <v>1</v>
      </c>
      <c r="BC211" t="s">
        <v>69</v>
      </c>
      <c r="BD211">
        <v>0.71399999999999997</v>
      </c>
      <c r="BE211">
        <v>0.71399999999999997</v>
      </c>
    </row>
    <row r="212" spans="1:57">
      <c r="A212">
        <v>0</v>
      </c>
      <c r="B212">
        <v>0</v>
      </c>
      <c r="C212">
        <v>0</v>
      </c>
      <c r="D212">
        <v>612</v>
      </c>
      <c r="E212" t="s">
        <v>1034</v>
      </c>
      <c r="F212" t="s">
        <v>5762</v>
      </c>
      <c r="G212" t="s">
        <v>57</v>
      </c>
      <c r="H212">
        <v>642810</v>
      </c>
      <c r="I212">
        <v>643262</v>
      </c>
      <c r="J212" t="s">
        <v>1035</v>
      </c>
      <c r="K212">
        <v>151</v>
      </c>
      <c r="L212" t="s">
        <v>59</v>
      </c>
      <c r="M212">
        <v>5</v>
      </c>
      <c r="N212" t="str">
        <f>HYPERLINK("Gene612-zp_tree_all.dnd", "Gene612-tree")</f>
        <v>Gene612-tree</v>
      </c>
      <c r="O212">
        <v>2</v>
      </c>
      <c r="P212">
        <v>3</v>
      </c>
      <c r="Q212">
        <v>2</v>
      </c>
      <c r="R212">
        <v>3</v>
      </c>
      <c r="S212">
        <v>0.6</v>
      </c>
      <c r="T212" t="s">
        <v>135</v>
      </c>
      <c r="U212" t="s">
        <v>84</v>
      </c>
      <c r="V212" t="s">
        <v>62</v>
      </c>
      <c r="W212" t="s">
        <v>62</v>
      </c>
      <c r="X212">
        <v>0</v>
      </c>
      <c r="Y212">
        <v>0</v>
      </c>
      <c r="Z212">
        <v>6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4</v>
      </c>
      <c r="AK212">
        <v>0</v>
      </c>
      <c r="AL212">
        <v>3</v>
      </c>
      <c r="AM212">
        <v>2</v>
      </c>
      <c r="AN212">
        <v>13</v>
      </c>
      <c r="AO212">
        <v>3</v>
      </c>
      <c r="AP212">
        <v>8</v>
      </c>
      <c r="AQ212">
        <v>3</v>
      </c>
      <c r="AR212" t="s">
        <v>1036</v>
      </c>
      <c r="AS212" t="s">
        <v>1037</v>
      </c>
      <c r="AT212">
        <v>0.433</v>
      </c>
      <c r="AU212" t="s">
        <v>65</v>
      </c>
      <c r="AV212">
        <v>21</v>
      </c>
      <c r="AW212">
        <v>6</v>
      </c>
      <c r="AX212" t="s">
        <v>1038</v>
      </c>
      <c r="AY212" t="s">
        <v>1039</v>
      </c>
      <c r="AZ212" t="s">
        <v>1040</v>
      </c>
      <c r="BA212">
        <v>8.4909999999999999E-2</v>
      </c>
      <c r="BB212">
        <v>1</v>
      </c>
      <c r="BC212" t="s">
        <v>69</v>
      </c>
      <c r="BD212">
        <v>0.248</v>
      </c>
      <c r="BE212">
        <v>-0.372</v>
      </c>
    </row>
    <row r="213" spans="1:57">
      <c r="A213">
        <v>0</v>
      </c>
      <c r="B213">
        <v>0</v>
      </c>
      <c r="C213">
        <v>0</v>
      </c>
      <c r="D213">
        <v>1600</v>
      </c>
      <c r="E213" t="s">
        <v>2255</v>
      </c>
      <c r="F213" t="s">
        <v>5762</v>
      </c>
      <c r="G213" t="s">
        <v>57</v>
      </c>
      <c r="H213">
        <v>1610859</v>
      </c>
      <c r="I213">
        <v>1611311</v>
      </c>
      <c r="J213" t="s">
        <v>2256</v>
      </c>
      <c r="K213">
        <v>151</v>
      </c>
      <c r="L213" t="s">
        <v>59</v>
      </c>
      <c r="M213">
        <v>5</v>
      </c>
      <c r="N213" t="str">
        <f>HYPERLINK("Gene1600-zp_tree_all.dnd", "Gene1600-tree")</f>
        <v>Gene1600-tree</v>
      </c>
      <c r="O213">
        <v>3</v>
      </c>
      <c r="P213">
        <v>2</v>
      </c>
      <c r="Q213">
        <v>3</v>
      </c>
      <c r="R213">
        <v>1</v>
      </c>
      <c r="S213">
        <v>0.25</v>
      </c>
      <c r="T213" t="s">
        <v>84</v>
      </c>
      <c r="U213" t="s">
        <v>61</v>
      </c>
      <c r="V213" t="s">
        <v>62</v>
      </c>
      <c r="W213" t="s">
        <v>62</v>
      </c>
      <c r="X213">
        <v>0</v>
      </c>
      <c r="Y213">
        <v>0</v>
      </c>
      <c r="Z213">
        <v>3</v>
      </c>
      <c r="AA213">
        <v>0</v>
      </c>
      <c r="AB213">
        <v>0</v>
      </c>
      <c r="AC213">
        <v>0</v>
      </c>
      <c r="AD213">
        <v>0</v>
      </c>
      <c r="AE213">
        <v>2</v>
      </c>
      <c r="AF213">
        <v>0</v>
      </c>
      <c r="AG213">
        <v>0</v>
      </c>
      <c r="AH213">
        <v>0</v>
      </c>
      <c r="AI213">
        <v>0</v>
      </c>
      <c r="AJ213">
        <v>1</v>
      </c>
      <c r="AK213">
        <v>0</v>
      </c>
      <c r="AL213">
        <v>3</v>
      </c>
      <c r="AM213">
        <v>1</v>
      </c>
      <c r="AN213">
        <v>7</v>
      </c>
      <c r="AO213">
        <v>1</v>
      </c>
      <c r="AP213">
        <v>7</v>
      </c>
      <c r="AQ213">
        <v>2</v>
      </c>
      <c r="AR213" t="s">
        <v>2257</v>
      </c>
      <c r="AS213" t="s">
        <v>2258</v>
      </c>
      <c r="AT213">
        <v>0.62</v>
      </c>
      <c r="AU213" t="s">
        <v>65</v>
      </c>
      <c r="AV213">
        <v>14</v>
      </c>
      <c r="AW213">
        <v>3</v>
      </c>
      <c r="AX213" t="s">
        <v>2259</v>
      </c>
      <c r="AY213" t="s">
        <v>2260</v>
      </c>
      <c r="AZ213" t="s">
        <v>2261</v>
      </c>
      <c r="BA213">
        <v>5.5599999999999997E-2</v>
      </c>
      <c r="BB213">
        <v>1</v>
      </c>
      <c r="BC213" t="s">
        <v>69</v>
      </c>
      <c r="BD213">
        <v>0.75700000000000001</v>
      </c>
      <c r="BE213">
        <v>0.75700000000000001</v>
      </c>
    </row>
    <row r="214" spans="1:57">
      <c r="A214">
        <v>0</v>
      </c>
      <c r="B214">
        <v>0</v>
      </c>
      <c r="C214">
        <v>0</v>
      </c>
      <c r="D214">
        <v>3068</v>
      </c>
      <c r="E214" t="s">
        <v>4147</v>
      </c>
      <c r="F214" t="s">
        <v>5762</v>
      </c>
      <c r="G214" t="s">
        <v>62</v>
      </c>
      <c r="H214">
        <v>3018312</v>
      </c>
      <c r="I214">
        <v>3018764</v>
      </c>
      <c r="J214" t="s">
        <v>4148</v>
      </c>
      <c r="K214">
        <v>151</v>
      </c>
      <c r="L214" t="s">
        <v>112</v>
      </c>
      <c r="M214">
        <v>4</v>
      </c>
      <c r="N214" t="str">
        <f>HYPERLINK("Gene3068-zp_tree_all.dnd", "Gene3068-tree")</f>
        <v>Gene3068-tree</v>
      </c>
      <c r="O214">
        <v>3</v>
      </c>
      <c r="P214">
        <v>1</v>
      </c>
      <c r="Q214">
        <v>3</v>
      </c>
      <c r="R214">
        <v>1</v>
      </c>
      <c r="S214">
        <v>0.25</v>
      </c>
      <c r="T214" t="s">
        <v>84</v>
      </c>
      <c r="U214" t="s">
        <v>61</v>
      </c>
      <c r="V214" t="s">
        <v>62</v>
      </c>
      <c r="W214" t="s">
        <v>62</v>
      </c>
      <c r="X214">
        <v>0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1</v>
      </c>
      <c r="AK214">
        <v>0</v>
      </c>
      <c r="AL214">
        <v>4</v>
      </c>
      <c r="AM214">
        <v>1</v>
      </c>
      <c r="AN214">
        <v>21</v>
      </c>
      <c r="AO214">
        <v>1</v>
      </c>
      <c r="AP214">
        <v>4</v>
      </c>
      <c r="AQ214">
        <v>0</v>
      </c>
      <c r="AR214" t="s">
        <v>4149</v>
      </c>
      <c r="AS214" t="s">
        <v>64</v>
      </c>
      <c r="AT214">
        <v>0.46600000000000003</v>
      </c>
      <c r="AU214" t="s">
        <v>65</v>
      </c>
      <c r="AV214">
        <v>25</v>
      </c>
      <c r="AW214">
        <v>1</v>
      </c>
      <c r="AX214" t="s">
        <v>4150</v>
      </c>
      <c r="AY214" t="s">
        <v>4151</v>
      </c>
      <c r="AZ214" t="s">
        <v>4152</v>
      </c>
      <c r="BA214">
        <v>8.9999999999999993E-3</v>
      </c>
      <c r="BB214">
        <v>1</v>
      </c>
      <c r="BC214" t="s">
        <v>69</v>
      </c>
      <c r="BD214">
        <v>0.06</v>
      </c>
      <c r="BE214">
        <v>-0.72699999999999998</v>
      </c>
    </row>
    <row r="215" spans="1:57">
      <c r="A215">
        <v>0</v>
      </c>
      <c r="B215">
        <v>0</v>
      </c>
      <c r="C215">
        <v>0</v>
      </c>
      <c r="D215">
        <v>3016</v>
      </c>
      <c r="E215" t="s">
        <v>4022</v>
      </c>
      <c r="F215" t="s">
        <v>5762</v>
      </c>
      <c r="G215" t="s">
        <v>62</v>
      </c>
      <c r="H215">
        <v>2965684</v>
      </c>
      <c r="I215">
        <v>2966139</v>
      </c>
      <c r="J215" t="s">
        <v>4023</v>
      </c>
      <c r="K215">
        <v>152</v>
      </c>
      <c r="L215" t="s">
        <v>59</v>
      </c>
      <c r="M215">
        <v>5</v>
      </c>
      <c r="N215" t="str">
        <f>HYPERLINK("Gene3016-zp_tree_all.dnd", "Gene3016-tree")</f>
        <v>Gene3016-tree</v>
      </c>
      <c r="O215">
        <v>5</v>
      </c>
      <c r="P215">
        <v>0</v>
      </c>
      <c r="Q215">
        <v>5</v>
      </c>
      <c r="R215">
        <v>0</v>
      </c>
      <c r="S215">
        <v>0</v>
      </c>
      <c r="T215" t="s">
        <v>98</v>
      </c>
      <c r="U215" t="s">
        <v>62</v>
      </c>
      <c r="V215" t="s">
        <v>62</v>
      </c>
      <c r="W215" t="s">
        <v>62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4</v>
      </c>
      <c r="AM215">
        <v>2</v>
      </c>
      <c r="AN215">
        <v>13</v>
      </c>
      <c r="AO215">
        <v>0</v>
      </c>
      <c r="AP215">
        <v>14</v>
      </c>
      <c r="AQ215">
        <v>0</v>
      </c>
      <c r="AR215" t="s">
        <v>64</v>
      </c>
      <c r="AS215" t="s">
        <v>64</v>
      </c>
      <c r="AT215">
        <v>0</v>
      </c>
      <c r="AU215" t="s">
        <v>65</v>
      </c>
      <c r="AV215">
        <v>27</v>
      </c>
      <c r="AW215">
        <v>0</v>
      </c>
      <c r="AX215" t="s">
        <v>4024</v>
      </c>
      <c r="AY215" t="s">
        <v>4025</v>
      </c>
      <c r="AZ215" t="s">
        <v>64</v>
      </c>
      <c r="BA215">
        <v>0</v>
      </c>
      <c r="BB215">
        <v>1</v>
      </c>
      <c r="BC215" t="s">
        <v>69</v>
      </c>
      <c r="BD215">
        <v>0.69699999999999995</v>
      </c>
      <c r="BE215">
        <v>0.69699999999999995</v>
      </c>
    </row>
    <row r="216" spans="1:57">
      <c r="A216">
        <v>0</v>
      </c>
      <c r="B216">
        <v>0</v>
      </c>
      <c r="C216">
        <v>0</v>
      </c>
      <c r="D216">
        <v>83</v>
      </c>
      <c r="E216" t="s">
        <v>309</v>
      </c>
      <c r="F216" t="s">
        <v>5762</v>
      </c>
      <c r="G216" t="s">
        <v>57</v>
      </c>
      <c r="H216">
        <v>101449</v>
      </c>
      <c r="I216">
        <v>101910</v>
      </c>
      <c r="J216" t="s">
        <v>310</v>
      </c>
      <c r="K216">
        <v>154</v>
      </c>
      <c r="L216" t="s">
        <v>59</v>
      </c>
      <c r="M216">
        <v>5</v>
      </c>
      <c r="N216" t="str">
        <f>HYPERLINK("Gene83-zp_tree_all.dnd", "Gene83-tree")</f>
        <v>Gene83-tree</v>
      </c>
      <c r="O216">
        <v>3</v>
      </c>
      <c r="P216">
        <v>2</v>
      </c>
      <c r="Q216">
        <v>3</v>
      </c>
      <c r="R216">
        <v>2</v>
      </c>
      <c r="S216">
        <v>0.4</v>
      </c>
      <c r="T216" t="s">
        <v>84</v>
      </c>
      <c r="U216" t="s">
        <v>135</v>
      </c>
      <c r="V216" t="s">
        <v>62</v>
      </c>
      <c r="W216" t="s">
        <v>62</v>
      </c>
      <c r="X216">
        <v>0</v>
      </c>
      <c r="Y216">
        <v>0</v>
      </c>
      <c r="Z216">
        <v>2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2</v>
      </c>
      <c r="AK216">
        <v>0</v>
      </c>
      <c r="AL216">
        <v>4</v>
      </c>
      <c r="AM216">
        <v>1</v>
      </c>
      <c r="AN216">
        <v>7</v>
      </c>
      <c r="AO216">
        <v>2</v>
      </c>
      <c r="AP216">
        <v>4</v>
      </c>
      <c r="AQ216">
        <v>0</v>
      </c>
      <c r="AR216" t="s">
        <v>311</v>
      </c>
      <c r="AS216" t="s">
        <v>64</v>
      </c>
      <c r="AT216">
        <v>1.6259999999999999</v>
      </c>
      <c r="AU216" t="s">
        <v>65</v>
      </c>
      <c r="AV216">
        <v>11</v>
      </c>
      <c r="AW216">
        <v>2</v>
      </c>
      <c r="AX216" t="s">
        <v>312</v>
      </c>
      <c r="AY216" t="s">
        <v>313</v>
      </c>
      <c r="AZ216" t="s">
        <v>314</v>
      </c>
      <c r="BA216">
        <v>3.8710000000000001E-2</v>
      </c>
      <c r="BB216">
        <v>1</v>
      </c>
      <c r="BC216" t="s">
        <v>69</v>
      </c>
      <c r="BD216">
        <v>-0.27900000000000003</v>
      </c>
      <c r="BE216">
        <v>-0.27900000000000003</v>
      </c>
    </row>
    <row r="217" spans="1:57">
      <c r="A217">
        <v>0</v>
      </c>
      <c r="B217">
        <v>0</v>
      </c>
      <c r="C217">
        <v>0</v>
      </c>
      <c r="D217">
        <v>1606</v>
      </c>
      <c r="E217" t="s">
        <v>2278</v>
      </c>
      <c r="F217" t="s">
        <v>5762</v>
      </c>
      <c r="G217" t="s">
        <v>57</v>
      </c>
      <c r="H217">
        <v>1616744</v>
      </c>
      <c r="I217">
        <v>1617205</v>
      </c>
      <c r="J217" t="s">
        <v>2279</v>
      </c>
      <c r="K217">
        <v>154</v>
      </c>
      <c r="L217" t="s">
        <v>59</v>
      </c>
      <c r="M217">
        <v>5</v>
      </c>
      <c r="N217" t="str">
        <f>HYPERLINK("Gene1606-zp_tree_all.dnd", "Gene1606-tree")</f>
        <v>Gene1606-tree</v>
      </c>
      <c r="O217">
        <v>4</v>
      </c>
      <c r="P217">
        <v>1</v>
      </c>
      <c r="Q217">
        <v>4</v>
      </c>
      <c r="R217">
        <v>1</v>
      </c>
      <c r="S217">
        <v>0.2</v>
      </c>
      <c r="T217" t="s">
        <v>60</v>
      </c>
      <c r="U217" t="s">
        <v>61</v>
      </c>
      <c r="V217" t="s">
        <v>62</v>
      </c>
      <c r="W217" t="s">
        <v>62</v>
      </c>
      <c r="X217">
        <v>0</v>
      </c>
      <c r="Y217">
        <v>0</v>
      </c>
      <c r="Z217">
        <v>2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</v>
      </c>
      <c r="AK217">
        <v>0</v>
      </c>
      <c r="AL217">
        <v>3</v>
      </c>
      <c r="AM217">
        <v>2</v>
      </c>
      <c r="AN217">
        <v>5</v>
      </c>
      <c r="AO217">
        <v>1</v>
      </c>
      <c r="AP217">
        <v>17</v>
      </c>
      <c r="AQ217">
        <v>1</v>
      </c>
      <c r="AR217" t="s">
        <v>2280</v>
      </c>
      <c r="AS217" t="s">
        <v>2281</v>
      </c>
      <c r="AT217">
        <v>0.58499999999999996</v>
      </c>
      <c r="AU217" t="s">
        <v>65</v>
      </c>
      <c r="AV217">
        <v>22</v>
      </c>
      <c r="AW217">
        <v>2</v>
      </c>
      <c r="AX217" t="s">
        <v>2282</v>
      </c>
      <c r="AY217" t="s">
        <v>2283</v>
      </c>
      <c r="AZ217" t="s">
        <v>2284</v>
      </c>
      <c r="BA217">
        <v>2.2530000000000001E-2</v>
      </c>
      <c r="BB217">
        <v>1</v>
      </c>
      <c r="BC217" t="s">
        <v>69</v>
      </c>
      <c r="BD217">
        <v>1.0840000000000001</v>
      </c>
      <c r="BE217">
        <v>1.0840000000000001</v>
      </c>
    </row>
    <row r="218" spans="1:57">
      <c r="A218">
        <v>0</v>
      </c>
      <c r="B218">
        <v>0</v>
      </c>
      <c r="C218">
        <v>2</v>
      </c>
      <c r="D218">
        <v>1385</v>
      </c>
      <c r="E218" t="s">
        <v>1831</v>
      </c>
      <c r="F218" t="s">
        <v>5762</v>
      </c>
      <c r="G218" t="s">
        <v>57</v>
      </c>
      <c r="H218">
        <v>1398496</v>
      </c>
      <c r="I218">
        <v>1398957</v>
      </c>
      <c r="J218" t="s">
        <v>1014</v>
      </c>
      <c r="K218">
        <v>154</v>
      </c>
      <c r="L218" t="s">
        <v>59</v>
      </c>
      <c r="M218">
        <v>5</v>
      </c>
      <c r="N218" t="str">
        <f>HYPERLINK("Gene1385-zp_tree_all.dnd", "Gene1385-tree")</f>
        <v>Gene1385-tree</v>
      </c>
      <c r="O218">
        <v>3</v>
      </c>
      <c r="P218">
        <v>2</v>
      </c>
      <c r="Q218">
        <v>3</v>
      </c>
      <c r="R218">
        <v>2</v>
      </c>
      <c r="S218">
        <v>0.4</v>
      </c>
      <c r="T218" t="s">
        <v>84</v>
      </c>
      <c r="U218" t="s">
        <v>135</v>
      </c>
      <c r="V218" t="s">
        <v>62</v>
      </c>
      <c r="W218" t="s">
        <v>62</v>
      </c>
      <c r="X218">
        <v>1</v>
      </c>
      <c r="Y218">
        <v>2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2</v>
      </c>
      <c r="AI218">
        <v>2</v>
      </c>
      <c r="AJ218">
        <v>0</v>
      </c>
      <c r="AK218">
        <v>1</v>
      </c>
      <c r="AL218">
        <v>4</v>
      </c>
      <c r="AM218">
        <v>1</v>
      </c>
      <c r="AN218">
        <v>11</v>
      </c>
      <c r="AO218">
        <v>2</v>
      </c>
      <c r="AP218">
        <v>13</v>
      </c>
      <c r="AQ218">
        <v>0</v>
      </c>
      <c r="AR218" t="s">
        <v>1832</v>
      </c>
      <c r="AS218" t="s">
        <v>64</v>
      </c>
      <c r="AT218">
        <v>1.827</v>
      </c>
      <c r="AU218" t="s">
        <v>65</v>
      </c>
      <c r="AV218">
        <v>24</v>
      </c>
      <c r="AW218">
        <v>2</v>
      </c>
      <c r="AX218" t="s">
        <v>1833</v>
      </c>
      <c r="AY218" t="s">
        <v>1834</v>
      </c>
      <c r="AZ218" t="s">
        <v>1835</v>
      </c>
      <c r="BA218">
        <v>1.7139999999999999E-2</v>
      </c>
      <c r="BB218">
        <v>1</v>
      </c>
      <c r="BC218" t="s">
        <v>69</v>
      </c>
      <c r="BD218">
        <v>0.31</v>
      </c>
      <c r="BE218">
        <v>0.31</v>
      </c>
    </row>
    <row r="219" spans="1:57">
      <c r="A219">
        <v>0</v>
      </c>
      <c r="B219">
        <v>0</v>
      </c>
      <c r="C219">
        <v>0</v>
      </c>
      <c r="D219">
        <v>2420</v>
      </c>
      <c r="E219" t="s">
        <v>3178</v>
      </c>
      <c r="F219" t="s">
        <v>5762</v>
      </c>
      <c r="G219" t="s">
        <v>62</v>
      </c>
      <c r="H219">
        <v>2427895</v>
      </c>
      <c r="I219">
        <v>2428356</v>
      </c>
      <c r="J219" t="s">
        <v>3179</v>
      </c>
      <c r="K219">
        <v>154</v>
      </c>
      <c r="L219" t="s">
        <v>59</v>
      </c>
      <c r="M219">
        <v>5</v>
      </c>
      <c r="N219" t="str">
        <f>HYPERLINK("Gene2420-zp_tree_all.dnd", "Gene2420-tree")</f>
        <v>Gene2420-tree</v>
      </c>
      <c r="O219">
        <v>5</v>
      </c>
      <c r="P219">
        <v>0</v>
      </c>
      <c r="Q219">
        <v>5</v>
      </c>
      <c r="R219">
        <v>0</v>
      </c>
      <c r="S219">
        <v>0</v>
      </c>
      <c r="T219" t="s">
        <v>98</v>
      </c>
      <c r="U219" t="s">
        <v>62</v>
      </c>
      <c r="V219" t="s">
        <v>62</v>
      </c>
      <c r="W219" t="s">
        <v>62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4</v>
      </c>
      <c r="AM219">
        <v>2</v>
      </c>
      <c r="AN219">
        <v>12</v>
      </c>
      <c r="AO219">
        <v>0</v>
      </c>
      <c r="AP219">
        <v>11</v>
      </c>
      <c r="AQ219">
        <v>0</v>
      </c>
      <c r="AR219" t="s">
        <v>64</v>
      </c>
      <c r="AS219" t="s">
        <v>64</v>
      </c>
      <c r="AT219">
        <v>0</v>
      </c>
      <c r="AU219" t="s">
        <v>65</v>
      </c>
      <c r="AV219">
        <v>23</v>
      </c>
      <c r="AW219">
        <v>0</v>
      </c>
      <c r="AX219" t="s">
        <v>3180</v>
      </c>
      <c r="AY219" t="s">
        <v>3181</v>
      </c>
      <c r="AZ219" t="s">
        <v>64</v>
      </c>
      <c r="BA219">
        <v>0</v>
      </c>
      <c r="BB219">
        <v>1</v>
      </c>
      <c r="BC219" t="s">
        <v>69</v>
      </c>
      <c r="BD219">
        <v>0.44900000000000001</v>
      </c>
      <c r="BE219">
        <v>0.44900000000000001</v>
      </c>
    </row>
    <row r="220" spans="1:57">
      <c r="A220">
        <v>0</v>
      </c>
      <c r="B220">
        <v>0</v>
      </c>
      <c r="C220">
        <v>0</v>
      </c>
      <c r="D220">
        <v>1706</v>
      </c>
      <c r="E220" t="s">
        <v>2507</v>
      </c>
      <c r="F220" t="s">
        <v>5762</v>
      </c>
      <c r="G220" t="s">
        <v>57</v>
      </c>
      <c r="H220">
        <v>1714855</v>
      </c>
      <c r="I220">
        <v>1715322</v>
      </c>
      <c r="J220" t="s">
        <v>2508</v>
      </c>
      <c r="K220">
        <v>156</v>
      </c>
      <c r="L220" t="s">
        <v>59</v>
      </c>
      <c r="M220">
        <v>5</v>
      </c>
      <c r="N220" t="str">
        <f>HYPERLINK("Gene1706-zp_tree_all.dnd", "Gene1706-tree")</f>
        <v>Gene1706-tree</v>
      </c>
      <c r="O220">
        <v>4</v>
      </c>
      <c r="P220">
        <v>1</v>
      </c>
      <c r="Q220">
        <v>3</v>
      </c>
      <c r="R220">
        <v>1</v>
      </c>
      <c r="S220">
        <v>0.25</v>
      </c>
      <c r="T220" t="s">
        <v>119</v>
      </c>
      <c r="U220" t="s">
        <v>61</v>
      </c>
      <c r="V220" t="s">
        <v>62</v>
      </c>
      <c r="W220" t="s">
        <v>62</v>
      </c>
      <c r="X220">
        <v>0</v>
      </c>
      <c r="Y220">
        <v>0</v>
      </c>
      <c r="Z220">
        <v>5</v>
      </c>
      <c r="AA220">
        <v>0</v>
      </c>
      <c r="AB220">
        <v>0</v>
      </c>
      <c r="AC220">
        <v>0</v>
      </c>
      <c r="AD220">
        <v>0</v>
      </c>
      <c r="AE220">
        <v>4</v>
      </c>
      <c r="AF220">
        <v>0</v>
      </c>
      <c r="AG220">
        <v>0</v>
      </c>
      <c r="AH220">
        <v>0</v>
      </c>
      <c r="AI220">
        <v>0</v>
      </c>
      <c r="AJ220">
        <v>1</v>
      </c>
      <c r="AK220">
        <v>0</v>
      </c>
      <c r="AL220">
        <v>4</v>
      </c>
      <c r="AM220">
        <v>1</v>
      </c>
      <c r="AN220">
        <v>11</v>
      </c>
      <c r="AO220">
        <v>1</v>
      </c>
      <c r="AP220">
        <v>9</v>
      </c>
      <c r="AQ220">
        <v>4</v>
      </c>
      <c r="AR220" t="s">
        <v>2509</v>
      </c>
      <c r="AS220" t="s">
        <v>2510</v>
      </c>
      <c r="AT220">
        <v>2.3109999999999999</v>
      </c>
      <c r="AU220" t="s">
        <v>65</v>
      </c>
      <c r="AV220">
        <v>20</v>
      </c>
      <c r="AW220">
        <v>5</v>
      </c>
      <c r="AX220" t="s">
        <v>2511</v>
      </c>
      <c r="AY220" t="s">
        <v>2512</v>
      </c>
      <c r="AZ220" t="s">
        <v>2513</v>
      </c>
      <c r="BA220">
        <v>7.4200000000000002E-2</v>
      </c>
      <c r="BB220">
        <v>1</v>
      </c>
      <c r="BC220" t="s">
        <v>69</v>
      </c>
      <c r="BD220">
        <v>0.89100000000000001</v>
      </c>
      <c r="BE220">
        <v>0.56799999999999995</v>
      </c>
    </row>
    <row r="221" spans="1:57">
      <c r="A221">
        <v>0</v>
      </c>
      <c r="B221">
        <v>0</v>
      </c>
      <c r="C221">
        <v>0</v>
      </c>
      <c r="D221">
        <v>2469</v>
      </c>
      <c r="E221" t="s">
        <v>3243</v>
      </c>
      <c r="F221" t="s">
        <v>5762</v>
      </c>
      <c r="G221" t="s">
        <v>62</v>
      </c>
      <c r="H221">
        <v>2463574</v>
      </c>
      <c r="I221">
        <v>2464041</v>
      </c>
      <c r="J221" t="s">
        <v>3244</v>
      </c>
      <c r="K221">
        <v>156</v>
      </c>
      <c r="L221" t="s">
        <v>83</v>
      </c>
      <c r="M221">
        <v>4</v>
      </c>
      <c r="N221" t="str">
        <f>HYPERLINK("Gene2469-zp_tree_all.dnd", "Gene2469-tree")</f>
        <v>Gene2469-tree</v>
      </c>
      <c r="O221">
        <v>1</v>
      </c>
      <c r="P221">
        <v>3</v>
      </c>
      <c r="Q221">
        <v>1</v>
      </c>
      <c r="R221">
        <v>3</v>
      </c>
      <c r="S221">
        <v>0.75</v>
      </c>
      <c r="T221" t="s">
        <v>61</v>
      </c>
      <c r="U221" t="s">
        <v>84</v>
      </c>
      <c r="V221" t="s">
        <v>62</v>
      </c>
      <c r="W221" t="s">
        <v>62</v>
      </c>
      <c r="X221">
        <v>0</v>
      </c>
      <c r="Y221">
        <v>0</v>
      </c>
      <c r="Z221">
        <v>5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5</v>
      </c>
      <c r="AK221">
        <v>0</v>
      </c>
      <c r="AL221">
        <v>4</v>
      </c>
      <c r="AM221">
        <v>1</v>
      </c>
      <c r="AN221">
        <v>24</v>
      </c>
      <c r="AO221">
        <v>5</v>
      </c>
      <c r="AP221">
        <v>1</v>
      </c>
      <c r="AQ221">
        <v>0</v>
      </c>
      <c r="AR221" t="s">
        <v>3245</v>
      </c>
      <c r="AS221" t="s">
        <v>64</v>
      </c>
      <c r="AT221">
        <v>1.3779999999999999</v>
      </c>
      <c r="AU221" t="s">
        <v>65</v>
      </c>
      <c r="AV221">
        <v>25</v>
      </c>
      <c r="AW221">
        <v>5</v>
      </c>
      <c r="AX221" t="s">
        <v>3246</v>
      </c>
      <c r="AY221" t="s">
        <v>3247</v>
      </c>
      <c r="AZ221" t="s">
        <v>3248</v>
      </c>
      <c r="BA221">
        <v>5.3670000000000002E-2</v>
      </c>
      <c r="BB221">
        <v>1</v>
      </c>
      <c r="BC221" t="s">
        <v>69</v>
      </c>
      <c r="BD221">
        <v>-0.39300000000000002</v>
      </c>
      <c r="BE221">
        <v>-0.39300000000000002</v>
      </c>
    </row>
    <row r="222" spans="1:57">
      <c r="A222">
        <v>0</v>
      </c>
      <c r="B222">
        <v>0</v>
      </c>
      <c r="C222">
        <v>0</v>
      </c>
      <c r="D222">
        <v>3487</v>
      </c>
      <c r="E222" t="s">
        <v>4769</v>
      </c>
      <c r="F222" t="s">
        <v>5762</v>
      </c>
      <c r="G222" t="s">
        <v>62</v>
      </c>
      <c r="H222">
        <v>3451251</v>
      </c>
      <c r="I222">
        <v>3451718</v>
      </c>
      <c r="J222" t="s">
        <v>4770</v>
      </c>
      <c r="K222">
        <v>156</v>
      </c>
      <c r="L222" t="s">
        <v>59</v>
      </c>
      <c r="M222">
        <v>5</v>
      </c>
      <c r="N222" t="str">
        <f>HYPERLINK("Gene3487-zp_tree_all.dnd", "Gene3487-tree")</f>
        <v>Gene3487-tree</v>
      </c>
      <c r="O222">
        <v>5</v>
      </c>
      <c r="P222">
        <v>0</v>
      </c>
      <c r="Q222">
        <v>5</v>
      </c>
      <c r="R222">
        <v>0</v>
      </c>
      <c r="S222">
        <v>0</v>
      </c>
      <c r="T222" t="s">
        <v>98</v>
      </c>
      <c r="U222" t="s">
        <v>62</v>
      </c>
      <c r="V222" t="s">
        <v>62</v>
      </c>
      <c r="W222" t="s">
        <v>62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4</v>
      </c>
      <c r="AM222">
        <v>2</v>
      </c>
      <c r="AN222">
        <v>12</v>
      </c>
      <c r="AO222">
        <v>0</v>
      </c>
      <c r="AP222">
        <v>8</v>
      </c>
      <c r="AQ222">
        <v>0</v>
      </c>
      <c r="AR222" t="s">
        <v>64</v>
      </c>
      <c r="AS222" t="s">
        <v>64</v>
      </c>
      <c r="AT222">
        <v>0</v>
      </c>
      <c r="AU222" t="s">
        <v>65</v>
      </c>
      <c r="AV222">
        <v>20</v>
      </c>
      <c r="AW222">
        <v>0</v>
      </c>
      <c r="AX222" t="s">
        <v>4771</v>
      </c>
      <c r="AY222" t="s">
        <v>4772</v>
      </c>
      <c r="AZ222" t="s">
        <v>64</v>
      </c>
      <c r="BA222">
        <v>0</v>
      </c>
      <c r="BB222">
        <v>1</v>
      </c>
      <c r="BC222" t="s">
        <v>69</v>
      </c>
      <c r="BD222">
        <v>0.39200000000000002</v>
      </c>
      <c r="BE222">
        <v>-3.4000000000000002E-2</v>
      </c>
    </row>
    <row r="223" spans="1:57">
      <c r="A223">
        <v>0</v>
      </c>
      <c r="B223">
        <v>0</v>
      </c>
      <c r="C223">
        <v>0</v>
      </c>
      <c r="D223">
        <v>111</v>
      </c>
      <c r="E223" t="s">
        <v>442</v>
      </c>
      <c r="F223" t="s">
        <v>5762</v>
      </c>
      <c r="G223" t="s">
        <v>57</v>
      </c>
      <c r="H223">
        <v>130160</v>
      </c>
      <c r="I223">
        <v>130627</v>
      </c>
      <c r="J223" t="s">
        <v>443</v>
      </c>
      <c r="K223">
        <v>156</v>
      </c>
      <c r="L223" t="s">
        <v>59</v>
      </c>
      <c r="M223">
        <v>5</v>
      </c>
      <c r="N223" t="str">
        <f>HYPERLINK("Gene111-zp_tree_all.dnd", "Gene111-tree")</f>
        <v>Gene111-tree</v>
      </c>
      <c r="O223">
        <v>5</v>
      </c>
      <c r="P223">
        <v>0</v>
      </c>
      <c r="Q223">
        <v>4</v>
      </c>
      <c r="R223">
        <v>0</v>
      </c>
      <c r="S223">
        <v>0</v>
      </c>
      <c r="T223" t="s">
        <v>150</v>
      </c>
      <c r="U223" t="s">
        <v>62</v>
      </c>
      <c r="V223" t="s">
        <v>62</v>
      </c>
      <c r="W223" t="s">
        <v>62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3</v>
      </c>
      <c r="AM223">
        <v>1</v>
      </c>
      <c r="AN223">
        <v>5</v>
      </c>
      <c r="AO223">
        <v>0</v>
      </c>
      <c r="AP223">
        <v>5</v>
      </c>
      <c r="AQ223">
        <v>0</v>
      </c>
      <c r="AR223" t="s">
        <v>64</v>
      </c>
      <c r="AS223" t="s">
        <v>64</v>
      </c>
      <c r="AT223">
        <v>0</v>
      </c>
      <c r="AU223" t="s">
        <v>65</v>
      </c>
      <c r="AV223">
        <v>10</v>
      </c>
      <c r="AW223">
        <v>0</v>
      </c>
      <c r="AX223" t="s">
        <v>444</v>
      </c>
      <c r="AY223" t="s">
        <v>445</v>
      </c>
      <c r="AZ223" t="s">
        <v>64</v>
      </c>
      <c r="BA223">
        <v>0</v>
      </c>
      <c r="BB223">
        <v>1</v>
      </c>
      <c r="BC223" t="s">
        <v>69</v>
      </c>
      <c r="BD223">
        <v>0.89400000000000002</v>
      </c>
      <c r="BE223">
        <v>0.89400000000000002</v>
      </c>
    </row>
    <row r="224" spans="1:57">
      <c r="A224">
        <v>0</v>
      </c>
      <c r="B224">
        <v>0</v>
      </c>
      <c r="C224">
        <v>0</v>
      </c>
      <c r="D224">
        <v>2844</v>
      </c>
      <c r="E224" t="s">
        <v>3652</v>
      </c>
      <c r="F224" t="s">
        <v>5762</v>
      </c>
      <c r="G224" t="s">
        <v>62</v>
      </c>
      <c r="H224">
        <v>2791497</v>
      </c>
      <c r="I224">
        <v>2791967</v>
      </c>
      <c r="J224" t="s">
        <v>3653</v>
      </c>
      <c r="K224">
        <v>157</v>
      </c>
      <c r="L224" t="s">
        <v>59</v>
      </c>
      <c r="M224">
        <v>5</v>
      </c>
      <c r="N224" t="str">
        <f>HYPERLINK("Gene2844-zp_tree_all.dnd", "Gene2844-tree")</f>
        <v>Gene2844-tree</v>
      </c>
      <c r="O224">
        <v>5</v>
      </c>
      <c r="P224">
        <v>0</v>
      </c>
      <c r="Q224">
        <v>5</v>
      </c>
      <c r="R224">
        <v>0</v>
      </c>
      <c r="S224">
        <v>0</v>
      </c>
      <c r="T224" t="s">
        <v>98</v>
      </c>
      <c r="U224" t="s">
        <v>62</v>
      </c>
      <c r="V224" t="s">
        <v>62</v>
      </c>
      <c r="W224" t="s">
        <v>62</v>
      </c>
      <c r="X224">
        <v>0</v>
      </c>
      <c r="Y224">
        <v>0</v>
      </c>
      <c r="Z224">
        <v>1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3</v>
      </c>
      <c r="AM224">
        <v>2</v>
      </c>
      <c r="AN224">
        <v>10</v>
      </c>
      <c r="AO224">
        <v>0</v>
      </c>
      <c r="AP224">
        <v>17</v>
      </c>
      <c r="AQ224">
        <v>1</v>
      </c>
      <c r="AR224" t="s">
        <v>64</v>
      </c>
      <c r="AS224" t="s">
        <v>3654</v>
      </c>
      <c r="AT224">
        <v>0.97699999999999998</v>
      </c>
      <c r="AU224" t="s">
        <v>65</v>
      </c>
      <c r="AV224">
        <v>27</v>
      </c>
      <c r="AW224">
        <v>1</v>
      </c>
      <c r="AX224" t="s">
        <v>3655</v>
      </c>
      <c r="AY224" t="s">
        <v>3656</v>
      </c>
      <c r="AZ224" t="s">
        <v>3657</v>
      </c>
      <c r="BA224">
        <v>1.7319999999999999E-2</v>
      </c>
      <c r="BB224">
        <v>1</v>
      </c>
      <c r="BC224" t="s">
        <v>69</v>
      </c>
      <c r="BD224">
        <v>0.96699999999999997</v>
      </c>
      <c r="BE224">
        <v>0.66900000000000004</v>
      </c>
    </row>
    <row r="225" spans="1:57">
      <c r="A225">
        <v>0</v>
      </c>
      <c r="B225">
        <v>0</v>
      </c>
      <c r="C225">
        <v>0</v>
      </c>
      <c r="D225">
        <v>3183</v>
      </c>
      <c r="E225" t="s">
        <v>4347</v>
      </c>
      <c r="F225" t="s">
        <v>5762</v>
      </c>
      <c r="G225" t="s">
        <v>62</v>
      </c>
      <c r="H225">
        <v>3137498</v>
      </c>
      <c r="I225">
        <v>3137968</v>
      </c>
      <c r="J225" t="s">
        <v>4348</v>
      </c>
      <c r="K225">
        <v>157</v>
      </c>
      <c r="L225" t="s">
        <v>59</v>
      </c>
      <c r="M225">
        <v>5</v>
      </c>
      <c r="N225" t="str">
        <f>HYPERLINK("Gene3183-zp_tree_all.dnd", "Gene3183-tree")</f>
        <v>Gene3183-tree</v>
      </c>
      <c r="O225">
        <v>4</v>
      </c>
      <c r="P225">
        <v>1</v>
      </c>
      <c r="Q225">
        <v>4</v>
      </c>
      <c r="R225">
        <v>1</v>
      </c>
      <c r="S225">
        <v>0.2</v>
      </c>
      <c r="T225" t="s">
        <v>60</v>
      </c>
      <c r="U225" t="s">
        <v>61</v>
      </c>
      <c r="V225" t="s">
        <v>62</v>
      </c>
      <c r="W225" t="s">
        <v>62</v>
      </c>
      <c r="X225">
        <v>0</v>
      </c>
      <c r="Y225">
        <v>0</v>
      </c>
      <c r="Z225">
        <v>1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4</v>
      </c>
      <c r="AM225">
        <v>2</v>
      </c>
      <c r="AN225">
        <v>10</v>
      </c>
      <c r="AO225">
        <v>1</v>
      </c>
      <c r="AP225">
        <v>11</v>
      </c>
      <c r="AQ225">
        <v>0</v>
      </c>
      <c r="AR225" t="s">
        <v>4349</v>
      </c>
      <c r="AS225" t="s">
        <v>64</v>
      </c>
      <c r="AT225">
        <v>0.64</v>
      </c>
      <c r="AU225" t="s">
        <v>65</v>
      </c>
      <c r="AV225">
        <v>21</v>
      </c>
      <c r="AW225">
        <v>1</v>
      </c>
      <c r="AX225" t="s">
        <v>4350</v>
      </c>
      <c r="AY225" t="s">
        <v>4351</v>
      </c>
      <c r="AZ225" t="s">
        <v>4352</v>
      </c>
      <c r="BA225">
        <v>9.8700000000000003E-3</v>
      </c>
      <c r="BB225">
        <v>1</v>
      </c>
      <c r="BC225" t="s">
        <v>69</v>
      </c>
      <c r="BD225">
        <v>0.52900000000000003</v>
      </c>
      <c r="BE225">
        <v>0.23499999999999999</v>
      </c>
    </row>
    <row r="226" spans="1:57">
      <c r="A226">
        <v>0</v>
      </c>
      <c r="B226">
        <v>0</v>
      </c>
      <c r="C226">
        <v>0</v>
      </c>
      <c r="D226">
        <v>3178</v>
      </c>
      <c r="E226" t="s">
        <v>4327</v>
      </c>
      <c r="F226" t="s">
        <v>5762</v>
      </c>
      <c r="G226" t="s">
        <v>62</v>
      </c>
      <c r="H226">
        <v>3134986</v>
      </c>
      <c r="I226">
        <v>3135459</v>
      </c>
      <c r="J226" t="s">
        <v>4328</v>
      </c>
      <c r="K226">
        <v>158</v>
      </c>
      <c r="L226" t="s">
        <v>59</v>
      </c>
      <c r="M226">
        <v>5</v>
      </c>
      <c r="N226" t="str">
        <f>HYPERLINK("Gene3178-zp_tree_all.dnd", "Gene3178-tree")</f>
        <v>Gene3178-tree</v>
      </c>
      <c r="O226">
        <v>4</v>
      </c>
      <c r="P226">
        <v>1</v>
      </c>
      <c r="Q226">
        <v>4</v>
      </c>
      <c r="R226">
        <v>1</v>
      </c>
      <c r="S226">
        <v>0.2</v>
      </c>
      <c r="T226" t="s">
        <v>60</v>
      </c>
      <c r="U226" t="s">
        <v>61</v>
      </c>
      <c r="V226" t="s">
        <v>62</v>
      </c>
      <c r="W226" t="s">
        <v>62</v>
      </c>
      <c r="X226">
        <v>0</v>
      </c>
      <c r="Y226">
        <v>0</v>
      </c>
      <c r="Z226">
        <v>3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1</v>
      </c>
      <c r="AK226">
        <v>0</v>
      </c>
      <c r="AL226">
        <v>4</v>
      </c>
      <c r="AM226">
        <v>2</v>
      </c>
      <c r="AN226">
        <v>12</v>
      </c>
      <c r="AO226">
        <v>1</v>
      </c>
      <c r="AP226">
        <v>11</v>
      </c>
      <c r="AQ226">
        <v>2</v>
      </c>
      <c r="AR226" t="s">
        <v>4329</v>
      </c>
      <c r="AS226" t="s">
        <v>4330</v>
      </c>
      <c r="AT226">
        <v>0.47299999999999998</v>
      </c>
      <c r="AU226" t="s">
        <v>65</v>
      </c>
      <c r="AV226">
        <v>23</v>
      </c>
      <c r="AW226">
        <v>3</v>
      </c>
      <c r="AX226" t="s">
        <v>4331</v>
      </c>
      <c r="AY226" t="s">
        <v>4332</v>
      </c>
      <c r="AZ226" t="s">
        <v>4333</v>
      </c>
      <c r="BA226">
        <v>3.4889999999999997E-2</v>
      </c>
      <c r="BB226">
        <v>1</v>
      </c>
      <c r="BC226" t="s">
        <v>69</v>
      </c>
      <c r="BD226">
        <v>0.372</v>
      </c>
      <c r="BE226">
        <v>0.372</v>
      </c>
    </row>
    <row r="227" spans="1:57">
      <c r="A227">
        <v>0</v>
      </c>
      <c r="B227">
        <v>0</v>
      </c>
      <c r="C227">
        <v>0</v>
      </c>
      <c r="D227">
        <v>4166</v>
      </c>
      <c r="E227" t="s">
        <v>5629</v>
      </c>
      <c r="F227" t="s">
        <v>5762</v>
      </c>
      <c r="G227" t="s">
        <v>62</v>
      </c>
      <c r="H227">
        <v>4134439</v>
      </c>
      <c r="I227">
        <v>4134915</v>
      </c>
      <c r="J227" t="s">
        <v>5630</v>
      </c>
      <c r="K227">
        <v>159</v>
      </c>
      <c r="L227" t="s">
        <v>112</v>
      </c>
      <c r="M227">
        <v>4</v>
      </c>
      <c r="N227" t="str">
        <f>HYPERLINK("Gene4166-zp_tree_all.dnd", "Gene4166-tree")</f>
        <v>Gene4166-tree</v>
      </c>
      <c r="O227">
        <v>3</v>
      </c>
      <c r="P227">
        <v>1</v>
      </c>
      <c r="Q227">
        <v>3</v>
      </c>
      <c r="R227">
        <v>1</v>
      </c>
      <c r="S227">
        <v>0.25</v>
      </c>
      <c r="T227" t="s">
        <v>84</v>
      </c>
      <c r="U227" t="s">
        <v>61</v>
      </c>
      <c r="V227" t="s">
        <v>62</v>
      </c>
      <c r="W227" t="s">
        <v>62</v>
      </c>
      <c r="X227">
        <v>0</v>
      </c>
      <c r="Y227">
        <v>0</v>
      </c>
      <c r="Z227">
        <v>2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</v>
      </c>
      <c r="AK227">
        <v>0</v>
      </c>
      <c r="AL227">
        <v>4</v>
      </c>
      <c r="AM227">
        <v>1</v>
      </c>
      <c r="AN227">
        <v>26</v>
      </c>
      <c r="AO227">
        <v>1</v>
      </c>
      <c r="AP227">
        <v>3</v>
      </c>
      <c r="AQ227">
        <v>1</v>
      </c>
      <c r="AR227" t="s">
        <v>5631</v>
      </c>
      <c r="AS227" t="s">
        <v>5632</v>
      </c>
      <c r="AT227">
        <v>5.2169999999999996</v>
      </c>
      <c r="AU227" t="s">
        <v>65</v>
      </c>
      <c r="AV227">
        <v>29</v>
      </c>
      <c r="AW227">
        <v>2</v>
      </c>
      <c r="AX227" t="s">
        <v>5633</v>
      </c>
      <c r="AY227" t="s">
        <v>5634</v>
      </c>
      <c r="AZ227" t="s">
        <v>5635</v>
      </c>
      <c r="BA227">
        <v>2.3380000000000001E-2</v>
      </c>
      <c r="BB227">
        <v>1</v>
      </c>
      <c r="BC227" t="s">
        <v>69</v>
      </c>
      <c r="BD227">
        <v>0.65300000000000002</v>
      </c>
      <c r="BE227">
        <v>-0.48099999999999998</v>
      </c>
    </row>
    <row r="228" spans="1:57">
      <c r="A228">
        <v>0</v>
      </c>
      <c r="B228">
        <v>0</v>
      </c>
      <c r="C228">
        <v>2</v>
      </c>
      <c r="D228">
        <v>928</v>
      </c>
      <c r="E228" t="s">
        <v>1370</v>
      </c>
      <c r="F228" t="s">
        <v>5762</v>
      </c>
      <c r="G228" t="s">
        <v>57</v>
      </c>
      <c r="H228">
        <v>970135</v>
      </c>
      <c r="I228">
        <v>970614</v>
      </c>
      <c r="J228" t="s">
        <v>1371</v>
      </c>
      <c r="K228">
        <v>160</v>
      </c>
      <c r="L228" t="s">
        <v>59</v>
      </c>
      <c r="M228">
        <v>5</v>
      </c>
      <c r="N228" t="str">
        <f>HYPERLINK("Gene928-zp_tree_all.dnd", "Gene928-tree")</f>
        <v>Gene928-tree</v>
      </c>
      <c r="O228">
        <v>4</v>
      </c>
      <c r="P228">
        <v>1</v>
      </c>
      <c r="Q228">
        <v>4</v>
      </c>
      <c r="R228">
        <v>1</v>
      </c>
      <c r="S228">
        <v>0.2</v>
      </c>
      <c r="T228" t="s">
        <v>60</v>
      </c>
      <c r="U228" t="s">
        <v>61</v>
      </c>
      <c r="V228" t="s">
        <v>62</v>
      </c>
      <c r="W228" t="s">
        <v>62</v>
      </c>
      <c r="X228">
        <v>1</v>
      </c>
      <c r="Y228">
        <v>2</v>
      </c>
      <c r="Z228">
        <v>2</v>
      </c>
      <c r="AA228">
        <v>0.5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2</v>
      </c>
      <c r="AK228">
        <v>0</v>
      </c>
      <c r="AL228">
        <v>5</v>
      </c>
      <c r="AM228">
        <v>1</v>
      </c>
      <c r="AN228">
        <v>11</v>
      </c>
      <c r="AO228">
        <v>2</v>
      </c>
      <c r="AP228">
        <v>13</v>
      </c>
      <c r="AQ228">
        <v>2</v>
      </c>
      <c r="AR228" t="s">
        <v>1372</v>
      </c>
      <c r="AS228" t="s">
        <v>1373</v>
      </c>
      <c r="AT228">
        <v>0.104</v>
      </c>
      <c r="AU228" t="s">
        <v>65</v>
      </c>
      <c r="AV228">
        <v>24</v>
      </c>
      <c r="AW228">
        <v>4</v>
      </c>
      <c r="AX228" t="s">
        <v>1374</v>
      </c>
      <c r="AY228" t="s">
        <v>1375</v>
      </c>
      <c r="AZ228" t="s">
        <v>1376</v>
      </c>
      <c r="BA228">
        <v>3.9419999999999997E-2</v>
      </c>
      <c r="BB228">
        <v>1</v>
      </c>
      <c r="BC228" t="s">
        <v>69</v>
      </c>
      <c r="BD228">
        <v>0.59799999999999998</v>
      </c>
      <c r="BE228">
        <v>0.36799999999999999</v>
      </c>
    </row>
    <row r="229" spans="1:57">
      <c r="A229">
        <v>0</v>
      </c>
      <c r="B229">
        <v>0</v>
      </c>
      <c r="C229">
        <v>0</v>
      </c>
      <c r="D229">
        <v>2332</v>
      </c>
      <c r="E229" t="s">
        <v>2998</v>
      </c>
      <c r="F229" t="s">
        <v>5762</v>
      </c>
      <c r="G229" t="s">
        <v>62</v>
      </c>
      <c r="H229">
        <v>2348867</v>
      </c>
      <c r="I229">
        <v>2349349</v>
      </c>
      <c r="J229" t="s">
        <v>2999</v>
      </c>
      <c r="K229">
        <v>161</v>
      </c>
      <c r="L229" t="s">
        <v>59</v>
      </c>
      <c r="M229">
        <v>5</v>
      </c>
      <c r="N229" t="str">
        <f>HYPERLINK("Gene2332-zp_tree_all.dnd", "Gene2332-tree")</f>
        <v>Gene2332-tree</v>
      </c>
      <c r="O229">
        <v>1</v>
      </c>
      <c r="P229">
        <v>4</v>
      </c>
      <c r="Q229">
        <v>1</v>
      </c>
      <c r="R229">
        <v>3</v>
      </c>
      <c r="S229">
        <v>0.75</v>
      </c>
      <c r="T229" t="s">
        <v>61</v>
      </c>
      <c r="U229" t="s">
        <v>119</v>
      </c>
      <c r="V229">
        <v>5</v>
      </c>
      <c r="W229" t="s">
        <v>286</v>
      </c>
      <c r="X229">
        <v>0</v>
      </c>
      <c r="Y229">
        <v>0</v>
      </c>
      <c r="Z229">
        <v>6</v>
      </c>
      <c r="AA229">
        <v>0</v>
      </c>
      <c r="AB229">
        <v>0</v>
      </c>
      <c r="AC229">
        <v>0</v>
      </c>
      <c r="AD229">
        <v>0</v>
      </c>
      <c r="AE229">
        <v>3</v>
      </c>
      <c r="AF229">
        <v>0</v>
      </c>
      <c r="AG229">
        <v>0</v>
      </c>
      <c r="AH229">
        <v>0</v>
      </c>
      <c r="AI229">
        <v>0</v>
      </c>
      <c r="AJ229">
        <v>3</v>
      </c>
      <c r="AK229">
        <v>0</v>
      </c>
      <c r="AL229">
        <v>4</v>
      </c>
      <c r="AM229">
        <v>1</v>
      </c>
      <c r="AN229">
        <v>4</v>
      </c>
      <c r="AO229">
        <v>3</v>
      </c>
      <c r="AP229">
        <v>10</v>
      </c>
      <c r="AQ229">
        <v>3</v>
      </c>
      <c r="AR229" t="s">
        <v>3000</v>
      </c>
      <c r="AS229" t="s">
        <v>3001</v>
      </c>
      <c r="AT229">
        <v>1.4830000000000001</v>
      </c>
      <c r="AU229" t="s">
        <v>65</v>
      </c>
      <c r="AV229">
        <v>14</v>
      </c>
      <c r="AW229">
        <v>6</v>
      </c>
      <c r="AX229" t="s">
        <v>3002</v>
      </c>
      <c r="AY229" t="s">
        <v>3003</v>
      </c>
      <c r="AZ229" t="s">
        <v>3004</v>
      </c>
      <c r="BA229">
        <v>0.11071</v>
      </c>
      <c r="BB229">
        <v>1</v>
      </c>
      <c r="BC229" t="s">
        <v>69</v>
      </c>
      <c r="BD229">
        <v>0.92400000000000004</v>
      </c>
      <c r="BE229">
        <v>0.92400000000000004</v>
      </c>
    </row>
    <row r="230" spans="1:57">
      <c r="A230">
        <v>0</v>
      </c>
      <c r="B230">
        <v>0</v>
      </c>
      <c r="C230">
        <v>0</v>
      </c>
      <c r="D230">
        <v>1562</v>
      </c>
      <c r="E230" t="s">
        <v>2131</v>
      </c>
      <c r="F230" t="s">
        <v>5762</v>
      </c>
      <c r="G230" t="s">
        <v>57</v>
      </c>
      <c r="H230">
        <v>1570078</v>
      </c>
      <c r="I230">
        <v>1570560</v>
      </c>
      <c r="J230" t="s">
        <v>2132</v>
      </c>
      <c r="K230">
        <v>161</v>
      </c>
      <c r="L230" t="s">
        <v>112</v>
      </c>
      <c r="M230">
        <v>4</v>
      </c>
      <c r="N230" t="str">
        <f>HYPERLINK("Gene1562-zp_tree_all.dnd", "Gene1562-tree")</f>
        <v>Gene1562-tree</v>
      </c>
      <c r="O230">
        <v>3</v>
      </c>
      <c r="P230">
        <v>1</v>
      </c>
      <c r="Q230">
        <v>3</v>
      </c>
      <c r="R230">
        <v>1</v>
      </c>
      <c r="S230">
        <v>0.25</v>
      </c>
      <c r="T230" t="s">
        <v>84</v>
      </c>
      <c r="U230" t="s">
        <v>61</v>
      </c>
      <c r="V230" t="s">
        <v>62</v>
      </c>
      <c r="W230" t="s">
        <v>62</v>
      </c>
      <c r="X230">
        <v>0</v>
      </c>
      <c r="Y230">
        <v>0</v>
      </c>
      <c r="Z230">
        <v>2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2</v>
      </c>
      <c r="AK230">
        <v>0</v>
      </c>
      <c r="AL230">
        <v>4</v>
      </c>
      <c r="AM230">
        <v>1</v>
      </c>
      <c r="AN230">
        <v>23</v>
      </c>
      <c r="AO230">
        <v>2</v>
      </c>
      <c r="AP230">
        <v>2</v>
      </c>
      <c r="AQ230">
        <v>0</v>
      </c>
      <c r="AR230" t="s">
        <v>2133</v>
      </c>
      <c r="AS230" t="s">
        <v>64</v>
      </c>
      <c r="AT230">
        <v>0.505</v>
      </c>
      <c r="AU230" t="s">
        <v>65</v>
      </c>
      <c r="AV230">
        <v>25</v>
      </c>
      <c r="AW230">
        <v>2</v>
      </c>
      <c r="AX230" t="s">
        <v>2134</v>
      </c>
      <c r="AY230" t="s">
        <v>2135</v>
      </c>
      <c r="AZ230" t="s">
        <v>2136</v>
      </c>
      <c r="BA230">
        <v>2.1329999999999998E-2</v>
      </c>
      <c r="BB230">
        <v>1</v>
      </c>
      <c r="BC230" t="s">
        <v>69</v>
      </c>
      <c r="BD230">
        <v>-0.375</v>
      </c>
      <c r="BE230">
        <v>-0.73799999999999999</v>
      </c>
    </row>
    <row r="231" spans="1:57">
      <c r="A231">
        <v>0</v>
      </c>
      <c r="B231">
        <v>0</v>
      </c>
      <c r="C231">
        <v>0</v>
      </c>
      <c r="D231">
        <v>676</v>
      </c>
      <c r="E231" t="s">
        <v>1098</v>
      </c>
      <c r="F231" t="s">
        <v>5762</v>
      </c>
      <c r="G231" t="s">
        <v>57</v>
      </c>
      <c r="H231">
        <v>698612</v>
      </c>
      <c r="I231">
        <v>699097</v>
      </c>
      <c r="J231" t="s">
        <v>1099</v>
      </c>
      <c r="K231">
        <v>162</v>
      </c>
      <c r="L231" t="s">
        <v>59</v>
      </c>
      <c r="M231">
        <v>5</v>
      </c>
      <c r="N231" t="str">
        <f>HYPERLINK("Gene676-zp_tree_all.dnd", "Gene676-tree")</f>
        <v>Gene676-tree</v>
      </c>
      <c r="O231">
        <v>3</v>
      </c>
      <c r="P231">
        <v>2</v>
      </c>
      <c r="Q231">
        <v>3</v>
      </c>
      <c r="R231">
        <v>2</v>
      </c>
      <c r="S231">
        <v>0.4</v>
      </c>
      <c r="T231" t="s">
        <v>84</v>
      </c>
      <c r="U231" t="s">
        <v>135</v>
      </c>
      <c r="V231" t="s">
        <v>62</v>
      </c>
      <c r="W231" t="s">
        <v>62</v>
      </c>
      <c r="X231">
        <v>0</v>
      </c>
      <c r="Y231">
        <v>0</v>
      </c>
      <c r="Z231">
        <v>5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2</v>
      </c>
      <c r="AK231">
        <v>0</v>
      </c>
      <c r="AL231">
        <v>4</v>
      </c>
      <c r="AM231">
        <v>2</v>
      </c>
      <c r="AN231">
        <v>8</v>
      </c>
      <c r="AO231">
        <v>2</v>
      </c>
      <c r="AP231">
        <v>15</v>
      </c>
      <c r="AQ231">
        <v>3</v>
      </c>
      <c r="AR231" t="s">
        <v>1100</v>
      </c>
      <c r="AS231" t="s">
        <v>1101</v>
      </c>
      <c r="AT231">
        <v>0.22700000000000001</v>
      </c>
      <c r="AU231" t="s">
        <v>65</v>
      </c>
      <c r="AV231">
        <v>23</v>
      </c>
      <c r="AW231">
        <v>5</v>
      </c>
      <c r="AX231" t="s">
        <v>1102</v>
      </c>
      <c r="AY231" t="s">
        <v>1103</v>
      </c>
      <c r="AZ231" t="s">
        <v>1104</v>
      </c>
      <c r="BA231">
        <v>6.6309999999999994E-2</v>
      </c>
      <c r="BB231">
        <v>1</v>
      </c>
      <c r="BC231" t="s">
        <v>69</v>
      </c>
      <c r="BD231">
        <v>1.0269999999999999</v>
      </c>
      <c r="BE231">
        <v>0.43</v>
      </c>
    </row>
    <row r="232" spans="1:57">
      <c r="A232">
        <v>0</v>
      </c>
      <c r="B232">
        <v>0</v>
      </c>
      <c r="C232">
        <v>0</v>
      </c>
      <c r="D232">
        <v>1861</v>
      </c>
      <c r="E232" t="s">
        <v>2781</v>
      </c>
      <c r="F232" t="s">
        <v>5762</v>
      </c>
      <c r="G232" t="s">
        <v>57</v>
      </c>
      <c r="H232">
        <v>1924471</v>
      </c>
      <c r="I232">
        <v>1924959</v>
      </c>
      <c r="J232" t="s">
        <v>2782</v>
      </c>
      <c r="K232">
        <v>163</v>
      </c>
      <c r="L232" t="s">
        <v>59</v>
      </c>
      <c r="M232">
        <v>5</v>
      </c>
      <c r="N232" t="str">
        <f>HYPERLINK("Gene1861-zp_tree_all.dnd", "Gene1861-tree")</f>
        <v>Gene1861-tree</v>
      </c>
      <c r="O232">
        <v>2</v>
      </c>
      <c r="P232">
        <v>3</v>
      </c>
      <c r="Q232">
        <v>2</v>
      </c>
      <c r="R232">
        <v>3</v>
      </c>
      <c r="S232">
        <v>0.6</v>
      </c>
      <c r="T232" t="s">
        <v>135</v>
      </c>
      <c r="U232" t="s">
        <v>84</v>
      </c>
      <c r="V232" t="s">
        <v>62</v>
      </c>
      <c r="W232" t="s">
        <v>62</v>
      </c>
      <c r="X232">
        <v>0</v>
      </c>
      <c r="Y232">
        <v>0</v>
      </c>
      <c r="Z232">
        <v>6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4</v>
      </c>
      <c r="AK232">
        <v>0</v>
      </c>
      <c r="AL232">
        <v>5</v>
      </c>
      <c r="AM232">
        <v>2</v>
      </c>
      <c r="AN232">
        <v>10</v>
      </c>
      <c r="AO232">
        <v>4</v>
      </c>
      <c r="AP232">
        <v>12</v>
      </c>
      <c r="AQ232">
        <v>2</v>
      </c>
      <c r="AR232" t="s">
        <v>2783</v>
      </c>
      <c r="AS232" t="s">
        <v>2784</v>
      </c>
      <c r="AT232">
        <v>0.99399999999999999</v>
      </c>
      <c r="AU232" t="s">
        <v>65</v>
      </c>
      <c r="AV232">
        <v>22</v>
      </c>
      <c r="AW232">
        <v>6</v>
      </c>
      <c r="AX232" t="s">
        <v>2785</v>
      </c>
      <c r="AY232" t="s">
        <v>2786</v>
      </c>
      <c r="AZ232" t="s">
        <v>2787</v>
      </c>
      <c r="BA232">
        <v>6.7299999999999999E-2</v>
      </c>
      <c r="BB232">
        <v>1</v>
      </c>
      <c r="BC232" t="s">
        <v>69</v>
      </c>
      <c r="BD232">
        <v>0.36799999999999999</v>
      </c>
      <c r="BE232">
        <v>0.36799999999999999</v>
      </c>
    </row>
    <row r="233" spans="1:57">
      <c r="A233">
        <v>0</v>
      </c>
      <c r="B233">
        <v>0</v>
      </c>
      <c r="C233">
        <v>0</v>
      </c>
      <c r="D233">
        <v>2625</v>
      </c>
      <c r="E233" t="s">
        <v>3478</v>
      </c>
      <c r="F233" t="s">
        <v>5762</v>
      </c>
      <c r="G233" t="s">
        <v>62</v>
      </c>
      <c r="H233">
        <v>2603376</v>
      </c>
      <c r="I233">
        <v>2603867</v>
      </c>
      <c r="J233" t="s">
        <v>118</v>
      </c>
      <c r="K233">
        <v>164</v>
      </c>
      <c r="L233" t="s">
        <v>59</v>
      </c>
      <c r="M233">
        <v>5</v>
      </c>
      <c r="N233" t="str">
        <f>HYPERLINK("Gene2625-zp_tree_all.dnd", "Gene2625-tree")</f>
        <v>Gene2625-tree</v>
      </c>
      <c r="O233">
        <v>2</v>
      </c>
      <c r="P233">
        <v>3</v>
      </c>
      <c r="Q233">
        <v>2</v>
      </c>
      <c r="R233">
        <v>3</v>
      </c>
      <c r="S233">
        <v>0.6</v>
      </c>
      <c r="T233" t="s">
        <v>135</v>
      </c>
      <c r="U233" t="s">
        <v>84</v>
      </c>
      <c r="V233" t="s">
        <v>62</v>
      </c>
      <c r="W233" t="s">
        <v>62</v>
      </c>
      <c r="X233">
        <v>0</v>
      </c>
      <c r="Y233">
        <v>0</v>
      </c>
      <c r="Z233">
        <v>6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3</v>
      </c>
      <c r="AK233">
        <v>0</v>
      </c>
      <c r="AL233">
        <v>5</v>
      </c>
      <c r="AM233">
        <v>2</v>
      </c>
      <c r="AN233">
        <v>8</v>
      </c>
      <c r="AO233">
        <v>3</v>
      </c>
      <c r="AP233">
        <v>9</v>
      </c>
      <c r="AQ233">
        <v>3</v>
      </c>
      <c r="AR233" t="s">
        <v>3479</v>
      </c>
      <c r="AS233" t="s">
        <v>3480</v>
      </c>
      <c r="AT233">
        <v>0.309</v>
      </c>
      <c r="AU233" t="s">
        <v>65</v>
      </c>
      <c r="AV233">
        <v>17</v>
      </c>
      <c r="AW233">
        <v>6</v>
      </c>
      <c r="AX233" t="s">
        <v>3481</v>
      </c>
      <c r="AY233" t="s">
        <v>3482</v>
      </c>
      <c r="AZ233" t="s">
        <v>3483</v>
      </c>
      <c r="BA233">
        <v>9.4350000000000003E-2</v>
      </c>
      <c r="BB233">
        <v>1</v>
      </c>
      <c r="BC233" t="s">
        <v>69</v>
      </c>
      <c r="BD233">
        <v>0.66</v>
      </c>
      <c r="BE233">
        <v>0.309</v>
      </c>
    </row>
    <row r="234" spans="1:57">
      <c r="A234">
        <v>0</v>
      </c>
      <c r="B234">
        <v>0</v>
      </c>
      <c r="C234">
        <v>0</v>
      </c>
      <c r="D234">
        <v>1603</v>
      </c>
      <c r="E234" t="s">
        <v>2275</v>
      </c>
      <c r="F234" t="s">
        <v>5762</v>
      </c>
      <c r="G234" t="s">
        <v>57</v>
      </c>
      <c r="H234">
        <v>1612521</v>
      </c>
      <c r="I234">
        <v>1613012</v>
      </c>
      <c r="J234" t="s">
        <v>235</v>
      </c>
      <c r="K234">
        <v>164</v>
      </c>
      <c r="L234" t="s">
        <v>59</v>
      </c>
      <c r="M234">
        <v>5</v>
      </c>
      <c r="N234" t="str">
        <f>HYPERLINK("Gene1603-zp_tree_all.dnd", "Gene1603-tree")</f>
        <v>Gene1603-tree</v>
      </c>
      <c r="O234">
        <v>5</v>
      </c>
      <c r="P234">
        <v>0</v>
      </c>
      <c r="Q234">
        <v>5</v>
      </c>
      <c r="R234">
        <v>0</v>
      </c>
      <c r="S234">
        <v>0</v>
      </c>
      <c r="T234" t="s">
        <v>98</v>
      </c>
      <c r="U234" t="s">
        <v>62</v>
      </c>
      <c r="V234" t="s">
        <v>62</v>
      </c>
      <c r="W234" t="s">
        <v>62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5</v>
      </c>
      <c r="AM234">
        <v>2</v>
      </c>
      <c r="AN234">
        <v>14</v>
      </c>
      <c r="AO234">
        <v>0</v>
      </c>
      <c r="AP234">
        <v>15</v>
      </c>
      <c r="AQ234">
        <v>0</v>
      </c>
      <c r="AR234" t="s">
        <v>64</v>
      </c>
      <c r="AS234" t="s">
        <v>64</v>
      </c>
      <c r="AT234">
        <v>0</v>
      </c>
      <c r="AU234" t="s">
        <v>65</v>
      </c>
      <c r="AV234">
        <v>29</v>
      </c>
      <c r="AW234">
        <v>0</v>
      </c>
      <c r="AX234" t="s">
        <v>2276</v>
      </c>
      <c r="AY234" t="s">
        <v>2277</v>
      </c>
      <c r="AZ234" t="s">
        <v>64</v>
      </c>
      <c r="BA234">
        <v>0</v>
      </c>
      <c r="BB234">
        <v>1</v>
      </c>
      <c r="BC234" t="s">
        <v>69</v>
      </c>
      <c r="BD234">
        <v>0.71399999999999997</v>
      </c>
      <c r="BE234">
        <v>0.48299999999999998</v>
      </c>
    </row>
    <row r="235" spans="1:57">
      <c r="A235">
        <v>0</v>
      </c>
      <c r="B235">
        <v>0</v>
      </c>
      <c r="C235">
        <v>0</v>
      </c>
      <c r="D235">
        <v>3895</v>
      </c>
      <c r="E235" t="s">
        <v>5256</v>
      </c>
      <c r="F235" t="s">
        <v>5762</v>
      </c>
      <c r="G235" t="s">
        <v>62</v>
      </c>
      <c r="H235">
        <v>3859002</v>
      </c>
      <c r="I235">
        <v>3859499</v>
      </c>
      <c r="J235" t="s">
        <v>118</v>
      </c>
      <c r="K235">
        <v>166</v>
      </c>
      <c r="L235" t="s">
        <v>59</v>
      </c>
      <c r="M235">
        <v>5</v>
      </c>
      <c r="N235" t="str">
        <f>HYPERLINK("Gene3895-zp_tree_all.dnd", "Gene3895-tree")</f>
        <v>Gene3895-tree</v>
      </c>
      <c r="O235">
        <v>4</v>
      </c>
      <c r="P235">
        <v>1</v>
      </c>
      <c r="Q235">
        <v>4</v>
      </c>
      <c r="R235">
        <v>1</v>
      </c>
      <c r="S235">
        <v>0.2</v>
      </c>
      <c r="T235" t="s">
        <v>60</v>
      </c>
      <c r="U235" t="s">
        <v>61</v>
      </c>
      <c r="V235" t="s">
        <v>62</v>
      </c>
      <c r="W235" t="s">
        <v>62</v>
      </c>
      <c r="X235">
        <v>0</v>
      </c>
      <c r="Y235">
        <v>0</v>
      </c>
      <c r="Z235">
        <v>3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1</v>
      </c>
      <c r="AK235">
        <v>0</v>
      </c>
      <c r="AL235">
        <v>4</v>
      </c>
      <c r="AM235">
        <v>2</v>
      </c>
      <c r="AN235">
        <v>14</v>
      </c>
      <c r="AO235">
        <v>1</v>
      </c>
      <c r="AP235">
        <v>7</v>
      </c>
      <c r="AQ235">
        <v>2</v>
      </c>
      <c r="AR235" t="s">
        <v>5257</v>
      </c>
      <c r="AS235" t="s">
        <v>5258</v>
      </c>
      <c r="AT235">
        <v>0.65100000000000002</v>
      </c>
      <c r="AU235" t="s">
        <v>65</v>
      </c>
      <c r="AV235">
        <v>21</v>
      </c>
      <c r="AW235">
        <v>3</v>
      </c>
      <c r="AX235" t="s">
        <v>5259</v>
      </c>
      <c r="AY235" t="s">
        <v>5260</v>
      </c>
      <c r="AZ235" t="s">
        <v>5261</v>
      </c>
      <c r="BA235">
        <v>4.1309999999999999E-2</v>
      </c>
      <c r="BB235">
        <v>1</v>
      </c>
      <c r="BC235" t="s">
        <v>69</v>
      </c>
      <c r="BD235">
        <v>-7.6999999999999999E-2</v>
      </c>
      <c r="BE235">
        <v>-7.6999999999999999E-2</v>
      </c>
    </row>
    <row r="236" spans="1:57">
      <c r="A236">
        <v>0</v>
      </c>
      <c r="B236">
        <v>0</v>
      </c>
      <c r="C236">
        <v>0</v>
      </c>
      <c r="D236">
        <v>1708</v>
      </c>
      <c r="E236" t="s">
        <v>2520</v>
      </c>
      <c r="F236" t="s">
        <v>5762</v>
      </c>
      <c r="G236" t="s">
        <v>57</v>
      </c>
      <c r="H236">
        <v>1715970</v>
      </c>
      <c r="I236">
        <v>1716467</v>
      </c>
      <c r="J236" t="s">
        <v>2521</v>
      </c>
      <c r="K236">
        <v>166</v>
      </c>
      <c r="L236" t="s">
        <v>59</v>
      </c>
      <c r="M236">
        <v>5</v>
      </c>
      <c r="N236" t="str">
        <f>HYPERLINK("Gene1708-zp_tree_all.dnd", "Gene1708-tree")</f>
        <v>Gene1708-tree</v>
      </c>
      <c r="O236">
        <v>3</v>
      </c>
      <c r="P236">
        <v>2</v>
      </c>
      <c r="Q236">
        <v>3</v>
      </c>
      <c r="R236">
        <v>1</v>
      </c>
      <c r="S236">
        <v>0.25</v>
      </c>
      <c r="T236" t="s">
        <v>84</v>
      </c>
      <c r="U236" t="s">
        <v>61</v>
      </c>
      <c r="V236" t="s">
        <v>62</v>
      </c>
      <c r="W236" t="s">
        <v>62</v>
      </c>
      <c r="X236">
        <v>0</v>
      </c>
      <c r="Y236">
        <v>0</v>
      </c>
      <c r="Z236">
        <v>3</v>
      </c>
      <c r="AA236">
        <v>0</v>
      </c>
      <c r="AB236">
        <v>0</v>
      </c>
      <c r="AC236">
        <v>0</v>
      </c>
      <c r="AD236">
        <v>0</v>
      </c>
      <c r="AE236">
        <v>2</v>
      </c>
      <c r="AF236">
        <v>0</v>
      </c>
      <c r="AG236">
        <v>0</v>
      </c>
      <c r="AH236">
        <v>0</v>
      </c>
      <c r="AI236">
        <v>0</v>
      </c>
      <c r="AJ236">
        <v>1</v>
      </c>
      <c r="AK236">
        <v>0</v>
      </c>
      <c r="AL236">
        <v>4</v>
      </c>
      <c r="AM236">
        <v>1</v>
      </c>
      <c r="AN236">
        <v>15</v>
      </c>
      <c r="AO236">
        <v>1</v>
      </c>
      <c r="AP236">
        <v>12</v>
      </c>
      <c r="AQ236">
        <v>2</v>
      </c>
      <c r="AR236" t="s">
        <v>2522</v>
      </c>
      <c r="AS236" t="s">
        <v>2523</v>
      </c>
      <c r="AT236">
        <v>0.85299999999999998</v>
      </c>
      <c r="AU236" t="s">
        <v>65</v>
      </c>
      <c r="AV236">
        <v>27</v>
      </c>
      <c r="AW236">
        <v>3</v>
      </c>
      <c r="AX236" t="s">
        <v>2524</v>
      </c>
      <c r="AY236" t="s">
        <v>2525</v>
      </c>
      <c r="AZ236" t="s">
        <v>2526</v>
      </c>
      <c r="BA236">
        <v>3.354E-2</v>
      </c>
      <c r="BB236">
        <v>1</v>
      </c>
      <c r="BC236" t="s">
        <v>69</v>
      </c>
      <c r="BD236">
        <v>0.57999999999999996</v>
      </c>
      <c r="BE236">
        <v>0.57999999999999996</v>
      </c>
    </row>
    <row r="237" spans="1:57">
      <c r="A237">
        <v>0</v>
      </c>
      <c r="B237">
        <v>0</v>
      </c>
      <c r="C237">
        <v>0</v>
      </c>
      <c r="D237">
        <v>3260</v>
      </c>
      <c r="E237" t="s">
        <v>4408</v>
      </c>
      <c r="F237" t="s">
        <v>5762</v>
      </c>
      <c r="G237" t="s">
        <v>62</v>
      </c>
      <c r="H237">
        <v>3226936</v>
      </c>
      <c r="I237">
        <v>3227433</v>
      </c>
      <c r="J237" t="s">
        <v>4409</v>
      </c>
      <c r="K237">
        <v>166</v>
      </c>
      <c r="L237" t="s">
        <v>59</v>
      </c>
      <c r="M237">
        <v>5</v>
      </c>
      <c r="N237" t="str">
        <f>HYPERLINK("Gene3260-zp_tree_all.dnd", "Gene3260-tree")</f>
        <v>Gene3260-tree</v>
      </c>
      <c r="O237">
        <v>5</v>
      </c>
      <c r="P237">
        <v>0</v>
      </c>
      <c r="Q237">
        <v>5</v>
      </c>
      <c r="R237">
        <v>0</v>
      </c>
      <c r="S237">
        <v>0</v>
      </c>
      <c r="T237" t="s">
        <v>98</v>
      </c>
      <c r="U237" t="s">
        <v>62</v>
      </c>
      <c r="V237" t="s">
        <v>62</v>
      </c>
      <c r="W237" t="s">
        <v>62</v>
      </c>
      <c r="X237">
        <v>0</v>
      </c>
      <c r="Y237">
        <v>0</v>
      </c>
      <c r="Z237">
        <v>1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5</v>
      </c>
      <c r="AM237">
        <v>1</v>
      </c>
      <c r="AN237">
        <v>12</v>
      </c>
      <c r="AO237">
        <v>0</v>
      </c>
      <c r="AP237">
        <v>13</v>
      </c>
      <c r="AQ237">
        <v>1</v>
      </c>
      <c r="AR237" t="s">
        <v>64</v>
      </c>
      <c r="AS237" t="s">
        <v>4410</v>
      </c>
      <c r="AT237">
        <v>0</v>
      </c>
      <c r="AU237" t="s">
        <v>65</v>
      </c>
      <c r="AV237">
        <v>25</v>
      </c>
      <c r="AW237">
        <v>1</v>
      </c>
      <c r="AX237" t="s">
        <v>4411</v>
      </c>
      <c r="AY237" t="s">
        <v>4412</v>
      </c>
      <c r="AZ237" t="s">
        <v>4413</v>
      </c>
      <c r="BA237">
        <v>1.291E-2</v>
      </c>
      <c r="BB237">
        <v>1</v>
      </c>
      <c r="BC237" t="s">
        <v>69</v>
      </c>
      <c r="BD237">
        <v>0.62</v>
      </c>
      <c r="BE237">
        <v>0.372</v>
      </c>
    </row>
    <row r="238" spans="1:57">
      <c r="A238">
        <v>0</v>
      </c>
      <c r="B238">
        <v>0</v>
      </c>
      <c r="C238">
        <v>0</v>
      </c>
      <c r="D238">
        <v>2350</v>
      </c>
      <c r="E238" t="s">
        <v>3041</v>
      </c>
      <c r="F238" t="s">
        <v>5762</v>
      </c>
      <c r="G238" t="s">
        <v>62</v>
      </c>
      <c r="H238">
        <v>2364592</v>
      </c>
      <c r="I238">
        <v>2365092</v>
      </c>
      <c r="J238" t="s">
        <v>3042</v>
      </c>
      <c r="K238">
        <v>167</v>
      </c>
      <c r="L238" t="s">
        <v>59</v>
      </c>
      <c r="M238">
        <v>5</v>
      </c>
      <c r="N238" t="str">
        <f>HYPERLINK("Gene2350-zp_tree_all.dnd", "Gene2350-tree")</f>
        <v>Gene2350-tree</v>
      </c>
      <c r="O238">
        <v>5</v>
      </c>
      <c r="P238">
        <v>0</v>
      </c>
      <c r="Q238">
        <v>5</v>
      </c>
      <c r="R238">
        <v>0</v>
      </c>
      <c r="S238">
        <v>0</v>
      </c>
      <c r="T238" t="s">
        <v>98</v>
      </c>
      <c r="U238" t="s">
        <v>62</v>
      </c>
      <c r="V238" t="s">
        <v>62</v>
      </c>
      <c r="W238" t="s">
        <v>62</v>
      </c>
      <c r="X238">
        <v>0</v>
      </c>
      <c r="Y238">
        <v>0</v>
      </c>
      <c r="Z238">
        <v>2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4</v>
      </c>
      <c r="AM238">
        <v>2</v>
      </c>
      <c r="AN238">
        <v>7</v>
      </c>
      <c r="AO238">
        <v>0</v>
      </c>
      <c r="AP238">
        <v>11</v>
      </c>
      <c r="AQ238">
        <v>2</v>
      </c>
      <c r="AR238" t="s">
        <v>64</v>
      </c>
      <c r="AS238" t="s">
        <v>3043</v>
      </c>
      <c r="AT238">
        <v>0.83899999999999997</v>
      </c>
      <c r="AU238" t="s">
        <v>65</v>
      </c>
      <c r="AV238">
        <v>18</v>
      </c>
      <c r="AW238">
        <v>2</v>
      </c>
      <c r="AX238" t="s">
        <v>3044</v>
      </c>
      <c r="AY238" t="s">
        <v>3045</v>
      </c>
      <c r="AZ238" t="s">
        <v>3046</v>
      </c>
      <c r="BA238">
        <v>3.3759999999999998E-2</v>
      </c>
      <c r="BB238">
        <v>1</v>
      </c>
      <c r="BC238" t="s">
        <v>69</v>
      </c>
      <c r="BD238">
        <v>1.036</v>
      </c>
      <c r="BE238">
        <v>1.036</v>
      </c>
    </row>
    <row r="239" spans="1:57">
      <c r="A239">
        <v>0</v>
      </c>
      <c r="B239">
        <v>0</v>
      </c>
      <c r="C239">
        <v>0</v>
      </c>
      <c r="D239">
        <v>3067</v>
      </c>
      <c r="E239" t="s">
        <v>4141</v>
      </c>
      <c r="F239" t="s">
        <v>5762</v>
      </c>
      <c r="G239" t="s">
        <v>62</v>
      </c>
      <c r="H239">
        <v>3017699</v>
      </c>
      <c r="I239">
        <v>3018199</v>
      </c>
      <c r="J239" t="s">
        <v>4142</v>
      </c>
      <c r="K239">
        <v>167</v>
      </c>
      <c r="L239" t="s">
        <v>59</v>
      </c>
      <c r="M239">
        <v>5</v>
      </c>
      <c r="N239" t="str">
        <f>HYPERLINK("Gene3067-zp_tree_all.dnd", "Gene3067-tree")</f>
        <v>Gene3067-tree</v>
      </c>
      <c r="O239">
        <v>4</v>
      </c>
      <c r="P239">
        <v>1</v>
      </c>
      <c r="Q239">
        <v>4</v>
      </c>
      <c r="R239">
        <v>1</v>
      </c>
      <c r="S239">
        <v>0.2</v>
      </c>
      <c r="T239" t="s">
        <v>60</v>
      </c>
      <c r="U239" t="s">
        <v>61</v>
      </c>
      <c r="V239" t="s">
        <v>62</v>
      </c>
      <c r="W239" t="s">
        <v>62</v>
      </c>
      <c r="X239">
        <v>0</v>
      </c>
      <c r="Y239">
        <v>0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1</v>
      </c>
      <c r="AK239">
        <v>0</v>
      </c>
      <c r="AL239">
        <v>3</v>
      </c>
      <c r="AM239">
        <v>1</v>
      </c>
      <c r="AN239">
        <v>4</v>
      </c>
      <c r="AO239">
        <v>1</v>
      </c>
      <c r="AP239">
        <v>14</v>
      </c>
      <c r="AQ239">
        <v>0</v>
      </c>
      <c r="AR239" t="s">
        <v>4143</v>
      </c>
      <c r="AS239" t="s">
        <v>64</v>
      </c>
      <c r="AT239">
        <v>0.60099999999999998</v>
      </c>
      <c r="AU239" t="s">
        <v>65</v>
      </c>
      <c r="AV239">
        <v>18</v>
      </c>
      <c r="AW239">
        <v>1</v>
      </c>
      <c r="AX239" t="s">
        <v>4144</v>
      </c>
      <c r="AY239" t="s">
        <v>4145</v>
      </c>
      <c r="AZ239" t="s">
        <v>4146</v>
      </c>
      <c r="BA239">
        <v>1.133E-2</v>
      </c>
      <c r="BB239">
        <v>1</v>
      </c>
      <c r="BC239" t="s">
        <v>69</v>
      </c>
      <c r="BD239">
        <v>1.036</v>
      </c>
      <c r="BE239">
        <v>1.036</v>
      </c>
    </row>
    <row r="240" spans="1:57">
      <c r="A240">
        <v>0</v>
      </c>
      <c r="B240">
        <v>0</v>
      </c>
      <c r="C240">
        <v>0</v>
      </c>
      <c r="D240">
        <v>1084</v>
      </c>
      <c r="E240" t="s">
        <v>1553</v>
      </c>
      <c r="F240" t="s">
        <v>5762</v>
      </c>
      <c r="G240" t="s">
        <v>57</v>
      </c>
      <c r="H240">
        <v>1122175</v>
      </c>
      <c r="I240">
        <v>1122678</v>
      </c>
      <c r="J240" t="s">
        <v>1554</v>
      </c>
      <c r="K240">
        <v>168</v>
      </c>
      <c r="L240" t="s">
        <v>59</v>
      </c>
      <c r="M240">
        <v>5</v>
      </c>
      <c r="N240" t="str">
        <f>HYPERLINK("Gene1084-zp_tree_all.dnd", "Gene1084-tree")</f>
        <v>Gene1084-tree</v>
      </c>
      <c r="O240">
        <v>3</v>
      </c>
      <c r="P240">
        <v>2</v>
      </c>
      <c r="Q240">
        <v>3</v>
      </c>
      <c r="R240">
        <v>2</v>
      </c>
      <c r="S240">
        <v>0.4</v>
      </c>
      <c r="T240" t="s">
        <v>84</v>
      </c>
      <c r="U240" t="s">
        <v>135</v>
      </c>
      <c r="V240" t="s">
        <v>62</v>
      </c>
      <c r="W240" t="s">
        <v>62</v>
      </c>
      <c r="X240">
        <v>0</v>
      </c>
      <c r="Y240">
        <v>0</v>
      </c>
      <c r="Z240">
        <v>5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2</v>
      </c>
      <c r="AK240">
        <v>0</v>
      </c>
      <c r="AL240">
        <v>4</v>
      </c>
      <c r="AM240">
        <v>1</v>
      </c>
      <c r="AN240">
        <v>19</v>
      </c>
      <c r="AO240">
        <v>3</v>
      </c>
      <c r="AP240">
        <v>12</v>
      </c>
      <c r="AQ240">
        <v>3</v>
      </c>
      <c r="AR240" t="s">
        <v>1555</v>
      </c>
      <c r="AS240" t="s">
        <v>1556</v>
      </c>
      <c r="AT240">
        <v>0.71899999999999997</v>
      </c>
      <c r="AU240" t="s">
        <v>65</v>
      </c>
      <c r="AV240">
        <v>31</v>
      </c>
      <c r="AW240">
        <v>6</v>
      </c>
      <c r="AX240" t="s">
        <v>1557</v>
      </c>
      <c r="AY240" t="s">
        <v>1558</v>
      </c>
      <c r="AZ240" t="s">
        <v>1559</v>
      </c>
      <c r="BA240">
        <v>5.2249999999999998E-2</v>
      </c>
      <c r="BB240">
        <v>1</v>
      </c>
      <c r="BC240" t="s">
        <v>69</v>
      </c>
      <c r="BD240">
        <v>0.17299999999999999</v>
      </c>
      <c r="BE240">
        <v>-6.8000000000000005E-2</v>
      </c>
    </row>
    <row r="241" spans="1:57">
      <c r="A241">
        <v>0</v>
      </c>
      <c r="B241">
        <v>2</v>
      </c>
      <c r="C241">
        <v>2</v>
      </c>
      <c r="D241">
        <v>2952</v>
      </c>
      <c r="E241" t="s">
        <v>3909</v>
      </c>
      <c r="F241" t="s">
        <v>5762</v>
      </c>
      <c r="G241" t="s">
        <v>62</v>
      </c>
      <c r="H241">
        <v>2900023</v>
      </c>
      <c r="I241">
        <v>2900529</v>
      </c>
      <c r="J241" t="s">
        <v>3910</v>
      </c>
      <c r="K241">
        <v>169</v>
      </c>
      <c r="L241" t="s">
        <v>112</v>
      </c>
      <c r="M241">
        <v>4</v>
      </c>
      <c r="N241" t="str">
        <f>HYPERLINK("Gene2952-zp_tree_all.dnd", "Gene2952-tree")</f>
        <v>Gene2952-tree</v>
      </c>
      <c r="O241">
        <v>0</v>
      </c>
      <c r="P241">
        <v>4</v>
      </c>
      <c r="Q241">
        <v>0</v>
      </c>
      <c r="R241">
        <v>4</v>
      </c>
      <c r="S241">
        <v>1</v>
      </c>
      <c r="T241" t="s">
        <v>62</v>
      </c>
      <c r="U241" t="s">
        <v>60</v>
      </c>
      <c r="V241" t="s">
        <v>62</v>
      </c>
      <c r="W241" t="s">
        <v>62</v>
      </c>
      <c r="X241">
        <v>2</v>
      </c>
      <c r="Y241">
        <v>4</v>
      </c>
      <c r="Z241">
        <v>6</v>
      </c>
      <c r="AA241">
        <v>0.4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2</v>
      </c>
      <c r="AH241">
        <v>2</v>
      </c>
      <c r="AI241">
        <v>4</v>
      </c>
      <c r="AJ241">
        <v>6</v>
      </c>
      <c r="AK241">
        <v>0.4</v>
      </c>
      <c r="AL241">
        <v>4</v>
      </c>
      <c r="AM241">
        <v>1</v>
      </c>
      <c r="AN241">
        <v>19</v>
      </c>
      <c r="AO241">
        <v>10</v>
      </c>
      <c r="AP241">
        <v>1</v>
      </c>
      <c r="AQ241">
        <v>0</v>
      </c>
      <c r="AR241" t="s">
        <v>3911</v>
      </c>
      <c r="AS241" t="s">
        <v>64</v>
      </c>
      <c r="AT241">
        <v>1.278</v>
      </c>
      <c r="AU241" t="s">
        <v>65</v>
      </c>
      <c r="AV241">
        <v>20</v>
      </c>
      <c r="AW241">
        <v>10</v>
      </c>
      <c r="AX241" t="s">
        <v>3912</v>
      </c>
      <c r="AY241" t="s">
        <v>3913</v>
      </c>
      <c r="AZ241" t="s">
        <v>3914</v>
      </c>
      <c r="BA241">
        <v>0.13159000000000001</v>
      </c>
      <c r="BB241">
        <v>1</v>
      </c>
      <c r="BC241" t="s">
        <v>69</v>
      </c>
      <c r="BD241">
        <v>-0.64300000000000002</v>
      </c>
      <c r="BE241">
        <v>-0.64300000000000002</v>
      </c>
    </row>
    <row r="242" spans="1:57">
      <c r="A242">
        <v>0</v>
      </c>
      <c r="B242">
        <v>0</v>
      </c>
      <c r="C242">
        <v>0</v>
      </c>
      <c r="D242">
        <v>3820</v>
      </c>
      <c r="E242" t="s">
        <v>5142</v>
      </c>
      <c r="F242" t="s">
        <v>5762</v>
      </c>
      <c r="G242" t="s">
        <v>62</v>
      </c>
      <c r="H242">
        <v>3785948</v>
      </c>
      <c r="I242">
        <v>3786457</v>
      </c>
      <c r="J242" t="s">
        <v>5143</v>
      </c>
      <c r="K242">
        <v>170</v>
      </c>
      <c r="L242" t="s">
        <v>59</v>
      </c>
      <c r="M242">
        <v>5</v>
      </c>
      <c r="N242" t="str">
        <f>HYPERLINK("Gene3820-zp_tree_all.dnd", "Gene3820-tree")</f>
        <v>Gene3820-tree</v>
      </c>
      <c r="O242">
        <v>3</v>
      </c>
      <c r="P242">
        <v>2</v>
      </c>
      <c r="Q242">
        <v>3</v>
      </c>
      <c r="R242">
        <v>2</v>
      </c>
      <c r="S242">
        <v>0.4</v>
      </c>
      <c r="T242" t="s">
        <v>84</v>
      </c>
      <c r="U242" t="s">
        <v>135</v>
      </c>
      <c r="V242" t="s">
        <v>62</v>
      </c>
      <c r="W242" t="s">
        <v>62</v>
      </c>
      <c r="X242">
        <v>0</v>
      </c>
      <c r="Y242">
        <v>0</v>
      </c>
      <c r="Z242">
        <v>2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0</v>
      </c>
      <c r="AH242">
        <v>0</v>
      </c>
      <c r="AI242">
        <v>0</v>
      </c>
      <c r="AJ242">
        <v>1</v>
      </c>
      <c r="AK242">
        <v>0</v>
      </c>
      <c r="AL242">
        <v>2</v>
      </c>
      <c r="AM242">
        <v>2</v>
      </c>
      <c r="AN242">
        <v>2</v>
      </c>
      <c r="AO242">
        <v>1</v>
      </c>
      <c r="AP242">
        <v>1</v>
      </c>
      <c r="AQ242">
        <v>1</v>
      </c>
      <c r="AR242" t="s">
        <v>5144</v>
      </c>
      <c r="AS242" t="s">
        <v>5145</v>
      </c>
      <c r="AT242">
        <v>0.34300000000000003</v>
      </c>
      <c r="AU242" t="s">
        <v>65</v>
      </c>
      <c r="AV242">
        <v>3</v>
      </c>
      <c r="AW242">
        <v>2</v>
      </c>
      <c r="AX242" t="s">
        <v>5146</v>
      </c>
      <c r="AY242" t="s">
        <v>5147</v>
      </c>
      <c r="AZ242" t="s">
        <v>5148</v>
      </c>
      <c r="BA242">
        <v>0.20222999999999999</v>
      </c>
      <c r="BB242">
        <v>0.96899999999999997</v>
      </c>
      <c r="BC242" t="s">
        <v>69</v>
      </c>
      <c r="BD242">
        <v>0</v>
      </c>
      <c r="BE242">
        <v>0</v>
      </c>
    </row>
    <row r="243" spans="1:57">
      <c r="A243">
        <v>0</v>
      </c>
      <c r="B243">
        <v>0</v>
      </c>
      <c r="C243">
        <v>2</v>
      </c>
      <c r="D243">
        <v>2875</v>
      </c>
      <c r="E243" t="s">
        <v>3742</v>
      </c>
      <c r="F243" t="s">
        <v>5762</v>
      </c>
      <c r="G243" t="s">
        <v>62</v>
      </c>
      <c r="H243">
        <v>2822904</v>
      </c>
      <c r="I243">
        <v>2823413</v>
      </c>
      <c r="J243" t="s">
        <v>3743</v>
      </c>
      <c r="K243">
        <v>170</v>
      </c>
      <c r="L243" t="s">
        <v>59</v>
      </c>
      <c r="M243">
        <v>5</v>
      </c>
      <c r="N243" t="str">
        <f>HYPERLINK("Gene2875-zp_tree_all.dnd", "Gene2875-tree")</f>
        <v>Gene2875-tree</v>
      </c>
      <c r="O243">
        <v>2</v>
      </c>
      <c r="P243">
        <v>3</v>
      </c>
      <c r="Q243">
        <v>2</v>
      </c>
      <c r="R243">
        <v>3</v>
      </c>
      <c r="S243">
        <v>0.6</v>
      </c>
      <c r="T243" t="s">
        <v>135</v>
      </c>
      <c r="U243" t="s">
        <v>84</v>
      </c>
      <c r="V243" t="s">
        <v>62</v>
      </c>
      <c r="W243" t="s">
        <v>62</v>
      </c>
      <c r="X243">
        <v>1</v>
      </c>
      <c r="Y243">
        <v>2</v>
      </c>
      <c r="Z243">
        <v>2</v>
      </c>
      <c r="AA243">
        <v>0.5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3</v>
      </c>
      <c r="AK243">
        <v>0</v>
      </c>
      <c r="AL243">
        <v>4</v>
      </c>
      <c r="AM243">
        <v>1</v>
      </c>
      <c r="AN243">
        <v>6</v>
      </c>
      <c r="AO243">
        <v>3</v>
      </c>
      <c r="AP243">
        <v>13</v>
      </c>
      <c r="AQ243">
        <v>1</v>
      </c>
      <c r="AR243" t="s">
        <v>3744</v>
      </c>
      <c r="AS243" t="s">
        <v>3745</v>
      </c>
      <c r="AT243">
        <v>1.9159999999999999</v>
      </c>
      <c r="AU243" t="s">
        <v>65</v>
      </c>
      <c r="AV243">
        <v>19</v>
      </c>
      <c r="AW243">
        <v>4</v>
      </c>
      <c r="AX243" t="s">
        <v>3746</v>
      </c>
      <c r="AY243" t="s">
        <v>3747</v>
      </c>
      <c r="AZ243" t="s">
        <v>3748</v>
      </c>
      <c r="BA243">
        <v>5.1749999999999997E-2</v>
      </c>
      <c r="BB243">
        <v>1</v>
      </c>
      <c r="BC243" t="s">
        <v>69</v>
      </c>
      <c r="BD243">
        <v>0.64600000000000002</v>
      </c>
      <c r="BE243">
        <v>0.64600000000000002</v>
      </c>
    </row>
    <row r="244" spans="1:57">
      <c r="A244">
        <v>0</v>
      </c>
      <c r="B244">
        <v>0</v>
      </c>
      <c r="C244">
        <v>0</v>
      </c>
      <c r="D244">
        <v>615</v>
      </c>
      <c r="E244" t="s">
        <v>1041</v>
      </c>
      <c r="F244" t="s">
        <v>5762</v>
      </c>
      <c r="G244" t="s">
        <v>57</v>
      </c>
      <c r="H244">
        <v>646582</v>
      </c>
      <c r="I244">
        <v>647091</v>
      </c>
      <c r="J244" t="s">
        <v>1042</v>
      </c>
      <c r="K244">
        <v>170</v>
      </c>
      <c r="L244" t="s">
        <v>59</v>
      </c>
      <c r="M244">
        <v>5</v>
      </c>
      <c r="N244" t="str">
        <f>HYPERLINK("Gene615-zp_tree_all.dnd", "Gene615-tree")</f>
        <v>Gene615-tree</v>
      </c>
      <c r="O244">
        <v>3</v>
      </c>
      <c r="P244">
        <v>2</v>
      </c>
      <c r="Q244">
        <v>3</v>
      </c>
      <c r="R244">
        <v>2</v>
      </c>
      <c r="S244">
        <v>0.4</v>
      </c>
      <c r="T244" t="s">
        <v>84</v>
      </c>
      <c r="U244" t="s">
        <v>135</v>
      </c>
      <c r="V244" t="s">
        <v>62</v>
      </c>
      <c r="W244" t="s">
        <v>62</v>
      </c>
      <c r="X244">
        <v>0</v>
      </c>
      <c r="Y244">
        <v>0</v>
      </c>
      <c r="Z244">
        <v>3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3</v>
      </c>
      <c r="AK244">
        <v>0</v>
      </c>
      <c r="AL244">
        <v>5</v>
      </c>
      <c r="AM244">
        <v>2</v>
      </c>
      <c r="AN244">
        <v>23</v>
      </c>
      <c r="AO244">
        <v>3</v>
      </c>
      <c r="AP244">
        <v>4</v>
      </c>
      <c r="AQ244">
        <v>0</v>
      </c>
      <c r="AR244" t="s">
        <v>1043</v>
      </c>
      <c r="AS244" t="s">
        <v>64</v>
      </c>
      <c r="AT244">
        <v>1.0620000000000001</v>
      </c>
      <c r="AU244" t="s">
        <v>65</v>
      </c>
      <c r="AV244">
        <v>27</v>
      </c>
      <c r="AW244">
        <v>3</v>
      </c>
      <c r="AX244" t="s">
        <v>1044</v>
      </c>
      <c r="AY244" t="s">
        <v>1045</v>
      </c>
      <c r="AZ244" t="s">
        <v>1046</v>
      </c>
      <c r="BA244">
        <v>2.8410000000000001E-2</v>
      </c>
      <c r="BB244">
        <v>1</v>
      </c>
      <c r="BC244" t="s">
        <v>69</v>
      </c>
      <c r="BD244">
        <v>-0.68899999999999995</v>
      </c>
      <c r="BE244">
        <v>-0.68899999999999995</v>
      </c>
    </row>
    <row r="245" spans="1:57">
      <c r="A245">
        <v>0</v>
      </c>
      <c r="B245">
        <v>0</v>
      </c>
      <c r="C245">
        <v>0</v>
      </c>
      <c r="D245">
        <v>97</v>
      </c>
      <c r="E245" t="s">
        <v>375</v>
      </c>
      <c r="F245" t="s">
        <v>5762</v>
      </c>
      <c r="G245" t="s">
        <v>57</v>
      </c>
      <c r="H245">
        <v>116025</v>
      </c>
      <c r="I245">
        <v>116534</v>
      </c>
      <c r="J245" t="s">
        <v>376</v>
      </c>
      <c r="K245">
        <v>170</v>
      </c>
      <c r="L245" t="s">
        <v>59</v>
      </c>
      <c r="M245">
        <v>5</v>
      </c>
      <c r="N245" t="str">
        <f>HYPERLINK("Gene97-zp_tree_all.dnd", "Gene97-tree")</f>
        <v>Gene97-tree</v>
      </c>
      <c r="O245">
        <v>5</v>
      </c>
      <c r="P245">
        <v>0</v>
      </c>
      <c r="Q245">
        <v>5</v>
      </c>
      <c r="R245">
        <v>0</v>
      </c>
      <c r="S245">
        <v>0</v>
      </c>
      <c r="T245" t="s">
        <v>98</v>
      </c>
      <c r="U245" t="s">
        <v>62</v>
      </c>
      <c r="V245" t="s">
        <v>62</v>
      </c>
      <c r="W245" t="s">
        <v>62</v>
      </c>
      <c r="X245">
        <v>0</v>
      </c>
      <c r="Y245">
        <v>0</v>
      </c>
      <c r="Z245">
        <v>1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5</v>
      </c>
      <c r="AM245">
        <v>2</v>
      </c>
      <c r="AN245">
        <v>9</v>
      </c>
      <c r="AO245">
        <v>0</v>
      </c>
      <c r="AP245">
        <v>5</v>
      </c>
      <c r="AQ245">
        <v>1</v>
      </c>
      <c r="AR245" t="s">
        <v>64</v>
      </c>
      <c r="AS245" t="s">
        <v>377</v>
      </c>
      <c r="AT245">
        <v>1.034</v>
      </c>
      <c r="AU245" t="s">
        <v>65</v>
      </c>
      <c r="AV245">
        <v>14</v>
      </c>
      <c r="AW245">
        <v>1</v>
      </c>
      <c r="AX245" t="s">
        <v>378</v>
      </c>
      <c r="AY245" t="s">
        <v>379</v>
      </c>
      <c r="AZ245" t="s">
        <v>380</v>
      </c>
      <c r="BA245">
        <v>2.5080000000000002E-2</v>
      </c>
      <c r="BB245">
        <v>1</v>
      </c>
      <c r="BC245" t="s">
        <v>69</v>
      </c>
      <c r="BD245">
        <v>0.30399999999999999</v>
      </c>
      <c r="BE245">
        <v>0.30399999999999999</v>
      </c>
    </row>
    <row r="246" spans="1:57">
      <c r="A246">
        <v>0</v>
      </c>
      <c r="B246">
        <v>0</v>
      </c>
      <c r="C246">
        <v>0</v>
      </c>
      <c r="D246">
        <v>2544</v>
      </c>
      <c r="E246" t="s">
        <v>3366</v>
      </c>
      <c r="F246" t="s">
        <v>5762</v>
      </c>
      <c r="G246" t="s">
        <v>62</v>
      </c>
      <c r="H246">
        <v>2536184</v>
      </c>
      <c r="I246">
        <v>2536696</v>
      </c>
      <c r="J246" t="s">
        <v>3356</v>
      </c>
      <c r="K246">
        <v>171</v>
      </c>
      <c r="L246" t="s">
        <v>112</v>
      </c>
      <c r="M246">
        <v>4</v>
      </c>
      <c r="N246" t="str">
        <f>HYPERLINK("Gene2544-zp_tree_all.dnd", "Gene2544-tree")</f>
        <v>Gene2544-tree</v>
      </c>
      <c r="O246">
        <v>1</v>
      </c>
      <c r="P246">
        <v>3</v>
      </c>
      <c r="Q246">
        <v>1</v>
      </c>
      <c r="R246">
        <v>3</v>
      </c>
      <c r="S246">
        <v>0.75</v>
      </c>
      <c r="T246" t="s">
        <v>61</v>
      </c>
      <c r="U246" t="s">
        <v>84</v>
      </c>
      <c r="V246" t="s">
        <v>62</v>
      </c>
      <c r="W246" t="s">
        <v>62</v>
      </c>
      <c r="X246">
        <v>0</v>
      </c>
      <c r="Y246">
        <v>0</v>
      </c>
      <c r="Z246">
        <v>6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6</v>
      </c>
      <c r="AK246">
        <v>0</v>
      </c>
      <c r="AL246">
        <v>3</v>
      </c>
      <c r="AM246">
        <v>1</v>
      </c>
      <c r="AN246">
        <v>17</v>
      </c>
      <c r="AO246">
        <v>7</v>
      </c>
      <c r="AP246">
        <v>1</v>
      </c>
      <c r="AQ246">
        <v>0</v>
      </c>
      <c r="AR246" t="s">
        <v>3367</v>
      </c>
      <c r="AS246" t="s">
        <v>64</v>
      </c>
      <c r="AT246">
        <v>0.96699999999999997</v>
      </c>
      <c r="AU246" t="s">
        <v>65</v>
      </c>
      <c r="AV246">
        <v>18</v>
      </c>
      <c r="AW246">
        <v>7</v>
      </c>
      <c r="AX246" t="s">
        <v>3368</v>
      </c>
      <c r="AY246" t="s">
        <v>3369</v>
      </c>
      <c r="AZ246" t="s">
        <v>3370</v>
      </c>
      <c r="BA246">
        <v>0.10655000000000001</v>
      </c>
      <c r="BB246">
        <v>1</v>
      </c>
      <c r="BC246" t="s">
        <v>69</v>
      </c>
      <c r="BD246">
        <v>-0.46500000000000002</v>
      </c>
      <c r="BE246">
        <v>-0.85799999999999998</v>
      </c>
    </row>
    <row r="247" spans="1:57">
      <c r="A247">
        <v>0</v>
      </c>
      <c r="B247">
        <v>0</v>
      </c>
      <c r="C247">
        <v>0</v>
      </c>
      <c r="D247">
        <v>1568</v>
      </c>
      <c r="E247" t="s">
        <v>2150</v>
      </c>
      <c r="F247" t="s">
        <v>5762</v>
      </c>
      <c r="G247" t="s">
        <v>57</v>
      </c>
      <c r="H247">
        <v>1575264</v>
      </c>
      <c r="I247">
        <v>1575779</v>
      </c>
      <c r="J247" t="s">
        <v>170</v>
      </c>
      <c r="K247">
        <v>172</v>
      </c>
      <c r="L247" t="s">
        <v>59</v>
      </c>
      <c r="M247">
        <v>5</v>
      </c>
      <c r="N247" t="str">
        <f>HYPERLINK("Gene1568-zp_tree_all.dnd", "Gene1568-tree")</f>
        <v>Gene1568-tree</v>
      </c>
      <c r="O247">
        <v>2</v>
      </c>
      <c r="P247">
        <v>3</v>
      </c>
      <c r="Q247">
        <v>2</v>
      </c>
      <c r="R247">
        <v>3</v>
      </c>
      <c r="S247">
        <v>0.6</v>
      </c>
      <c r="T247" t="s">
        <v>135</v>
      </c>
      <c r="U247" t="s">
        <v>84</v>
      </c>
      <c r="V247" t="s">
        <v>62</v>
      </c>
      <c r="W247" t="s">
        <v>62</v>
      </c>
      <c r="X247">
        <v>0</v>
      </c>
      <c r="Y247">
        <v>0</v>
      </c>
      <c r="Z247">
        <v>5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4</v>
      </c>
      <c r="AK247">
        <v>0</v>
      </c>
      <c r="AL247">
        <v>5</v>
      </c>
      <c r="AM247">
        <v>2</v>
      </c>
      <c r="AN247">
        <v>3</v>
      </c>
      <c r="AO247">
        <v>4</v>
      </c>
      <c r="AP247">
        <v>6</v>
      </c>
      <c r="AQ247">
        <v>1</v>
      </c>
      <c r="AR247" t="s">
        <v>2151</v>
      </c>
      <c r="AS247" t="s">
        <v>2152</v>
      </c>
      <c r="AT247">
        <v>0.73499999999999999</v>
      </c>
      <c r="AU247" t="s">
        <v>65</v>
      </c>
      <c r="AV247">
        <v>9</v>
      </c>
      <c r="AW247">
        <v>5</v>
      </c>
      <c r="AX247" t="s">
        <v>2153</v>
      </c>
      <c r="AY247" t="s">
        <v>2154</v>
      </c>
      <c r="AZ247" t="s">
        <v>2155</v>
      </c>
      <c r="BA247">
        <v>0.11971</v>
      </c>
      <c r="BB247">
        <v>1</v>
      </c>
      <c r="BC247" t="s">
        <v>69</v>
      </c>
      <c r="BD247">
        <v>0.65200000000000002</v>
      </c>
      <c r="BE247">
        <v>0.186</v>
      </c>
    </row>
    <row r="248" spans="1:57">
      <c r="A248">
        <v>0</v>
      </c>
      <c r="B248">
        <v>0</v>
      </c>
      <c r="C248">
        <v>0</v>
      </c>
      <c r="D248">
        <v>1468</v>
      </c>
      <c r="E248" t="s">
        <v>1945</v>
      </c>
      <c r="F248" t="s">
        <v>5762</v>
      </c>
      <c r="G248" t="s">
        <v>57</v>
      </c>
      <c r="H248">
        <v>1484466</v>
      </c>
      <c r="I248">
        <v>1484981</v>
      </c>
      <c r="J248" t="s">
        <v>1946</v>
      </c>
      <c r="K248">
        <v>172</v>
      </c>
      <c r="L248" t="s">
        <v>59</v>
      </c>
      <c r="M248">
        <v>5</v>
      </c>
      <c r="N248" t="str">
        <f>HYPERLINK("Gene1468-zp_tree_all.dnd", "Gene1468-tree")</f>
        <v>Gene1468-tree</v>
      </c>
      <c r="O248">
        <v>4</v>
      </c>
      <c r="P248">
        <v>1</v>
      </c>
      <c r="Q248">
        <v>4</v>
      </c>
      <c r="R248">
        <v>1</v>
      </c>
      <c r="S248">
        <v>0.2</v>
      </c>
      <c r="T248" t="s">
        <v>60</v>
      </c>
      <c r="U248" t="s">
        <v>61</v>
      </c>
      <c r="V248" t="s">
        <v>62</v>
      </c>
      <c r="W248" t="s">
        <v>62</v>
      </c>
      <c r="X248">
        <v>0</v>
      </c>
      <c r="Y248">
        <v>0</v>
      </c>
      <c r="Z248">
        <v>3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1</v>
      </c>
      <c r="AK248">
        <v>0</v>
      </c>
      <c r="AL248">
        <v>4</v>
      </c>
      <c r="AM248">
        <v>1</v>
      </c>
      <c r="AN248">
        <v>9</v>
      </c>
      <c r="AO248">
        <v>1</v>
      </c>
      <c r="AP248">
        <v>10</v>
      </c>
      <c r="AQ248">
        <v>2</v>
      </c>
      <c r="AR248" t="s">
        <v>1947</v>
      </c>
      <c r="AS248" t="s">
        <v>1948</v>
      </c>
      <c r="AT248">
        <v>0.33200000000000002</v>
      </c>
      <c r="AU248" t="s">
        <v>65</v>
      </c>
      <c r="AV248">
        <v>19</v>
      </c>
      <c r="AW248">
        <v>3</v>
      </c>
      <c r="AX248" t="s">
        <v>1949</v>
      </c>
      <c r="AY248" t="s">
        <v>1950</v>
      </c>
      <c r="AZ248" t="s">
        <v>1951</v>
      </c>
      <c r="BA248">
        <v>4.7169999999999997E-2</v>
      </c>
      <c r="BB248">
        <v>1</v>
      </c>
      <c r="BC248" t="s">
        <v>69</v>
      </c>
      <c r="BD248">
        <v>0.60199999999999998</v>
      </c>
      <c r="BE248">
        <v>0.23499999999999999</v>
      </c>
    </row>
    <row r="249" spans="1:57">
      <c r="A249">
        <v>0</v>
      </c>
      <c r="B249">
        <v>0</v>
      </c>
      <c r="C249">
        <v>0</v>
      </c>
      <c r="D249">
        <v>4241</v>
      </c>
      <c r="E249" t="s">
        <v>5697</v>
      </c>
      <c r="F249" t="s">
        <v>5762</v>
      </c>
      <c r="G249" t="s">
        <v>62</v>
      </c>
      <c r="H249">
        <v>4198889</v>
      </c>
      <c r="I249">
        <v>4199404</v>
      </c>
      <c r="J249" t="s">
        <v>5037</v>
      </c>
      <c r="K249">
        <v>172</v>
      </c>
      <c r="L249" t="s">
        <v>59</v>
      </c>
      <c r="M249">
        <v>5</v>
      </c>
      <c r="N249" t="str">
        <f>HYPERLINK("Gene4241-zp_tree_all.dnd", "Gene4241-tree")</f>
        <v>Gene4241-tree</v>
      </c>
      <c r="O249">
        <v>3</v>
      </c>
      <c r="P249">
        <v>1</v>
      </c>
      <c r="Q249">
        <v>3</v>
      </c>
      <c r="R249">
        <v>1</v>
      </c>
      <c r="S249">
        <v>0.25</v>
      </c>
      <c r="T249" t="s">
        <v>84</v>
      </c>
      <c r="U249" t="s">
        <v>61</v>
      </c>
      <c r="V249" t="s">
        <v>62</v>
      </c>
      <c r="W249" t="s">
        <v>62</v>
      </c>
      <c r="X249">
        <v>0</v>
      </c>
      <c r="Y249">
        <v>0</v>
      </c>
      <c r="Z249">
        <v>1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1</v>
      </c>
      <c r="AK249">
        <v>0</v>
      </c>
      <c r="AL249">
        <v>3</v>
      </c>
      <c r="AM249">
        <v>1</v>
      </c>
      <c r="AN249">
        <v>6</v>
      </c>
      <c r="AO249">
        <v>1</v>
      </c>
      <c r="AP249">
        <v>2</v>
      </c>
      <c r="AQ249">
        <v>0</v>
      </c>
      <c r="AR249" t="s">
        <v>5698</v>
      </c>
      <c r="AS249" t="s">
        <v>64</v>
      </c>
      <c r="AT249">
        <v>0.79800000000000004</v>
      </c>
      <c r="AU249" t="s">
        <v>65</v>
      </c>
      <c r="AV249">
        <v>8</v>
      </c>
      <c r="AW249">
        <v>1</v>
      </c>
      <c r="AX249" t="s">
        <v>5699</v>
      </c>
      <c r="AY249" t="s">
        <v>5700</v>
      </c>
      <c r="AZ249" t="s">
        <v>1413</v>
      </c>
      <c r="BA249">
        <v>3.2899999999999999E-2</v>
      </c>
      <c r="BB249">
        <v>1</v>
      </c>
      <c r="BC249" t="s">
        <v>69</v>
      </c>
      <c r="BD249">
        <v>-0.52600000000000002</v>
      </c>
      <c r="BE249">
        <v>-0.52600000000000002</v>
      </c>
    </row>
    <row r="250" spans="1:57">
      <c r="A250">
        <v>0</v>
      </c>
      <c r="B250">
        <v>0</v>
      </c>
      <c r="C250">
        <v>0</v>
      </c>
      <c r="D250">
        <v>2947</v>
      </c>
      <c r="E250" t="s">
        <v>3903</v>
      </c>
      <c r="F250" t="s">
        <v>5762</v>
      </c>
      <c r="G250" t="s">
        <v>62</v>
      </c>
      <c r="H250">
        <v>2894736</v>
      </c>
      <c r="I250">
        <v>2895251</v>
      </c>
      <c r="J250" t="s">
        <v>3904</v>
      </c>
      <c r="K250">
        <v>172</v>
      </c>
      <c r="L250" t="s">
        <v>112</v>
      </c>
      <c r="M250">
        <v>4</v>
      </c>
      <c r="N250" t="str">
        <f>HYPERLINK("Gene2947-zp_tree_all.dnd", "Gene2947-tree")</f>
        <v>Gene2947-tree</v>
      </c>
      <c r="O250">
        <v>2</v>
      </c>
      <c r="P250">
        <v>2</v>
      </c>
      <c r="Q250">
        <v>2</v>
      </c>
      <c r="R250">
        <v>2</v>
      </c>
      <c r="S250">
        <v>0.5</v>
      </c>
      <c r="T250" t="s">
        <v>135</v>
      </c>
      <c r="U250" t="s">
        <v>135</v>
      </c>
      <c r="V250" t="s">
        <v>62</v>
      </c>
      <c r="W250" t="s">
        <v>62</v>
      </c>
      <c r="X250">
        <v>0</v>
      </c>
      <c r="Y250">
        <v>0</v>
      </c>
      <c r="Z250">
        <v>3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3</v>
      </c>
      <c r="AK250">
        <v>0</v>
      </c>
      <c r="AL250">
        <v>4</v>
      </c>
      <c r="AM250">
        <v>1</v>
      </c>
      <c r="AN250">
        <v>24</v>
      </c>
      <c r="AO250">
        <v>3</v>
      </c>
      <c r="AP250">
        <v>3</v>
      </c>
      <c r="AQ250">
        <v>0</v>
      </c>
      <c r="AR250" t="s">
        <v>3905</v>
      </c>
      <c r="AS250" t="s">
        <v>64</v>
      </c>
      <c r="AT250">
        <v>0.82199999999999995</v>
      </c>
      <c r="AU250" t="s">
        <v>65</v>
      </c>
      <c r="AV250">
        <v>27</v>
      </c>
      <c r="AW250">
        <v>3</v>
      </c>
      <c r="AX250" t="s">
        <v>3906</v>
      </c>
      <c r="AY250" t="s">
        <v>3907</v>
      </c>
      <c r="AZ250" t="s">
        <v>3908</v>
      </c>
      <c r="BA250">
        <v>3.2340000000000001E-2</v>
      </c>
      <c r="BB250">
        <v>1</v>
      </c>
      <c r="BC250" t="s">
        <v>69</v>
      </c>
      <c r="BD250">
        <v>-0.29699999999999999</v>
      </c>
      <c r="BE250">
        <v>-0.63500000000000001</v>
      </c>
    </row>
    <row r="251" spans="1:57">
      <c r="A251">
        <v>0</v>
      </c>
      <c r="B251">
        <v>0</v>
      </c>
      <c r="C251">
        <v>0</v>
      </c>
      <c r="D251">
        <v>1353</v>
      </c>
      <c r="E251" t="s">
        <v>1811</v>
      </c>
      <c r="F251" t="s">
        <v>5762</v>
      </c>
      <c r="G251" t="s">
        <v>57</v>
      </c>
      <c r="H251">
        <v>1372035</v>
      </c>
      <c r="I251">
        <v>1372550</v>
      </c>
      <c r="J251" t="s">
        <v>1812</v>
      </c>
      <c r="K251">
        <v>172</v>
      </c>
      <c r="L251" t="s">
        <v>112</v>
      </c>
      <c r="M251">
        <v>4</v>
      </c>
      <c r="N251" t="str">
        <f>HYPERLINK("Gene1353-zp_tree_all.dnd", "Gene1353-tree")</f>
        <v>Gene1353-tree</v>
      </c>
      <c r="O251">
        <v>3</v>
      </c>
      <c r="P251">
        <v>1</v>
      </c>
      <c r="Q251">
        <v>3</v>
      </c>
      <c r="R251">
        <v>1</v>
      </c>
      <c r="S251">
        <v>0.25</v>
      </c>
      <c r="T251" t="s">
        <v>84</v>
      </c>
      <c r="U251" t="s">
        <v>61</v>
      </c>
      <c r="V251" t="s">
        <v>62</v>
      </c>
      <c r="W251" t="s">
        <v>62</v>
      </c>
      <c r="X251">
        <v>0</v>
      </c>
      <c r="Y251">
        <v>0</v>
      </c>
      <c r="Z251">
        <v>2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1</v>
      </c>
      <c r="AK251">
        <v>0</v>
      </c>
      <c r="AL251">
        <v>4</v>
      </c>
      <c r="AM251">
        <v>1</v>
      </c>
      <c r="AN251">
        <v>19</v>
      </c>
      <c r="AO251">
        <v>1</v>
      </c>
      <c r="AP251">
        <v>12</v>
      </c>
      <c r="AQ251">
        <v>1</v>
      </c>
      <c r="AR251" t="s">
        <v>1813</v>
      </c>
      <c r="AS251" t="s">
        <v>1814</v>
      </c>
      <c r="AT251">
        <v>0.30499999999999999</v>
      </c>
      <c r="AU251" t="s">
        <v>65</v>
      </c>
      <c r="AV251">
        <v>31</v>
      </c>
      <c r="AW251">
        <v>2</v>
      </c>
      <c r="AX251" t="s">
        <v>1815</v>
      </c>
      <c r="AY251" t="s">
        <v>1816</v>
      </c>
      <c r="AZ251" t="s">
        <v>1817</v>
      </c>
      <c r="BA251">
        <v>2.044E-2</v>
      </c>
      <c r="BB251">
        <v>1</v>
      </c>
      <c r="BC251" t="s">
        <v>69</v>
      </c>
      <c r="BD251">
        <v>1.5640000000000001</v>
      </c>
      <c r="BE251">
        <v>1.5640000000000001</v>
      </c>
    </row>
    <row r="252" spans="1:57">
      <c r="A252">
        <v>0</v>
      </c>
      <c r="B252">
        <v>0</v>
      </c>
      <c r="C252">
        <v>0</v>
      </c>
      <c r="D252">
        <v>2672</v>
      </c>
      <c r="E252" t="s">
        <v>3604</v>
      </c>
      <c r="F252" t="s">
        <v>5762</v>
      </c>
      <c r="G252" t="s">
        <v>62</v>
      </c>
      <c r="H252">
        <v>2646597</v>
      </c>
      <c r="I252">
        <v>2647112</v>
      </c>
      <c r="J252" t="s">
        <v>3605</v>
      </c>
      <c r="K252">
        <v>172</v>
      </c>
      <c r="L252" t="s">
        <v>59</v>
      </c>
      <c r="M252">
        <v>5</v>
      </c>
      <c r="N252" t="str">
        <f>HYPERLINK("Gene2672-zp_tree_all.dnd", "Gene2672-tree")</f>
        <v>Gene2672-tree</v>
      </c>
      <c r="O252">
        <v>5</v>
      </c>
      <c r="P252">
        <v>0</v>
      </c>
      <c r="Q252">
        <v>5</v>
      </c>
      <c r="R252">
        <v>0</v>
      </c>
      <c r="S252">
        <v>0</v>
      </c>
      <c r="T252" t="s">
        <v>98</v>
      </c>
      <c r="U252" t="s">
        <v>62</v>
      </c>
      <c r="V252" t="s">
        <v>62</v>
      </c>
      <c r="W252" t="s">
        <v>62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4</v>
      </c>
      <c r="AM252">
        <v>1</v>
      </c>
      <c r="AN252">
        <v>13</v>
      </c>
      <c r="AO252">
        <v>0</v>
      </c>
      <c r="AP252">
        <v>12</v>
      </c>
      <c r="AQ252">
        <v>0</v>
      </c>
      <c r="AR252" t="s">
        <v>64</v>
      </c>
      <c r="AS252" t="s">
        <v>64</v>
      </c>
      <c r="AT252">
        <v>0</v>
      </c>
      <c r="AU252" t="s">
        <v>65</v>
      </c>
      <c r="AV252">
        <v>25</v>
      </c>
      <c r="AW252">
        <v>0</v>
      </c>
      <c r="AX252" t="s">
        <v>3606</v>
      </c>
      <c r="AY252" t="s">
        <v>3607</v>
      </c>
      <c r="AZ252" t="s">
        <v>64</v>
      </c>
      <c r="BA252">
        <v>0</v>
      </c>
      <c r="BB252">
        <v>1</v>
      </c>
      <c r="BC252" t="s">
        <v>69</v>
      </c>
      <c r="BD252">
        <v>0.248</v>
      </c>
      <c r="BE252">
        <v>0.248</v>
      </c>
    </row>
    <row r="253" spans="1:57">
      <c r="A253">
        <v>0</v>
      </c>
      <c r="B253">
        <v>0</v>
      </c>
      <c r="C253">
        <v>0</v>
      </c>
      <c r="D253">
        <v>3852</v>
      </c>
      <c r="E253" t="s">
        <v>5228</v>
      </c>
      <c r="F253" t="s">
        <v>5762</v>
      </c>
      <c r="G253" t="s">
        <v>62</v>
      </c>
      <c r="H253">
        <v>3812545</v>
      </c>
      <c r="I253">
        <v>3813063</v>
      </c>
      <c r="J253" t="s">
        <v>5229</v>
      </c>
      <c r="K253">
        <v>173</v>
      </c>
      <c r="L253" t="s">
        <v>112</v>
      </c>
      <c r="M253">
        <v>4</v>
      </c>
      <c r="N253" t="str">
        <f>HYPERLINK("Gene3852-zp_tree_all.dnd", "Gene3852-tree")</f>
        <v>Gene3852-tree</v>
      </c>
      <c r="O253">
        <v>0</v>
      </c>
      <c r="P253">
        <v>4</v>
      </c>
      <c r="Q253">
        <v>0</v>
      </c>
      <c r="R253">
        <v>4</v>
      </c>
      <c r="S253">
        <v>1</v>
      </c>
      <c r="T253" t="s">
        <v>62</v>
      </c>
      <c r="U253" t="s">
        <v>60</v>
      </c>
      <c r="V253" t="s">
        <v>62</v>
      </c>
      <c r="W253" t="s">
        <v>62</v>
      </c>
      <c r="X253">
        <v>0</v>
      </c>
      <c r="Y253">
        <v>0</v>
      </c>
      <c r="Z253">
        <v>9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9</v>
      </c>
      <c r="AK253">
        <v>0</v>
      </c>
      <c r="AL253">
        <v>4</v>
      </c>
      <c r="AM253">
        <v>0</v>
      </c>
      <c r="AN253">
        <v>18</v>
      </c>
      <c r="AO253">
        <v>10</v>
      </c>
      <c r="AP253">
        <v>0</v>
      </c>
      <c r="AQ253">
        <v>0</v>
      </c>
      <c r="AR253" t="s">
        <v>5230</v>
      </c>
      <c r="AS253" t="s">
        <v>64</v>
      </c>
      <c r="AT253">
        <v>0.83</v>
      </c>
      <c r="AU253" t="s">
        <v>65</v>
      </c>
      <c r="AV253">
        <v>18</v>
      </c>
      <c r="AW253">
        <v>10</v>
      </c>
      <c r="AX253" t="s">
        <v>5231</v>
      </c>
      <c r="AY253" t="s">
        <v>5232</v>
      </c>
      <c r="AZ253" t="s">
        <v>5233</v>
      </c>
      <c r="BA253">
        <v>0.12107</v>
      </c>
      <c r="BB253">
        <v>1</v>
      </c>
      <c r="BC253" t="s">
        <v>69</v>
      </c>
      <c r="BD253">
        <v>-0.86</v>
      </c>
      <c r="BE253">
        <v>-0.86</v>
      </c>
    </row>
    <row r="254" spans="1:57">
      <c r="A254">
        <v>0</v>
      </c>
      <c r="B254">
        <v>0</v>
      </c>
      <c r="C254">
        <v>2</v>
      </c>
      <c r="D254">
        <v>2861</v>
      </c>
      <c r="E254" t="s">
        <v>3698</v>
      </c>
      <c r="F254" t="s">
        <v>5762</v>
      </c>
      <c r="G254" t="s">
        <v>62</v>
      </c>
      <c r="H254">
        <v>2805707</v>
      </c>
      <c r="I254">
        <v>2806228</v>
      </c>
      <c r="J254" t="s">
        <v>118</v>
      </c>
      <c r="K254">
        <v>174</v>
      </c>
      <c r="L254" t="s">
        <v>59</v>
      </c>
      <c r="M254">
        <v>5</v>
      </c>
      <c r="N254" t="str">
        <f>HYPERLINK("Gene2861-zp_tree_all.dnd", "Gene2861-tree")</f>
        <v>Gene2861-tree</v>
      </c>
      <c r="O254">
        <v>2</v>
      </c>
      <c r="P254">
        <v>3</v>
      </c>
      <c r="Q254">
        <v>2</v>
      </c>
      <c r="R254">
        <v>3</v>
      </c>
      <c r="S254">
        <v>0.6</v>
      </c>
      <c r="T254" t="s">
        <v>135</v>
      </c>
      <c r="U254" t="s">
        <v>84</v>
      </c>
      <c r="V254" t="s">
        <v>62</v>
      </c>
      <c r="W254" t="s">
        <v>62</v>
      </c>
      <c r="X254">
        <v>1</v>
      </c>
      <c r="Y254">
        <v>2</v>
      </c>
      <c r="Z254">
        <v>9</v>
      </c>
      <c r="AA254">
        <v>0.18182000000000001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5</v>
      </c>
      <c r="AK254">
        <v>0</v>
      </c>
      <c r="AL254">
        <v>5</v>
      </c>
      <c r="AM254">
        <v>2</v>
      </c>
      <c r="AN254">
        <v>12</v>
      </c>
      <c r="AO254">
        <v>5</v>
      </c>
      <c r="AP254">
        <v>14</v>
      </c>
      <c r="AQ254">
        <v>6</v>
      </c>
      <c r="AR254" t="s">
        <v>3699</v>
      </c>
      <c r="AS254" t="s">
        <v>3700</v>
      </c>
      <c r="AT254">
        <v>1.2E-2</v>
      </c>
      <c r="AU254" t="s">
        <v>65</v>
      </c>
      <c r="AV254">
        <v>26</v>
      </c>
      <c r="AW254">
        <v>11</v>
      </c>
      <c r="AX254" t="s">
        <v>3701</v>
      </c>
      <c r="AY254" t="s">
        <v>3702</v>
      </c>
      <c r="AZ254" t="s">
        <v>3703</v>
      </c>
      <c r="BA254">
        <v>0.11801</v>
      </c>
      <c r="BB254">
        <v>1</v>
      </c>
      <c r="BC254" t="s">
        <v>69</v>
      </c>
      <c r="BD254">
        <v>0.68</v>
      </c>
      <c r="BE254">
        <v>0.312</v>
      </c>
    </row>
    <row r="255" spans="1:57">
      <c r="A255">
        <v>0</v>
      </c>
      <c r="B255">
        <v>0</v>
      </c>
      <c r="C255">
        <v>0</v>
      </c>
      <c r="D255">
        <v>901</v>
      </c>
      <c r="E255" t="s">
        <v>1329</v>
      </c>
      <c r="F255" t="s">
        <v>5762</v>
      </c>
      <c r="G255" t="s">
        <v>57</v>
      </c>
      <c r="H255">
        <v>938731</v>
      </c>
      <c r="I255">
        <v>939258</v>
      </c>
      <c r="J255" t="s">
        <v>1330</v>
      </c>
      <c r="K255">
        <v>176</v>
      </c>
      <c r="L255" t="s">
        <v>59</v>
      </c>
      <c r="M255">
        <v>5</v>
      </c>
      <c r="N255" t="str">
        <f>HYPERLINK("Gene901-zp_tree_all.dnd", "Gene901-tree")</f>
        <v>Gene901-tree</v>
      </c>
      <c r="O255">
        <v>5</v>
      </c>
      <c r="P255">
        <v>0</v>
      </c>
      <c r="Q255">
        <v>4</v>
      </c>
      <c r="R255">
        <v>0</v>
      </c>
      <c r="S255">
        <v>0</v>
      </c>
      <c r="T255" t="s">
        <v>150</v>
      </c>
      <c r="U255" t="s">
        <v>62</v>
      </c>
      <c r="V255" t="s">
        <v>62</v>
      </c>
      <c r="W255" t="s">
        <v>62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4</v>
      </c>
      <c r="AM255">
        <v>1</v>
      </c>
      <c r="AN255">
        <v>11</v>
      </c>
      <c r="AO255">
        <v>0</v>
      </c>
      <c r="AP255">
        <v>5</v>
      </c>
      <c r="AQ255">
        <v>0</v>
      </c>
      <c r="AR255" t="s">
        <v>64</v>
      </c>
      <c r="AS255" t="s">
        <v>64</v>
      </c>
      <c r="AT255">
        <v>0</v>
      </c>
      <c r="AU255" t="s">
        <v>65</v>
      </c>
      <c r="AV255">
        <v>16</v>
      </c>
      <c r="AW255">
        <v>0</v>
      </c>
      <c r="AX255" t="s">
        <v>1331</v>
      </c>
      <c r="AY255" t="s">
        <v>1332</v>
      </c>
      <c r="AZ255" t="s">
        <v>64</v>
      </c>
      <c r="BA255">
        <v>0</v>
      </c>
      <c r="BB255">
        <v>1</v>
      </c>
      <c r="BC255" t="s">
        <v>69</v>
      </c>
      <c r="BD255">
        <v>0</v>
      </c>
      <c r="BE255">
        <v>0</v>
      </c>
    </row>
    <row r="256" spans="1:57">
      <c r="A256">
        <v>0</v>
      </c>
      <c r="B256">
        <v>0</v>
      </c>
      <c r="C256">
        <v>0</v>
      </c>
      <c r="D256">
        <v>2977</v>
      </c>
      <c r="E256" t="s">
        <v>3954</v>
      </c>
      <c r="F256" t="s">
        <v>5762</v>
      </c>
      <c r="G256" t="s">
        <v>62</v>
      </c>
      <c r="H256">
        <v>2925103</v>
      </c>
      <c r="I256">
        <v>2925633</v>
      </c>
      <c r="J256" t="s">
        <v>1547</v>
      </c>
      <c r="K256">
        <v>177</v>
      </c>
      <c r="L256" t="s">
        <v>59</v>
      </c>
      <c r="M256">
        <v>5</v>
      </c>
      <c r="N256" t="str">
        <f>HYPERLINK("Gene2977-zp_tree_all.dnd", "Gene2977-tree")</f>
        <v>Gene2977-tree</v>
      </c>
      <c r="O256">
        <v>3</v>
      </c>
      <c r="P256">
        <v>2</v>
      </c>
      <c r="Q256">
        <v>2</v>
      </c>
      <c r="R256">
        <v>2</v>
      </c>
      <c r="S256">
        <v>0.5</v>
      </c>
      <c r="T256" t="s">
        <v>217</v>
      </c>
      <c r="U256" t="s">
        <v>135</v>
      </c>
      <c r="V256" t="s">
        <v>62</v>
      </c>
      <c r="W256" t="s">
        <v>62</v>
      </c>
      <c r="X256">
        <v>0</v>
      </c>
      <c r="Y256">
        <v>0</v>
      </c>
      <c r="Z256">
        <v>5</v>
      </c>
      <c r="AA256">
        <v>0</v>
      </c>
      <c r="AB256">
        <v>0</v>
      </c>
      <c r="AC256">
        <v>0</v>
      </c>
      <c r="AD256">
        <v>0</v>
      </c>
      <c r="AE256">
        <v>3</v>
      </c>
      <c r="AF256">
        <v>0</v>
      </c>
      <c r="AG256">
        <v>0</v>
      </c>
      <c r="AH256">
        <v>0</v>
      </c>
      <c r="AI256">
        <v>0</v>
      </c>
      <c r="AJ256">
        <v>2</v>
      </c>
      <c r="AK256">
        <v>0</v>
      </c>
      <c r="AL256">
        <v>4</v>
      </c>
      <c r="AM256">
        <v>1</v>
      </c>
      <c r="AN256">
        <v>17</v>
      </c>
      <c r="AO256">
        <v>2</v>
      </c>
      <c r="AP256">
        <v>11</v>
      </c>
      <c r="AQ256">
        <v>4</v>
      </c>
      <c r="AR256" t="s">
        <v>3955</v>
      </c>
      <c r="AS256" t="s">
        <v>3956</v>
      </c>
      <c r="AT256">
        <v>2.7650000000000001</v>
      </c>
      <c r="AU256" t="s">
        <v>65</v>
      </c>
      <c r="AV256">
        <v>28</v>
      </c>
      <c r="AW256">
        <v>6</v>
      </c>
      <c r="AX256" t="s">
        <v>3957</v>
      </c>
      <c r="AY256" t="s">
        <v>3958</v>
      </c>
      <c r="AZ256" t="s">
        <v>3959</v>
      </c>
      <c r="BA256">
        <v>7.1870000000000003E-2</v>
      </c>
      <c r="BB256">
        <v>1</v>
      </c>
      <c r="BC256" t="s">
        <v>69</v>
      </c>
      <c r="BD256">
        <v>0.83199999999999996</v>
      </c>
      <c r="BE256">
        <v>0.64300000000000002</v>
      </c>
    </row>
    <row r="257" spans="1:57">
      <c r="A257">
        <v>0</v>
      </c>
      <c r="B257">
        <v>0</v>
      </c>
      <c r="C257">
        <v>0</v>
      </c>
      <c r="D257">
        <v>2260</v>
      </c>
      <c r="E257" t="s">
        <v>2915</v>
      </c>
      <c r="F257" t="s">
        <v>5762</v>
      </c>
      <c r="G257" t="s">
        <v>62</v>
      </c>
      <c r="H257">
        <v>2287532</v>
      </c>
      <c r="I257">
        <v>2288062</v>
      </c>
      <c r="J257" t="s">
        <v>2916</v>
      </c>
      <c r="K257">
        <v>177</v>
      </c>
      <c r="L257" t="s">
        <v>112</v>
      </c>
      <c r="M257">
        <v>4</v>
      </c>
      <c r="N257" t="str">
        <f>HYPERLINK("Gene2260-zp_tree_all.dnd", "Gene2260-tree")</f>
        <v>Gene2260-tree</v>
      </c>
      <c r="O257">
        <v>2</v>
      </c>
      <c r="P257">
        <v>2</v>
      </c>
      <c r="Q257">
        <v>2</v>
      </c>
      <c r="R257">
        <v>2</v>
      </c>
      <c r="S257">
        <v>0.5</v>
      </c>
      <c r="T257" t="s">
        <v>135</v>
      </c>
      <c r="U257" t="s">
        <v>135</v>
      </c>
      <c r="V257" t="s">
        <v>62</v>
      </c>
      <c r="W257" t="s">
        <v>62</v>
      </c>
      <c r="X257">
        <v>0</v>
      </c>
      <c r="Y257">
        <v>0</v>
      </c>
      <c r="Z257">
        <v>2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2</v>
      </c>
      <c r="AK257">
        <v>0</v>
      </c>
      <c r="AL257">
        <v>4</v>
      </c>
      <c r="AM257">
        <v>1</v>
      </c>
      <c r="AN257">
        <v>25</v>
      </c>
      <c r="AO257">
        <v>2</v>
      </c>
      <c r="AP257">
        <v>1</v>
      </c>
      <c r="AQ257">
        <v>0</v>
      </c>
      <c r="AR257" t="s">
        <v>2917</v>
      </c>
      <c r="AS257" t="s">
        <v>64</v>
      </c>
      <c r="AT257">
        <v>0.877</v>
      </c>
      <c r="AU257" t="s">
        <v>65</v>
      </c>
      <c r="AV257">
        <v>26</v>
      </c>
      <c r="AW257">
        <v>2</v>
      </c>
      <c r="AX257" t="s">
        <v>2918</v>
      </c>
      <c r="AY257" t="s">
        <v>2919</v>
      </c>
      <c r="AZ257" t="s">
        <v>2920</v>
      </c>
      <c r="BA257">
        <v>1.9970000000000002E-2</v>
      </c>
      <c r="BB257">
        <v>1</v>
      </c>
      <c r="BC257" t="s">
        <v>69</v>
      </c>
      <c r="BD257">
        <v>-0.375</v>
      </c>
      <c r="BE257">
        <v>-0.73799999999999999</v>
      </c>
    </row>
    <row r="258" spans="1:57">
      <c r="A258">
        <v>0</v>
      </c>
      <c r="B258">
        <v>0</v>
      </c>
      <c r="C258">
        <v>0</v>
      </c>
      <c r="D258">
        <v>101</v>
      </c>
      <c r="E258" t="s">
        <v>391</v>
      </c>
      <c r="F258" t="s">
        <v>5762</v>
      </c>
      <c r="G258" t="s">
        <v>57</v>
      </c>
      <c r="H258">
        <v>117890</v>
      </c>
      <c r="I258">
        <v>118420</v>
      </c>
      <c r="J258" t="s">
        <v>392</v>
      </c>
      <c r="K258">
        <v>177</v>
      </c>
      <c r="L258" t="s">
        <v>59</v>
      </c>
      <c r="M258">
        <v>5</v>
      </c>
      <c r="N258" t="str">
        <f>HYPERLINK("Gene101-zp_tree_all.dnd", "Gene101-tree")</f>
        <v>Gene101-tree</v>
      </c>
      <c r="O258">
        <v>5</v>
      </c>
      <c r="P258">
        <v>0</v>
      </c>
      <c r="Q258">
        <v>5</v>
      </c>
      <c r="R258">
        <v>0</v>
      </c>
      <c r="S258">
        <v>0</v>
      </c>
      <c r="T258" t="s">
        <v>98</v>
      </c>
      <c r="U258" t="s">
        <v>62</v>
      </c>
      <c r="V258" t="s">
        <v>62</v>
      </c>
      <c r="W258" t="s">
        <v>62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4</v>
      </c>
      <c r="AM258">
        <v>2</v>
      </c>
      <c r="AN258">
        <v>11</v>
      </c>
      <c r="AO258">
        <v>0</v>
      </c>
      <c r="AP258">
        <v>17</v>
      </c>
      <c r="AQ258">
        <v>0</v>
      </c>
      <c r="AR258" t="s">
        <v>64</v>
      </c>
      <c r="AS258" t="s">
        <v>64</v>
      </c>
      <c r="AT258">
        <v>0</v>
      </c>
      <c r="AU258" t="s">
        <v>65</v>
      </c>
      <c r="AV258">
        <v>28</v>
      </c>
      <c r="AW258">
        <v>0</v>
      </c>
      <c r="AX258" t="s">
        <v>393</v>
      </c>
      <c r="AY258" t="s">
        <v>394</v>
      </c>
      <c r="AZ258" t="s">
        <v>64</v>
      </c>
      <c r="BA258">
        <v>0</v>
      </c>
      <c r="BB258">
        <v>1</v>
      </c>
      <c r="BC258" t="s">
        <v>69</v>
      </c>
      <c r="BD258">
        <v>0.64400000000000002</v>
      </c>
      <c r="BE258">
        <v>0.64400000000000002</v>
      </c>
    </row>
    <row r="259" spans="1:57">
      <c r="A259">
        <v>0</v>
      </c>
      <c r="B259">
        <v>0</v>
      </c>
      <c r="C259">
        <v>0</v>
      </c>
      <c r="D259">
        <v>2415</v>
      </c>
      <c r="E259" t="s">
        <v>3155</v>
      </c>
      <c r="F259" t="s">
        <v>5762</v>
      </c>
      <c r="G259" t="s">
        <v>62</v>
      </c>
      <c r="H259">
        <v>2424657</v>
      </c>
      <c r="I259">
        <v>2425193</v>
      </c>
      <c r="J259" t="s">
        <v>118</v>
      </c>
      <c r="K259">
        <v>179</v>
      </c>
      <c r="L259" t="s">
        <v>59</v>
      </c>
      <c r="M259">
        <v>5</v>
      </c>
      <c r="N259" t="str">
        <f>HYPERLINK("Gene2415-zp_tree_all.dnd", "Gene2415-tree")</f>
        <v>Gene2415-tree</v>
      </c>
      <c r="O259">
        <v>0</v>
      </c>
      <c r="P259">
        <v>4</v>
      </c>
      <c r="Q259">
        <v>0</v>
      </c>
      <c r="R259">
        <v>4</v>
      </c>
      <c r="S259">
        <v>1</v>
      </c>
      <c r="T259" t="s">
        <v>62</v>
      </c>
      <c r="U259" t="s">
        <v>60</v>
      </c>
      <c r="V259" t="s">
        <v>62</v>
      </c>
      <c r="W259" t="s">
        <v>62</v>
      </c>
      <c r="X259">
        <v>0</v>
      </c>
      <c r="Y259">
        <v>0</v>
      </c>
      <c r="Z259">
        <v>5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5</v>
      </c>
      <c r="AK259">
        <v>0</v>
      </c>
      <c r="AL259">
        <v>3</v>
      </c>
      <c r="AM259">
        <v>1</v>
      </c>
      <c r="AN259">
        <v>8</v>
      </c>
      <c r="AO259">
        <v>3</v>
      </c>
      <c r="AP259">
        <v>7</v>
      </c>
      <c r="AQ259">
        <v>2</v>
      </c>
      <c r="AR259" t="s">
        <v>3156</v>
      </c>
      <c r="AS259" t="s">
        <v>3157</v>
      </c>
      <c r="AT259">
        <v>13.819000000000001</v>
      </c>
      <c r="AU259" t="s">
        <v>286</v>
      </c>
      <c r="AV259">
        <v>15</v>
      </c>
      <c r="AW259">
        <v>5</v>
      </c>
      <c r="AX259" t="s">
        <v>3158</v>
      </c>
      <c r="AY259" t="s">
        <v>3159</v>
      </c>
      <c r="AZ259" t="s">
        <v>3160</v>
      </c>
      <c r="BA259">
        <v>8.702E-2</v>
      </c>
      <c r="BB259">
        <v>1</v>
      </c>
      <c r="BC259" t="s">
        <v>69</v>
      </c>
      <c r="BD259">
        <v>0.154</v>
      </c>
      <c r="BE259">
        <v>0.154</v>
      </c>
    </row>
    <row r="260" spans="1:57">
      <c r="A260">
        <v>0</v>
      </c>
      <c r="B260">
        <v>0</v>
      </c>
      <c r="C260">
        <v>0</v>
      </c>
      <c r="D260">
        <v>131</v>
      </c>
      <c r="E260" t="s">
        <v>514</v>
      </c>
      <c r="F260" t="s">
        <v>5762</v>
      </c>
      <c r="G260" t="s">
        <v>57</v>
      </c>
      <c r="H260">
        <v>142402</v>
      </c>
      <c r="I260">
        <v>142938</v>
      </c>
      <c r="J260" t="s">
        <v>515</v>
      </c>
      <c r="K260">
        <v>179</v>
      </c>
      <c r="L260" t="s">
        <v>59</v>
      </c>
      <c r="M260">
        <v>5</v>
      </c>
      <c r="N260" t="str">
        <f>HYPERLINK("Gene131-zp_tree_all.dnd", "Gene131-tree")</f>
        <v>Gene131-tree</v>
      </c>
      <c r="O260">
        <v>2</v>
      </c>
      <c r="P260">
        <v>2</v>
      </c>
      <c r="Q260">
        <v>2</v>
      </c>
      <c r="R260">
        <v>2</v>
      </c>
      <c r="S260">
        <v>0.5</v>
      </c>
      <c r="T260" t="s">
        <v>135</v>
      </c>
      <c r="U260" t="s">
        <v>135</v>
      </c>
      <c r="V260" t="s">
        <v>62</v>
      </c>
      <c r="W260" t="s">
        <v>62</v>
      </c>
      <c r="X260">
        <v>0</v>
      </c>
      <c r="Y260">
        <v>0</v>
      </c>
      <c r="Z260">
        <v>3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3</v>
      </c>
      <c r="AK260">
        <v>0</v>
      </c>
      <c r="AL260">
        <v>3</v>
      </c>
      <c r="AM260">
        <v>1</v>
      </c>
      <c r="AN260">
        <v>11</v>
      </c>
      <c r="AO260">
        <v>1</v>
      </c>
      <c r="AP260">
        <v>6</v>
      </c>
      <c r="AQ260">
        <v>2</v>
      </c>
      <c r="AR260" t="s">
        <v>516</v>
      </c>
      <c r="AS260" t="s">
        <v>517</v>
      </c>
      <c r="AT260">
        <v>2.0209999999999999</v>
      </c>
      <c r="AU260" t="s">
        <v>65</v>
      </c>
      <c r="AV260">
        <v>17</v>
      </c>
      <c r="AW260">
        <v>3</v>
      </c>
      <c r="AX260" t="s">
        <v>518</v>
      </c>
      <c r="AY260" t="s">
        <v>519</v>
      </c>
      <c r="AZ260" t="s">
        <v>520</v>
      </c>
      <c r="BA260">
        <v>6.028E-2</v>
      </c>
      <c r="BB260">
        <v>1</v>
      </c>
      <c r="BC260" t="s">
        <v>69</v>
      </c>
      <c r="BD260">
        <v>0</v>
      </c>
      <c r="BE260">
        <v>0</v>
      </c>
    </row>
    <row r="261" spans="1:57">
      <c r="A261">
        <v>0</v>
      </c>
      <c r="B261">
        <v>0</v>
      </c>
      <c r="C261">
        <v>0</v>
      </c>
      <c r="D261">
        <v>2410</v>
      </c>
      <c r="E261" t="s">
        <v>3146</v>
      </c>
      <c r="F261" t="s">
        <v>5762</v>
      </c>
      <c r="G261" t="s">
        <v>62</v>
      </c>
      <c r="H261">
        <v>2420807</v>
      </c>
      <c r="I261">
        <v>2421343</v>
      </c>
      <c r="J261" t="s">
        <v>3147</v>
      </c>
      <c r="K261">
        <v>179</v>
      </c>
      <c r="L261" t="s">
        <v>59</v>
      </c>
      <c r="M261">
        <v>5</v>
      </c>
      <c r="N261" t="str">
        <f>HYPERLINK("Gene2410-zp_tree_all.dnd", "Gene2410-tree")</f>
        <v>Gene2410-tree</v>
      </c>
      <c r="O261">
        <v>1</v>
      </c>
      <c r="P261">
        <v>4</v>
      </c>
      <c r="Q261">
        <v>1</v>
      </c>
      <c r="R261">
        <v>3</v>
      </c>
      <c r="S261">
        <v>0.75</v>
      </c>
      <c r="T261" t="s">
        <v>61</v>
      </c>
      <c r="U261" t="s">
        <v>119</v>
      </c>
      <c r="V261">
        <v>5</v>
      </c>
      <c r="W261" t="s">
        <v>286</v>
      </c>
      <c r="X261">
        <v>0</v>
      </c>
      <c r="Y261">
        <v>0</v>
      </c>
      <c r="Z261">
        <v>3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3</v>
      </c>
      <c r="AK261">
        <v>0</v>
      </c>
      <c r="AL261">
        <v>3</v>
      </c>
      <c r="AM261">
        <v>1</v>
      </c>
      <c r="AN261">
        <v>8</v>
      </c>
      <c r="AO261">
        <v>2</v>
      </c>
      <c r="AP261">
        <v>11</v>
      </c>
      <c r="AQ261">
        <v>2</v>
      </c>
      <c r="AR261" t="s">
        <v>3148</v>
      </c>
      <c r="AS261" t="s">
        <v>3149</v>
      </c>
      <c r="AT261">
        <v>0.84</v>
      </c>
      <c r="AU261" t="s">
        <v>65</v>
      </c>
      <c r="AV261">
        <v>19</v>
      </c>
      <c r="AW261">
        <v>4</v>
      </c>
      <c r="AX261" t="s">
        <v>3150</v>
      </c>
      <c r="AY261" t="s">
        <v>3151</v>
      </c>
      <c r="AZ261" t="s">
        <v>3152</v>
      </c>
      <c r="BA261">
        <v>5.7079999999999999E-2</v>
      </c>
      <c r="BB261">
        <v>1</v>
      </c>
      <c r="BC261" t="s">
        <v>69</v>
      </c>
      <c r="BD261">
        <v>0.73</v>
      </c>
      <c r="BE261">
        <v>0.73</v>
      </c>
    </row>
    <row r="262" spans="1:57">
      <c r="A262">
        <v>0</v>
      </c>
      <c r="B262">
        <v>0</v>
      </c>
      <c r="C262">
        <v>0</v>
      </c>
      <c r="D262">
        <v>68</v>
      </c>
      <c r="E262" t="s">
        <v>256</v>
      </c>
      <c r="F262" t="s">
        <v>5762</v>
      </c>
      <c r="G262" t="s">
        <v>57</v>
      </c>
      <c r="H262">
        <v>76344</v>
      </c>
      <c r="I262">
        <v>76883</v>
      </c>
      <c r="J262" t="s">
        <v>257</v>
      </c>
      <c r="K262">
        <v>180</v>
      </c>
      <c r="L262" t="s">
        <v>59</v>
      </c>
      <c r="M262">
        <v>5</v>
      </c>
      <c r="N262" t="str">
        <f>HYPERLINK("Gene68-zp_tree_all.dnd", "Gene68-tree")</f>
        <v>Gene68-tree</v>
      </c>
      <c r="O262">
        <v>4</v>
      </c>
      <c r="P262">
        <v>1</v>
      </c>
      <c r="Q262">
        <v>3</v>
      </c>
      <c r="R262">
        <v>1</v>
      </c>
      <c r="S262">
        <v>0.25</v>
      </c>
      <c r="T262" t="s">
        <v>119</v>
      </c>
      <c r="U262" t="s">
        <v>61</v>
      </c>
      <c r="V262" t="s">
        <v>62</v>
      </c>
      <c r="W262" t="s">
        <v>62</v>
      </c>
      <c r="X262">
        <v>0</v>
      </c>
      <c r="Y262">
        <v>0</v>
      </c>
      <c r="Z262">
        <v>2</v>
      </c>
      <c r="AA262">
        <v>0</v>
      </c>
      <c r="AB262">
        <v>0</v>
      </c>
      <c r="AC262">
        <v>0</v>
      </c>
      <c r="AD262">
        <v>0</v>
      </c>
      <c r="AE262">
        <v>1</v>
      </c>
      <c r="AF262">
        <v>0</v>
      </c>
      <c r="AG262">
        <v>0</v>
      </c>
      <c r="AH262">
        <v>0</v>
      </c>
      <c r="AI262">
        <v>0</v>
      </c>
      <c r="AJ262">
        <v>1</v>
      </c>
      <c r="AK262">
        <v>0</v>
      </c>
      <c r="AL262">
        <v>3</v>
      </c>
      <c r="AM262">
        <v>1</v>
      </c>
      <c r="AN262">
        <v>3</v>
      </c>
      <c r="AO262">
        <v>1</v>
      </c>
      <c r="AP262">
        <v>5</v>
      </c>
      <c r="AQ262">
        <v>1</v>
      </c>
      <c r="AR262" t="s">
        <v>258</v>
      </c>
      <c r="AS262" t="s">
        <v>259</v>
      </c>
      <c r="AT262">
        <v>0.26700000000000002</v>
      </c>
      <c r="AU262" t="s">
        <v>65</v>
      </c>
      <c r="AV262">
        <v>8</v>
      </c>
      <c r="AW262">
        <v>2</v>
      </c>
      <c r="AX262" t="s">
        <v>260</v>
      </c>
      <c r="AY262" t="s">
        <v>261</v>
      </c>
      <c r="AZ262" t="s">
        <v>262</v>
      </c>
      <c r="BA262">
        <v>6.8210000000000007E-2</v>
      </c>
      <c r="BB262">
        <v>1</v>
      </c>
      <c r="BC262" t="s">
        <v>69</v>
      </c>
      <c r="BD262">
        <v>0.59599999999999997</v>
      </c>
      <c r="BE262">
        <v>0.59599999999999997</v>
      </c>
    </row>
    <row r="263" spans="1:57">
      <c r="A263">
        <v>0</v>
      </c>
      <c r="B263">
        <v>0</v>
      </c>
      <c r="C263">
        <v>0</v>
      </c>
      <c r="D263">
        <v>3819</v>
      </c>
      <c r="E263" t="s">
        <v>5135</v>
      </c>
      <c r="F263" t="s">
        <v>5762</v>
      </c>
      <c r="G263" t="s">
        <v>62</v>
      </c>
      <c r="H263">
        <v>3785406</v>
      </c>
      <c r="I263">
        <v>3785948</v>
      </c>
      <c r="J263" t="s">
        <v>5136</v>
      </c>
      <c r="K263">
        <v>181</v>
      </c>
      <c r="L263" t="s">
        <v>59</v>
      </c>
      <c r="M263">
        <v>5</v>
      </c>
      <c r="N263" t="str">
        <f>HYPERLINK("Gene3819-zp_tree_all.dnd", "Gene3819-tree")</f>
        <v>Gene3819-tree</v>
      </c>
      <c r="O263">
        <v>1</v>
      </c>
      <c r="P263">
        <v>4</v>
      </c>
      <c r="Q263">
        <v>1</v>
      </c>
      <c r="R263">
        <v>4</v>
      </c>
      <c r="S263">
        <v>0.8</v>
      </c>
      <c r="T263" t="s">
        <v>61</v>
      </c>
      <c r="U263" t="s">
        <v>60</v>
      </c>
      <c r="V263" t="s">
        <v>62</v>
      </c>
      <c r="W263" t="s">
        <v>62</v>
      </c>
      <c r="X263">
        <v>0</v>
      </c>
      <c r="Y263">
        <v>0</v>
      </c>
      <c r="Z263">
        <v>10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6</v>
      </c>
      <c r="AK263">
        <v>0</v>
      </c>
      <c r="AL263">
        <v>5</v>
      </c>
      <c r="AM263">
        <v>2</v>
      </c>
      <c r="AN263">
        <v>14</v>
      </c>
      <c r="AO263">
        <v>6</v>
      </c>
      <c r="AP263">
        <v>10</v>
      </c>
      <c r="AQ263">
        <v>4</v>
      </c>
      <c r="AR263" t="s">
        <v>5137</v>
      </c>
      <c r="AS263" t="s">
        <v>5138</v>
      </c>
      <c r="AT263">
        <v>8.1000000000000003E-2</v>
      </c>
      <c r="AU263" t="s">
        <v>65</v>
      </c>
      <c r="AV263">
        <v>24</v>
      </c>
      <c r="AW263">
        <v>10</v>
      </c>
      <c r="AX263" t="s">
        <v>5139</v>
      </c>
      <c r="AY263" t="s">
        <v>5140</v>
      </c>
      <c r="AZ263" t="s">
        <v>5141</v>
      </c>
      <c r="BA263">
        <v>0.12132</v>
      </c>
      <c r="BB263">
        <v>1</v>
      </c>
      <c r="BC263" t="s">
        <v>69</v>
      </c>
      <c r="BD263">
        <v>0.218</v>
      </c>
      <c r="BE263">
        <v>-1.9E-2</v>
      </c>
    </row>
    <row r="264" spans="1:57">
      <c r="A264">
        <v>0</v>
      </c>
      <c r="B264">
        <v>0</v>
      </c>
      <c r="C264">
        <v>0</v>
      </c>
      <c r="D264">
        <v>1676</v>
      </c>
      <c r="E264" t="s">
        <v>2437</v>
      </c>
      <c r="F264" t="s">
        <v>5762</v>
      </c>
      <c r="G264" t="s">
        <v>57</v>
      </c>
      <c r="H264">
        <v>1688114</v>
      </c>
      <c r="I264">
        <v>1688656</v>
      </c>
      <c r="J264" t="s">
        <v>2438</v>
      </c>
      <c r="K264">
        <v>181</v>
      </c>
      <c r="L264" t="s">
        <v>59</v>
      </c>
      <c r="M264">
        <v>5</v>
      </c>
      <c r="N264" t="str">
        <f>HYPERLINK("Gene1676-zp_tree_all.dnd", "Gene1676-tree")</f>
        <v>Gene1676-tree</v>
      </c>
      <c r="O264">
        <v>4</v>
      </c>
      <c r="P264">
        <v>1</v>
      </c>
      <c r="Q264">
        <v>4</v>
      </c>
      <c r="R264">
        <v>1</v>
      </c>
      <c r="S264">
        <v>0.2</v>
      </c>
      <c r="T264" t="s">
        <v>60</v>
      </c>
      <c r="U264" t="s">
        <v>61</v>
      </c>
      <c r="V264" t="s">
        <v>62</v>
      </c>
      <c r="W264" t="s">
        <v>62</v>
      </c>
      <c r="X264">
        <v>0</v>
      </c>
      <c r="Y264">
        <v>0</v>
      </c>
      <c r="Z264">
        <v>1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1</v>
      </c>
      <c r="AK264">
        <v>0</v>
      </c>
      <c r="AL264">
        <v>3</v>
      </c>
      <c r="AM264">
        <v>2</v>
      </c>
      <c r="AN264">
        <v>9</v>
      </c>
      <c r="AO264">
        <v>1</v>
      </c>
      <c r="AP264">
        <v>20</v>
      </c>
      <c r="AQ264">
        <v>0</v>
      </c>
      <c r="AR264" t="s">
        <v>2439</v>
      </c>
      <c r="AS264" t="s">
        <v>64</v>
      </c>
      <c r="AT264">
        <v>0.83399999999999996</v>
      </c>
      <c r="AU264" t="s">
        <v>65</v>
      </c>
      <c r="AV264">
        <v>29</v>
      </c>
      <c r="AW264">
        <v>1</v>
      </c>
      <c r="AX264" t="s">
        <v>2440</v>
      </c>
      <c r="AY264" t="s">
        <v>2441</v>
      </c>
      <c r="AZ264" t="s">
        <v>2442</v>
      </c>
      <c r="BA264">
        <v>7.1999999999999998E-3</v>
      </c>
      <c r="BB264">
        <v>1</v>
      </c>
      <c r="BC264" t="s">
        <v>69</v>
      </c>
      <c r="BD264">
        <v>1.089</v>
      </c>
      <c r="BE264">
        <v>0.86599999999999999</v>
      </c>
    </row>
    <row r="265" spans="1:57">
      <c r="A265">
        <v>0</v>
      </c>
      <c r="B265">
        <v>0</v>
      </c>
      <c r="C265">
        <v>0</v>
      </c>
      <c r="D265">
        <v>3295</v>
      </c>
      <c r="E265" t="s">
        <v>4482</v>
      </c>
      <c r="F265" t="s">
        <v>5762</v>
      </c>
      <c r="G265" t="s">
        <v>62</v>
      </c>
      <c r="H265">
        <v>3260894</v>
      </c>
      <c r="I265">
        <v>3261442</v>
      </c>
      <c r="J265" t="s">
        <v>4483</v>
      </c>
      <c r="K265">
        <v>183</v>
      </c>
      <c r="L265" t="s">
        <v>59</v>
      </c>
      <c r="M265">
        <v>5</v>
      </c>
      <c r="N265" t="str">
        <f>HYPERLINK("Gene3295-zp_tree_all.dnd", "Gene3295-tree")</f>
        <v>Gene3295-tree</v>
      </c>
      <c r="O265">
        <v>2</v>
      </c>
      <c r="P265">
        <v>3</v>
      </c>
      <c r="Q265">
        <v>2</v>
      </c>
      <c r="R265">
        <v>3</v>
      </c>
      <c r="S265">
        <v>0.6</v>
      </c>
      <c r="T265" t="s">
        <v>135</v>
      </c>
      <c r="U265" t="s">
        <v>84</v>
      </c>
      <c r="V265" t="s">
        <v>62</v>
      </c>
      <c r="W265" t="s">
        <v>62</v>
      </c>
      <c r="X265">
        <v>0</v>
      </c>
      <c r="Y265">
        <v>0</v>
      </c>
      <c r="Z265">
        <v>6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3</v>
      </c>
      <c r="AK265">
        <v>0</v>
      </c>
      <c r="AL265">
        <v>5</v>
      </c>
      <c r="AM265">
        <v>2</v>
      </c>
      <c r="AN265">
        <v>8</v>
      </c>
      <c r="AO265">
        <v>3</v>
      </c>
      <c r="AP265">
        <v>8</v>
      </c>
      <c r="AQ265">
        <v>3</v>
      </c>
      <c r="AR265" t="s">
        <v>4484</v>
      </c>
      <c r="AS265" t="s">
        <v>4485</v>
      </c>
      <c r="AT265">
        <v>0.01</v>
      </c>
      <c r="AU265" t="s">
        <v>65</v>
      </c>
      <c r="AV265">
        <v>16</v>
      </c>
      <c r="AW265">
        <v>6</v>
      </c>
      <c r="AX265" t="s">
        <v>4486</v>
      </c>
      <c r="AY265" t="s">
        <v>4487</v>
      </c>
      <c r="AZ265" t="s">
        <v>4488</v>
      </c>
      <c r="BA265">
        <v>0.10954999999999999</v>
      </c>
      <c r="BB265">
        <v>1</v>
      </c>
      <c r="BC265" t="s">
        <v>69</v>
      </c>
      <c r="BD265">
        <v>0.69299999999999995</v>
      </c>
      <c r="BE265">
        <v>0.308</v>
      </c>
    </row>
    <row r="266" spans="1:57">
      <c r="A266">
        <v>0</v>
      </c>
      <c r="B266">
        <v>2</v>
      </c>
      <c r="C266">
        <v>2</v>
      </c>
      <c r="D266">
        <v>1561</v>
      </c>
      <c r="E266" t="s">
        <v>2124</v>
      </c>
      <c r="F266" t="s">
        <v>5762</v>
      </c>
      <c r="G266" t="s">
        <v>57</v>
      </c>
      <c r="H266">
        <v>1569519</v>
      </c>
      <c r="I266">
        <v>1570070</v>
      </c>
      <c r="J266" t="s">
        <v>2125</v>
      </c>
      <c r="K266">
        <v>184</v>
      </c>
      <c r="L266" t="s">
        <v>59</v>
      </c>
      <c r="M266">
        <v>5</v>
      </c>
      <c r="N266" t="str">
        <f>HYPERLINK("Gene1561-zp_tree_all.dnd", "Gene1561-tree")</f>
        <v>Gene1561-tree</v>
      </c>
      <c r="O266">
        <v>0</v>
      </c>
      <c r="P266">
        <v>5</v>
      </c>
      <c r="Q266">
        <v>0</v>
      </c>
      <c r="R266">
        <v>5</v>
      </c>
      <c r="S266">
        <v>1</v>
      </c>
      <c r="T266" t="s">
        <v>62</v>
      </c>
      <c r="U266" t="s">
        <v>98</v>
      </c>
      <c r="V266" t="s">
        <v>62</v>
      </c>
      <c r="W266" t="s">
        <v>62</v>
      </c>
      <c r="X266">
        <v>2</v>
      </c>
      <c r="Y266">
        <v>4</v>
      </c>
      <c r="Z266">
        <v>8</v>
      </c>
      <c r="AA266">
        <v>0.33333000000000002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2</v>
      </c>
      <c r="AH266">
        <v>2</v>
      </c>
      <c r="AI266">
        <v>4</v>
      </c>
      <c r="AJ266">
        <v>8</v>
      </c>
      <c r="AK266">
        <v>0.33333000000000002</v>
      </c>
      <c r="AL266">
        <v>5</v>
      </c>
      <c r="AM266">
        <v>2</v>
      </c>
      <c r="AN266">
        <v>16</v>
      </c>
      <c r="AO266">
        <v>12</v>
      </c>
      <c r="AP266">
        <v>17</v>
      </c>
      <c r="AQ266">
        <v>1</v>
      </c>
      <c r="AR266" t="s">
        <v>2126</v>
      </c>
      <c r="AS266" t="s">
        <v>2127</v>
      </c>
      <c r="AT266">
        <v>3.0710000000000002</v>
      </c>
      <c r="AU266" t="s">
        <v>286</v>
      </c>
      <c r="AV266">
        <v>33</v>
      </c>
      <c r="AW266">
        <v>13</v>
      </c>
      <c r="AX266" t="s">
        <v>2128</v>
      </c>
      <c r="AY266" t="s">
        <v>2129</v>
      </c>
      <c r="AZ266" t="s">
        <v>2130</v>
      </c>
      <c r="BA266">
        <v>9.2259999999999995E-2</v>
      </c>
      <c r="BB266">
        <v>1</v>
      </c>
      <c r="BC266" t="s">
        <v>69</v>
      </c>
      <c r="BD266">
        <v>0.46600000000000003</v>
      </c>
      <c r="BE266">
        <v>-0.107</v>
      </c>
    </row>
    <row r="267" spans="1:57">
      <c r="A267">
        <v>0</v>
      </c>
      <c r="B267">
        <v>0</v>
      </c>
      <c r="C267">
        <v>0</v>
      </c>
      <c r="D267">
        <v>674</v>
      </c>
      <c r="E267" t="s">
        <v>1087</v>
      </c>
      <c r="F267" t="s">
        <v>5762</v>
      </c>
      <c r="G267" t="s">
        <v>57</v>
      </c>
      <c r="H267">
        <v>697538</v>
      </c>
      <c r="I267">
        <v>698089</v>
      </c>
      <c r="J267" t="s">
        <v>170</v>
      </c>
      <c r="K267">
        <v>184</v>
      </c>
      <c r="L267" t="s">
        <v>59</v>
      </c>
      <c r="M267">
        <v>5</v>
      </c>
      <c r="N267" t="str">
        <f>HYPERLINK("Gene674-zp_tree_all.dnd", "Gene674-tree")</f>
        <v>Gene674-tree</v>
      </c>
      <c r="O267">
        <v>2</v>
      </c>
      <c r="P267">
        <v>3</v>
      </c>
      <c r="Q267">
        <v>2</v>
      </c>
      <c r="R267">
        <v>3</v>
      </c>
      <c r="S267">
        <v>0.6</v>
      </c>
      <c r="T267" t="s">
        <v>135</v>
      </c>
      <c r="U267" t="s">
        <v>84</v>
      </c>
      <c r="V267" t="s">
        <v>62</v>
      </c>
      <c r="W267" t="s">
        <v>62</v>
      </c>
      <c r="X267">
        <v>0</v>
      </c>
      <c r="Y267">
        <v>0</v>
      </c>
      <c r="Z267">
        <v>5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3</v>
      </c>
      <c r="AK267">
        <v>0</v>
      </c>
      <c r="AL267">
        <v>4</v>
      </c>
      <c r="AM267">
        <v>2</v>
      </c>
      <c r="AN267">
        <v>22</v>
      </c>
      <c r="AO267">
        <v>3</v>
      </c>
      <c r="AP267">
        <v>8</v>
      </c>
      <c r="AQ267">
        <v>2</v>
      </c>
      <c r="AR267" t="s">
        <v>1088</v>
      </c>
      <c r="AS267" t="s">
        <v>1089</v>
      </c>
      <c r="AT267">
        <v>0.60099999999999998</v>
      </c>
      <c r="AU267" t="s">
        <v>65</v>
      </c>
      <c r="AV267">
        <v>30</v>
      </c>
      <c r="AW267">
        <v>5</v>
      </c>
      <c r="AX267" t="s">
        <v>1090</v>
      </c>
      <c r="AY267" t="s">
        <v>1091</v>
      </c>
      <c r="AZ267" t="s">
        <v>1092</v>
      </c>
      <c r="BA267">
        <v>5.5030000000000003E-2</v>
      </c>
      <c r="BB267">
        <v>1</v>
      </c>
      <c r="BC267" t="s">
        <v>69</v>
      </c>
      <c r="BD267">
        <v>-0.20799999999999999</v>
      </c>
      <c r="BE267">
        <v>-0.20799999999999999</v>
      </c>
    </row>
    <row r="268" spans="1:57">
      <c r="A268">
        <v>0</v>
      </c>
      <c r="B268">
        <v>0</v>
      </c>
      <c r="C268">
        <v>0</v>
      </c>
      <c r="D268">
        <v>1714</v>
      </c>
      <c r="E268" t="s">
        <v>2548</v>
      </c>
      <c r="F268" t="s">
        <v>5762</v>
      </c>
      <c r="G268" t="s">
        <v>57</v>
      </c>
      <c r="H268">
        <v>1720526</v>
      </c>
      <c r="I268">
        <v>1721080</v>
      </c>
      <c r="J268" t="s">
        <v>2549</v>
      </c>
      <c r="K268">
        <v>185</v>
      </c>
      <c r="L268" t="s">
        <v>59</v>
      </c>
      <c r="M268">
        <v>5</v>
      </c>
      <c r="N268" t="str">
        <f>HYPERLINK("Gene1714-zp_tree_all.dnd", "Gene1714-tree")</f>
        <v>Gene1714-tree</v>
      </c>
      <c r="O268">
        <v>4</v>
      </c>
      <c r="P268">
        <v>1</v>
      </c>
      <c r="Q268">
        <v>4</v>
      </c>
      <c r="R268">
        <v>1</v>
      </c>
      <c r="S268">
        <v>0.2</v>
      </c>
      <c r="T268" t="s">
        <v>60</v>
      </c>
      <c r="U268" t="s">
        <v>61</v>
      </c>
      <c r="V268" t="s">
        <v>62</v>
      </c>
      <c r="W268" t="s">
        <v>62</v>
      </c>
      <c r="X268">
        <v>0</v>
      </c>
      <c r="Y268">
        <v>0</v>
      </c>
      <c r="Z268">
        <v>5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1</v>
      </c>
      <c r="AK268">
        <v>0</v>
      </c>
      <c r="AL268">
        <v>5</v>
      </c>
      <c r="AM268">
        <v>1</v>
      </c>
      <c r="AN268">
        <v>14</v>
      </c>
      <c r="AO268">
        <v>1</v>
      </c>
      <c r="AP268">
        <v>15</v>
      </c>
      <c r="AQ268">
        <v>4</v>
      </c>
      <c r="AR268" t="s">
        <v>2550</v>
      </c>
      <c r="AS268" t="s">
        <v>2551</v>
      </c>
      <c r="AT268">
        <v>1.345</v>
      </c>
      <c r="AU268" t="s">
        <v>65</v>
      </c>
      <c r="AV268">
        <v>29</v>
      </c>
      <c r="AW268">
        <v>5</v>
      </c>
      <c r="AX268" t="s">
        <v>2552</v>
      </c>
      <c r="AY268" t="s">
        <v>2553</v>
      </c>
      <c r="AZ268" t="s">
        <v>2554</v>
      </c>
      <c r="BA268">
        <v>5.3780000000000001E-2</v>
      </c>
      <c r="BB268">
        <v>1</v>
      </c>
      <c r="BC268" t="s">
        <v>69</v>
      </c>
      <c r="BD268">
        <v>0.59599999999999997</v>
      </c>
      <c r="BE268">
        <v>0.35899999999999999</v>
      </c>
    </row>
    <row r="269" spans="1:57">
      <c r="A269">
        <v>0</v>
      </c>
      <c r="B269">
        <v>0</v>
      </c>
      <c r="C269">
        <v>0</v>
      </c>
      <c r="D269">
        <v>3270</v>
      </c>
      <c r="E269" t="s">
        <v>4440</v>
      </c>
      <c r="F269" t="s">
        <v>5762</v>
      </c>
      <c r="G269" t="s">
        <v>62</v>
      </c>
      <c r="H269">
        <v>3236425</v>
      </c>
      <c r="I269">
        <v>3236979</v>
      </c>
      <c r="J269" t="s">
        <v>1547</v>
      </c>
      <c r="K269">
        <v>185</v>
      </c>
      <c r="L269" t="s">
        <v>59</v>
      </c>
      <c r="M269">
        <v>5</v>
      </c>
      <c r="N269" t="str">
        <f>HYPERLINK("Gene3270-zp_tree_all.dnd", "Gene3270-tree")</f>
        <v>Gene3270-tree</v>
      </c>
      <c r="O269">
        <v>4</v>
      </c>
      <c r="P269">
        <v>1</v>
      </c>
      <c r="Q269">
        <v>4</v>
      </c>
      <c r="R269">
        <v>1</v>
      </c>
      <c r="S269">
        <v>0.2</v>
      </c>
      <c r="T269" t="s">
        <v>60</v>
      </c>
      <c r="U269" t="s">
        <v>61</v>
      </c>
      <c r="V269" t="s">
        <v>62</v>
      </c>
      <c r="W269" t="s">
        <v>62</v>
      </c>
      <c r="X269">
        <v>0</v>
      </c>
      <c r="Y269">
        <v>0</v>
      </c>
      <c r="Z269">
        <v>3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1</v>
      </c>
      <c r="AK269">
        <v>0</v>
      </c>
      <c r="AL269">
        <v>5</v>
      </c>
      <c r="AM269">
        <v>2</v>
      </c>
      <c r="AN269">
        <v>6</v>
      </c>
      <c r="AO269">
        <v>1</v>
      </c>
      <c r="AP269">
        <v>13</v>
      </c>
      <c r="AQ269">
        <v>2</v>
      </c>
      <c r="AR269" t="s">
        <v>4441</v>
      </c>
      <c r="AS269" t="s">
        <v>4442</v>
      </c>
      <c r="AT269">
        <v>5.3999999999999999E-2</v>
      </c>
      <c r="AU269" t="s">
        <v>65</v>
      </c>
      <c r="AV269">
        <v>19</v>
      </c>
      <c r="AW269">
        <v>3</v>
      </c>
      <c r="AX269" t="s">
        <v>4443</v>
      </c>
      <c r="AY269" t="s">
        <v>4444</v>
      </c>
      <c r="AZ269" t="s">
        <v>4445</v>
      </c>
      <c r="BA269">
        <v>4.7870000000000003E-2</v>
      </c>
      <c r="BB269">
        <v>1</v>
      </c>
      <c r="BC269" t="s">
        <v>69</v>
      </c>
      <c r="BD269">
        <v>0.871</v>
      </c>
      <c r="BE269">
        <v>0.871</v>
      </c>
    </row>
    <row r="270" spans="1:57">
      <c r="A270">
        <v>0</v>
      </c>
      <c r="B270">
        <v>0</v>
      </c>
      <c r="C270">
        <v>0</v>
      </c>
      <c r="D270">
        <v>84</v>
      </c>
      <c r="E270" t="s">
        <v>315</v>
      </c>
      <c r="F270" t="s">
        <v>5762</v>
      </c>
      <c r="G270" t="s">
        <v>57</v>
      </c>
      <c r="H270">
        <v>101927</v>
      </c>
      <c r="I270">
        <v>102481</v>
      </c>
      <c r="J270" t="s">
        <v>316</v>
      </c>
      <c r="K270">
        <v>185</v>
      </c>
      <c r="L270" t="s">
        <v>59</v>
      </c>
      <c r="M270">
        <v>5</v>
      </c>
      <c r="N270" t="str">
        <f>HYPERLINK("Gene84-zp_tree_all.dnd", "Gene84-tree")</f>
        <v>Gene84-tree</v>
      </c>
      <c r="O270">
        <v>3</v>
      </c>
      <c r="P270">
        <v>2</v>
      </c>
      <c r="Q270">
        <v>3</v>
      </c>
      <c r="R270">
        <v>2</v>
      </c>
      <c r="S270">
        <v>0.4</v>
      </c>
      <c r="T270" t="s">
        <v>84</v>
      </c>
      <c r="U270" t="s">
        <v>135</v>
      </c>
      <c r="V270" t="s">
        <v>62</v>
      </c>
      <c r="W270" t="s">
        <v>62</v>
      </c>
      <c r="X270">
        <v>0</v>
      </c>
      <c r="Y270">
        <v>0</v>
      </c>
      <c r="Z270">
        <v>5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4</v>
      </c>
      <c r="AK270">
        <v>0</v>
      </c>
      <c r="AL270">
        <v>4</v>
      </c>
      <c r="AM270">
        <v>2</v>
      </c>
      <c r="AN270">
        <v>6</v>
      </c>
      <c r="AO270">
        <v>4</v>
      </c>
      <c r="AP270">
        <v>20</v>
      </c>
      <c r="AQ270">
        <v>1</v>
      </c>
      <c r="AR270" t="s">
        <v>317</v>
      </c>
      <c r="AS270" t="s">
        <v>318</v>
      </c>
      <c r="AT270">
        <v>0.73899999999999999</v>
      </c>
      <c r="AU270" t="s">
        <v>65</v>
      </c>
      <c r="AV270">
        <v>26</v>
      </c>
      <c r="AW270">
        <v>5</v>
      </c>
      <c r="AX270" t="s">
        <v>319</v>
      </c>
      <c r="AY270" t="s">
        <v>320</v>
      </c>
      <c r="AZ270" t="s">
        <v>321</v>
      </c>
      <c r="BA270">
        <v>3.4090000000000002E-2</v>
      </c>
      <c r="BB270">
        <v>1</v>
      </c>
      <c r="BC270" t="s">
        <v>69</v>
      </c>
      <c r="BD270">
        <v>0.98699999999999999</v>
      </c>
      <c r="BE270">
        <v>0.72699999999999998</v>
      </c>
    </row>
    <row r="271" spans="1:57">
      <c r="A271">
        <v>0</v>
      </c>
      <c r="B271">
        <v>0</v>
      </c>
      <c r="C271">
        <v>0</v>
      </c>
      <c r="D271">
        <v>2547</v>
      </c>
      <c r="E271" t="s">
        <v>3371</v>
      </c>
      <c r="F271" t="s">
        <v>5762</v>
      </c>
      <c r="G271" t="s">
        <v>62</v>
      </c>
      <c r="H271">
        <v>2538118</v>
      </c>
      <c r="I271">
        <v>2538672</v>
      </c>
      <c r="J271" t="s">
        <v>3372</v>
      </c>
      <c r="K271">
        <v>185</v>
      </c>
      <c r="L271" t="s">
        <v>59</v>
      </c>
      <c r="M271">
        <v>5</v>
      </c>
      <c r="N271" t="str">
        <f>HYPERLINK("Gene2547-zp_tree_all.dnd", "Gene2547-tree")</f>
        <v>Gene2547-tree</v>
      </c>
      <c r="O271">
        <v>4</v>
      </c>
      <c r="P271">
        <v>1</v>
      </c>
      <c r="Q271">
        <v>3</v>
      </c>
      <c r="R271">
        <v>1</v>
      </c>
      <c r="S271">
        <v>0.25</v>
      </c>
      <c r="T271" t="s">
        <v>119</v>
      </c>
      <c r="U271" t="s">
        <v>61</v>
      </c>
      <c r="V271" t="s">
        <v>62</v>
      </c>
      <c r="W271" t="s">
        <v>62</v>
      </c>
      <c r="X271">
        <v>0</v>
      </c>
      <c r="Y271">
        <v>0</v>
      </c>
      <c r="Z271">
        <v>1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1</v>
      </c>
      <c r="AK271">
        <v>0</v>
      </c>
      <c r="AL271">
        <v>4</v>
      </c>
      <c r="AM271">
        <v>1</v>
      </c>
      <c r="AN271">
        <v>18</v>
      </c>
      <c r="AO271">
        <v>1</v>
      </c>
      <c r="AP271">
        <v>12</v>
      </c>
      <c r="AQ271">
        <v>0</v>
      </c>
      <c r="AR271" t="s">
        <v>3373</v>
      </c>
      <c r="AS271" t="s">
        <v>64</v>
      </c>
      <c r="AT271">
        <v>0.55800000000000005</v>
      </c>
      <c r="AU271" t="s">
        <v>65</v>
      </c>
      <c r="AV271">
        <v>30</v>
      </c>
      <c r="AW271">
        <v>1</v>
      </c>
      <c r="AX271" t="s">
        <v>3374</v>
      </c>
      <c r="AY271" t="s">
        <v>3375</v>
      </c>
      <c r="AZ271" t="s">
        <v>3376</v>
      </c>
      <c r="BA271">
        <v>8.2299999999999995E-3</v>
      </c>
      <c r="BB271">
        <v>1</v>
      </c>
      <c r="BC271" t="s">
        <v>69</v>
      </c>
      <c r="BD271">
        <v>0.06</v>
      </c>
      <c r="BE271">
        <v>0.06</v>
      </c>
    </row>
    <row r="272" spans="1:57">
      <c r="A272">
        <v>0</v>
      </c>
      <c r="B272">
        <v>0</v>
      </c>
      <c r="C272">
        <v>2</v>
      </c>
      <c r="D272">
        <v>41</v>
      </c>
      <c r="E272" t="s">
        <v>162</v>
      </c>
      <c r="F272" t="s">
        <v>5762</v>
      </c>
      <c r="G272" t="s">
        <v>57</v>
      </c>
      <c r="H272">
        <v>50087</v>
      </c>
      <c r="I272">
        <v>50644</v>
      </c>
      <c r="J272" t="s">
        <v>163</v>
      </c>
      <c r="K272">
        <v>186</v>
      </c>
      <c r="L272" t="s">
        <v>112</v>
      </c>
      <c r="M272">
        <v>4</v>
      </c>
      <c r="N272" t="str">
        <f>HYPERLINK("Gene41-zp_tree_all.dnd", "Gene41-tree")</f>
        <v>Gene41-tree</v>
      </c>
      <c r="O272">
        <v>0</v>
      </c>
      <c r="P272">
        <v>4</v>
      </c>
      <c r="Q272">
        <v>0</v>
      </c>
      <c r="R272">
        <v>4</v>
      </c>
      <c r="S272">
        <v>1</v>
      </c>
      <c r="T272" t="s">
        <v>62</v>
      </c>
      <c r="U272" t="s">
        <v>60</v>
      </c>
      <c r="V272" t="s">
        <v>62</v>
      </c>
      <c r="W272" t="s">
        <v>62</v>
      </c>
      <c r="X272">
        <v>1</v>
      </c>
      <c r="Y272">
        <v>2</v>
      </c>
      <c r="Z272">
        <v>7</v>
      </c>
      <c r="AA272">
        <v>0.22222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8</v>
      </c>
      <c r="AK272">
        <v>0</v>
      </c>
      <c r="AL272">
        <v>4</v>
      </c>
      <c r="AM272">
        <v>1</v>
      </c>
      <c r="AN272">
        <v>23</v>
      </c>
      <c r="AO272">
        <v>8</v>
      </c>
      <c r="AP272">
        <v>2</v>
      </c>
      <c r="AQ272">
        <v>1</v>
      </c>
      <c r="AR272" t="s">
        <v>164</v>
      </c>
      <c r="AS272" t="s">
        <v>165</v>
      </c>
      <c r="AT272">
        <v>0.86399999999999999</v>
      </c>
      <c r="AU272" t="s">
        <v>65</v>
      </c>
      <c r="AV272">
        <v>25</v>
      </c>
      <c r="AW272">
        <v>9</v>
      </c>
      <c r="AX272" t="s">
        <v>166</v>
      </c>
      <c r="AY272" t="s">
        <v>167</v>
      </c>
      <c r="AZ272" t="s">
        <v>168</v>
      </c>
      <c r="BA272">
        <v>8.702E-2</v>
      </c>
      <c r="BB272">
        <v>1</v>
      </c>
      <c r="BC272" t="s">
        <v>69</v>
      </c>
      <c r="BD272">
        <v>-0.47899999999999998</v>
      </c>
      <c r="BE272">
        <v>-0.76700000000000002</v>
      </c>
    </row>
    <row r="273" spans="1:57">
      <c r="A273">
        <v>0</v>
      </c>
      <c r="B273">
        <v>0</v>
      </c>
      <c r="C273">
        <v>0</v>
      </c>
      <c r="D273">
        <v>316</v>
      </c>
      <c r="E273" t="s">
        <v>742</v>
      </c>
      <c r="F273" t="s">
        <v>5762</v>
      </c>
      <c r="G273" t="s">
        <v>57</v>
      </c>
      <c r="H273">
        <v>340025</v>
      </c>
      <c r="I273">
        <v>340582</v>
      </c>
      <c r="J273" t="s">
        <v>743</v>
      </c>
      <c r="K273">
        <v>186</v>
      </c>
      <c r="L273" t="s">
        <v>59</v>
      </c>
      <c r="M273">
        <v>5</v>
      </c>
      <c r="N273" t="str">
        <f>HYPERLINK("Gene316-zp_tree_all.dnd", "Gene316-tree")</f>
        <v>Gene316-tree</v>
      </c>
      <c r="O273">
        <v>5</v>
      </c>
      <c r="P273">
        <v>0</v>
      </c>
      <c r="Q273">
        <v>5</v>
      </c>
      <c r="R273">
        <v>0</v>
      </c>
      <c r="S273">
        <v>0</v>
      </c>
      <c r="T273" t="s">
        <v>98</v>
      </c>
      <c r="U273" t="s">
        <v>62</v>
      </c>
      <c r="V273" t="s">
        <v>62</v>
      </c>
      <c r="W273" t="s">
        <v>62</v>
      </c>
      <c r="X273">
        <v>0</v>
      </c>
      <c r="Y273">
        <v>0</v>
      </c>
      <c r="Z273">
        <v>5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5</v>
      </c>
      <c r="AM273">
        <v>2</v>
      </c>
      <c r="AN273">
        <v>17</v>
      </c>
      <c r="AO273">
        <v>0</v>
      </c>
      <c r="AP273">
        <v>17</v>
      </c>
      <c r="AQ273">
        <v>5</v>
      </c>
      <c r="AR273" t="s">
        <v>64</v>
      </c>
      <c r="AS273" t="s">
        <v>744</v>
      </c>
      <c r="AT273">
        <v>1.0389999999999999</v>
      </c>
      <c r="AU273" t="s">
        <v>65</v>
      </c>
      <c r="AV273">
        <v>34</v>
      </c>
      <c r="AW273">
        <v>5</v>
      </c>
      <c r="AX273" t="s">
        <v>745</v>
      </c>
      <c r="AY273" t="s">
        <v>746</v>
      </c>
      <c r="AZ273" t="s">
        <v>747</v>
      </c>
      <c r="BA273">
        <v>4.2360000000000002E-2</v>
      </c>
      <c r="BB273">
        <v>1</v>
      </c>
      <c r="BC273" t="s">
        <v>69</v>
      </c>
      <c r="BD273">
        <v>0.93799999999999994</v>
      </c>
      <c r="BE273">
        <v>0.26800000000000002</v>
      </c>
    </row>
    <row r="274" spans="1:57">
      <c r="A274">
        <v>0</v>
      </c>
      <c r="B274">
        <v>0</v>
      </c>
      <c r="C274">
        <v>2</v>
      </c>
      <c r="D274">
        <v>2651</v>
      </c>
      <c r="E274" t="s">
        <v>3560</v>
      </c>
      <c r="F274" t="s">
        <v>5762</v>
      </c>
      <c r="G274" t="s">
        <v>62</v>
      </c>
      <c r="H274">
        <v>2627974</v>
      </c>
      <c r="I274">
        <v>2628534</v>
      </c>
      <c r="J274" t="s">
        <v>3561</v>
      </c>
      <c r="K274">
        <v>187</v>
      </c>
      <c r="L274" t="s">
        <v>59</v>
      </c>
      <c r="M274">
        <v>5</v>
      </c>
      <c r="N274" t="str">
        <f>HYPERLINK("Gene2651-zp_tree_all.dnd", "Gene2651-tree")</f>
        <v>Gene2651-tree</v>
      </c>
      <c r="O274">
        <v>3</v>
      </c>
      <c r="P274">
        <v>2</v>
      </c>
      <c r="Q274">
        <v>3</v>
      </c>
      <c r="R274">
        <v>2</v>
      </c>
      <c r="S274">
        <v>0.4</v>
      </c>
      <c r="T274" t="s">
        <v>84</v>
      </c>
      <c r="U274" t="s">
        <v>135</v>
      </c>
      <c r="V274" t="s">
        <v>62</v>
      </c>
      <c r="W274" t="s">
        <v>62</v>
      </c>
      <c r="X274">
        <v>1</v>
      </c>
      <c r="Y274">
        <v>2</v>
      </c>
      <c r="Z274">
        <v>4</v>
      </c>
      <c r="AA274">
        <v>0.33333000000000002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2</v>
      </c>
      <c r="AI274">
        <v>2</v>
      </c>
      <c r="AJ274">
        <v>2</v>
      </c>
      <c r="AK274">
        <v>0.5</v>
      </c>
      <c r="AL274">
        <v>5</v>
      </c>
      <c r="AM274">
        <v>1</v>
      </c>
      <c r="AN274">
        <v>24</v>
      </c>
      <c r="AO274">
        <v>4</v>
      </c>
      <c r="AP274">
        <v>7</v>
      </c>
      <c r="AQ274">
        <v>2</v>
      </c>
      <c r="AR274" t="s">
        <v>3562</v>
      </c>
      <c r="AS274" t="s">
        <v>3563</v>
      </c>
      <c r="AT274">
        <v>0.68700000000000006</v>
      </c>
      <c r="AU274" t="s">
        <v>65</v>
      </c>
      <c r="AV274">
        <v>31</v>
      </c>
      <c r="AW274">
        <v>6</v>
      </c>
      <c r="AX274" t="s">
        <v>3564</v>
      </c>
      <c r="AY274" t="s">
        <v>3565</v>
      </c>
      <c r="AZ274" t="s">
        <v>3566</v>
      </c>
      <c r="BA274">
        <v>4.8379999999999999E-2</v>
      </c>
      <c r="BB274">
        <v>1</v>
      </c>
      <c r="BC274" t="s">
        <v>69</v>
      </c>
      <c r="BD274">
        <v>-0.23899999999999999</v>
      </c>
      <c r="BE274">
        <v>-0.69799999999999995</v>
      </c>
    </row>
    <row r="275" spans="1:57">
      <c r="A275">
        <v>0</v>
      </c>
      <c r="B275">
        <v>0</v>
      </c>
      <c r="C275">
        <v>0</v>
      </c>
      <c r="D275">
        <v>174</v>
      </c>
      <c r="E275" t="s">
        <v>612</v>
      </c>
      <c r="F275" t="s">
        <v>5762</v>
      </c>
      <c r="G275" t="s">
        <v>57</v>
      </c>
      <c r="H275">
        <v>194849</v>
      </c>
      <c r="I275">
        <v>195409</v>
      </c>
      <c r="J275" t="s">
        <v>613</v>
      </c>
      <c r="K275">
        <v>187</v>
      </c>
      <c r="L275" t="s">
        <v>59</v>
      </c>
      <c r="M275">
        <v>5</v>
      </c>
      <c r="N275" t="str">
        <f>HYPERLINK("Gene174-zp_tree_all.dnd", "Gene174-tree")</f>
        <v>Gene174-tree</v>
      </c>
      <c r="O275">
        <v>3</v>
      </c>
      <c r="P275">
        <v>2</v>
      </c>
      <c r="Q275">
        <v>3</v>
      </c>
      <c r="R275">
        <v>2</v>
      </c>
      <c r="S275">
        <v>0.4</v>
      </c>
      <c r="T275" t="s">
        <v>84</v>
      </c>
      <c r="U275" t="s">
        <v>135</v>
      </c>
      <c r="V275" t="s">
        <v>62</v>
      </c>
      <c r="W275" t="s">
        <v>62</v>
      </c>
      <c r="X275">
        <v>0</v>
      </c>
      <c r="Y275">
        <v>0</v>
      </c>
      <c r="Z275">
        <v>2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2</v>
      </c>
      <c r="AK275">
        <v>0</v>
      </c>
      <c r="AL275">
        <v>4</v>
      </c>
      <c r="AM275">
        <v>1</v>
      </c>
      <c r="AN275">
        <v>12</v>
      </c>
      <c r="AO275">
        <v>2</v>
      </c>
      <c r="AP275">
        <v>13</v>
      </c>
      <c r="AQ275">
        <v>0</v>
      </c>
      <c r="AR275" t="s">
        <v>614</v>
      </c>
      <c r="AS275" t="s">
        <v>64</v>
      </c>
      <c r="AT275">
        <v>1.2789999999999999</v>
      </c>
      <c r="AU275" t="s">
        <v>65</v>
      </c>
      <c r="AV275">
        <v>25</v>
      </c>
      <c r="AW275">
        <v>2</v>
      </c>
      <c r="AX275" t="s">
        <v>615</v>
      </c>
      <c r="AY275" t="s">
        <v>616</v>
      </c>
      <c r="AZ275" t="s">
        <v>617</v>
      </c>
      <c r="BA275">
        <v>1.6879999999999999E-2</v>
      </c>
      <c r="BB275">
        <v>1</v>
      </c>
      <c r="BC275" t="s">
        <v>69</v>
      </c>
      <c r="BD275">
        <v>0.43</v>
      </c>
      <c r="BE275">
        <v>0.43</v>
      </c>
    </row>
    <row r="276" spans="1:57">
      <c r="A276">
        <v>0</v>
      </c>
      <c r="B276">
        <v>0</v>
      </c>
      <c r="C276">
        <v>0</v>
      </c>
      <c r="D276">
        <v>53</v>
      </c>
      <c r="E276" t="s">
        <v>208</v>
      </c>
      <c r="F276" t="s">
        <v>5762</v>
      </c>
      <c r="G276" t="s">
        <v>57</v>
      </c>
      <c r="H276">
        <v>59504</v>
      </c>
      <c r="I276">
        <v>60067</v>
      </c>
      <c r="J276" t="s">
        <v>209</v>
      </c>
      <c r="K276">
        <v>188</v>
      </c>
      <c r="L276" t="s">
        <v>59</v>
      </c>
      <c r="M276">
        <v>5</v>
      </c>
      <c r="N276" t="str">
        <f>HYPERLINK("Gene53-zp_tree_all.dnd", "Gene53-tree")</f>
        <v>Gene53-tree</v>
      </c>
      <c r="O276">
        <v>4</v>
      </c>
      <c r="P276">
        <v>1</v>
      </c>
      <c r="Q276">
        <v>4</v>
      </c>
      <c r="R276">
        <v>1</v>
      </c>
      <c r="S276">
        <v>0.2</v>
      </c>
      <c r="T276" t="s">
        <v>60</v>
      </c>
      <c r="U276" t="s">
        <v>61</v>
      </c>
      <c r="V276" t="s">
        <v>62</v>
      </c>
      <c r="W276" t="s">
        <v>62</v>
      </c>
      <c r="X276">
        <v>0</v>
      </c>
      <c r="Y276">
        <v>0</v>
      </c>
      <c r="Z276">
        <v>7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3</v>
      </c>
      <c r="AK276">
        <v>0</v>
      </c>
      <c r="AL276">
        <v>4</v>
      </c>
      <c r="AM276">
        <v>1</v>
      </c>
      <c r="AN276">
        <v>17</v>
      </c>
      <c r="AO276">
        <v>3</v>
      </c>
      <c r="AP276">
        <v>13</v>
      </c>
      <c r="AQ276">
        <v>4</v>
      </c>
      <c r="AR276" t="s">
        <v>210</v>
      </c>
      <c r="AS276" t="s">
        <v>211</v>
      </c>
      <c r="AT276">
        <v>0.41799999999999998</v>
      </c>
      <c r="AU276" t="s">
        <v>65</v>
      </c>
      <c r="AV276">
        <v>30</v>
      </c>
      <c r="AW276">
        <v>7</v>
      </c>
      <c r="AX276" t="s">
        <v>212</v>
      </c>
      <c r="AY276" t="s">
        <v>213</v>
      </c>
      <c r="AZ276" t="s">
        <v>214</v>
      </c>
      <c r="BA276">
        <v>6.5559999999999993E-2</v>
      </c>
      <c r="BB276">
        <v>1</v>
      </c>
      <c r="BC276" t="s">
        <v>69</v>
      </c>
      <c r="BD276">
        <v>0.186</v>
      </c>
      <c r="BE276">
        <v>0.186</v>
      </c>
    </row>
    <row r="277" spans="1:57">
      <c r="A277">
        <v>0</v>
      </c>
      <c r="B277">
        <v>0</v>
      </c>
      <c r="C277">
        <v>0</v>
      </c>
      <c r="D277">
        <v>1649</v>
      </c>
      <c r="E277" t="s">
        <v>2368</v>
      </c>
      <c r="F277" t="s">
        <v>5762</v>
      </c>
      <c r="G277" t="s">
        <v>57</v>
      </c>
      <c r="H277">
        <v>1661967</v>
      </c>
      <c r="I277">
        <v>1662530</v>
      </c>
      <c r="J277" t="s">
        <v>2369</v>
      </c>
      <c r="K277">
        <v>188</v>
      </c>
      <c r="L277" t="s">
        <v>59</v>
      </c>
      <c r="M277">
        <v>5</v>
      </c>
      <c r="N277" t="str">
        <f>HYPERLINK("Gene1649-zp_tree_all.dnd", "Gene1649-tree")</f>
        <v>Gene1649-tree</v>
      </c>
      <c r="O277">
        <v>4</v>
      </c>
      <c r="P277">
        <v>1</v>
      </c>
      <c r="Q277">
        <v>4</v>
      </c>
      <c r="R277">
        <v>1</v>
      </c>
      <c r="S277">
        <v>0.2</v>
      </c>
      <c r="T277" t="s">
        <v>60</v>
      </c>
      <c r="U277" t="s">
        <v>61</v>
      </c>
      <c r="V277" t="s">
        <v>62</v>
      </c>
      <c r="W277" t="s">
        <v>62</v>
      </c>
      <c r="X277">
        <v>0</v>
      </c>
      <c r="Y277">
        <v>0</v>
      </c>
      <c r="Z277">
        <v>2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1</v>
      </c>
      <c r="AK277">
        <v>0</v>
      </c>
      <c r="AL277">
        <v>5</v>
      </c>
      <c r="AM277">
        <v>2</v>
      </c>
      <c r="AN277">
        <v>17</v>
      </c>
      <c r="AO277">
        <v>1</v>
      </c>
      <c r="AP277">
        <v>18</v>
      </c>
      <c r="AQ277">
        <v>1</v>
      </c>
      <c r="AR277" t="s">
        <v>2370</v>
      </c>
      <c r="AS277" t="s">
        <v>2371</v>
      </c>
      <c r="AT277">
        <v>3.5999999999999997E-2</v>
      </c>
      <c r="AU277" t="s">
        <v>65</v>
      </c>
      <c r="AV277">
        <v>35</v>
      </c>
      <c r="AW277">
        <v>2</v>
      </c>
      <c r="AX277" t="s">
        <v>2372</v>
      </c>
      <c r="AY277" t="s">
        <v>2373</v>
      </c>
      <c r="AZ277" t="s">
        <v>2374</v>
      </c>
      <c r="BA277">
        <v>1.6539999999999999E-2</v>
      </c>
      <c r="BB277">
        <v>1</v>
      </c>
      <c r="BC277" t="s">
        <v>69</v>
      </c>
      <c r="BD277">
        <v>0.91500000000000004</v>
      </c>
      <c r="BE277">
        <v>0.161</v>
      </c>
    </row>
    <row r="278" spans="1:57">
      <c r="A278">
        <v>0</v>
      </c>
      <c r="B278">
        <v>0</v>
      </c>
      <c r="C278">
        <v>0</v>
      </c>
      <c r="D278">
        <v>2921</v>
      </c>
      <c r="E278" t="s">
        <v>3845</v>
      </c>
      <c r="F278" t="s">
        <v>5762</v>
      </c>
      <c r="G278" t="s">
        <v>62</v>
      </c>
      <c r="H278">
        <v>2862575</v>
      </c>
      <c r="I278">
        <v>2863141</v>
      </c>
      <c r="J278" t="s">
        <v>3846</v>
      </c>
      <c r="K278">
        <v>189</v>
      </c>
      <c r="L278" t="s">
        <v>59</v>
      </c>
      <c r="M278">
        <v>5</v>
      </c>
      <c r="N278" t="str">
        <f>HYPERLINK("Gene2921-zp_tree_all.dnd", "Gene2921-tree")</f>
        <v>Gene2921-tree</v>
      </c>
      <c r="O278">
        <v>3</v>
      </c>
      <c r="P278">
        <v>2</v>
      </c>
      <c r="Q278">
        <v>3</v>
      </c>
      <c r="R278">
        <v>2</v>
      </c>
      <c r="S278">
        <v>0.4</v>
      </c>
      <c r="T278" t="s">
        <v>84</v>
      </c>
      <c r="U278" t="s">
        <v>135</v>
      </c>
      <c r="V278" t="s">
        <v>62</v>
      </c>
      <c r="W278" t="s">
        <v>62</v>
      </c>
      <c r="X278">
        <v>0</v>
      </c>
      <c r="Y278">
        <v>0</v>
      </c>
      <c r="Z278">
        <v>11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6</v>
      </c>
      <c r="AK278">
        <v>0</v>
      </c>
      <c r="AL278">
        <v>5</v>
      </c>
      <c r="AM278">
        <v>2</v>
      </c>
      <c r="AN278">
        <v>8</v>
      </c>
      <c r="AO278">
        <v>6</v>
      </c>
      <c r="AP278">
        <v>16</v>
      </c>
      <c r="AQ278">
        <v>5</v>
      </c>
      <c r="AR278" t="s">
        <v>3847</v>
      </c>
      <c r="AS278" t="s">
        <v>3848</v>
      </c>
      <c r="AT278">
        <v>0.44400000000000001</v>
      </c>
      <c r="AU278" t="s">
        <v>65</v>
      </c>
      <c r="AV278">
        <v>24</v>
      </c>
      <c r="AW278">
        <v>11</v>
      </c>
      <c r="AX278" t="s">
        <v>3849</v>
      </c>
      <c r="AY278" t="s">
        <v>3850</v>
      </c>
      <c r="AZ278" t="s">
        <v>3851</v>
      </c>
      <c r="BA278">
        <v>0.1178</v>
      </c>
      <c r="BB278">
        <v>1</v>
      </c>
      <c r="BC278" t="s">
        <v>69</v>
      </c>
      <c r="BD278">
        <v>0.68</v>
      </c>
      <c r="BE278">
        <v>0.496</v>
      </c>
    </row>
    <row r="279" spans="1:57">
      <c r="A279">
        <v>0</v>
      </c>
      <c r="B279">
        <v>0</v>
      </c>
      <c r="C279">
        <v>0</v>
      </c>
      <c r="D279">
        <v>3658</v>
      </c>
      <c r="E279" t="s">
        <v>4947</v>
      </c>
      <c r="F279" t="s">
        <v>5762</v>
      </c>
      <c r="G279" t="s">
        <v>62</v>
      </c>
      <c r="H279">
        <v>3631006</v>
      </c>
      <c r="I279">
        <v>3631572</v>
      </c>
      <c r="J279" t="s">
        <v>4948</v>
      </c>
      <c r="K279">
        <v>189</v>
      </c>
      <c r="L279" t="s">
        <v>59</v>
      </c>
      <c r="M279">
        <v>5</v>
      </c>
      <c r="N279" t="str">
        <f>HYPERLINK("Gene3658-zp_tree_all.dnd", "Gene3658-tree")</f>
        <v>Gene3658-tree</v>
      </c>
      <c r="O279">
        <v>4</v>
      </c>
      <c r="P279">
        <v>1</v>
      </c>
      <c r="Q279">
        <v>3</v>
      </c>
      <c r="R279">
        <v>1</v>
      </c>
      <c r="S279">
        <v>0.25</v>
      </c>
      <c r="T279" t="s">
        <v>119</v>
      </c>
      <c r="U279" t="s">
        <v>61</v>
      </c>
      <c r="V279" t="s">
        <v>62</v>
      </c>
      <c r="W279" t="s">
        <v>62</v>
      </c>
      <c r="X279">
        <v>0</v>
      </c>
      <c r="Y279">
        <v>0</v>
      </c>
      <c r="Z279">
        <v>5</v>
      </c>
      <c r="AA279">
        <v>0</v>
      </c>
      <c r="AB279">
        <v>0</v>
      </c>
      <c r="AC279">
        <v>0</v>
      </c>
      <c r="AD279">
        <v>0</v>
      </c>
      <c r="AE279">
        <v>4</v>
      </c>
      <c r="AF279">
        <v>0</v>
      </c>
      <c r="AG279">
        <v>0</v>
      </c>
      <c r="AH279">
        <v>0</v>
      </c>
      <c r="AI279">
        <v>0</v>
      </c>
      <c r="AJ279">
        <v>1</v>
      </c>
      <c r="AK279">
        <v>0</v>
      </c>
      <c r="AL279">
        <v>3</v>
      </c>
      <c r="AM279">
        <v>1</v>
      </c>
      <c r="AN279">
        <v>14</v>
      </c>
      <c r="AO279">
        <v>1</v>
      </c>
      <c r="AP279">
        <v>6</v>
      </c>
      <c r="AQ279">
        <v>4</v>
      </c>
      <c r="AR279" t="s">
        <v>4949</v>
      </c>
      <c r="AS279" t="s">
        <v>4950</v>
      </c>
      <c r="AT279">
        <v>6.5720000000000001</v>
      </c>
      <c r="AU279" t="s">
        <v>65</v>
      </c>
      <c r="AV279">
        <v>20</v>
      </c>
      <c r="AW279">
        <v>5</v>
      </c>
      <c r="AX279" t="s">
        <v>4951</v>
      </c>
      <c r="AY279" t="s">
        <v>4952</v>
      </c>
      <c r="AZ279" t="s">
        <v>4953</v>
      </c>
      <c r="BA279">
        <v>7.2319999999999995E-2</v>
      </c>
      <c r="BB279">
        <v>1</v>
      </c>
      <c r="BC279" t="s">
        <v>69</v>
      </c>
      <c r="BD279">
        <v>0.245</v>
      </c>
      <c r="BE279">
        <v>-7.6999999999999999E-2</v>
      </c>
    </row>
    <row r="280" spans="1:57">
      <c r="A280">
        <v>0</v>
      </c>
      <c r="B280">
        <v>0</v>
      </c>
      <c r="C280">
        <v>0</v>
      </c>
      <c r="D280">
        <v>2668</v>
      </c>
      <c r="E280" t="s">
        <v>3591</v>
      </c>
      <c r="F280" t="s">
        <v>5762</v>
      </c>
      <c r="G280" t="s">
        <v>62</v>
      </c>
      <c r="H280">
        <v>2643768</v>
      </c>
      <c r="I280">
        <v>2644334</v>
      </c>
      <c r="J280" t="s">
        <v>3592</v>
      </c>
      <c r="K280">
        <v>189</v>
      </c>
      <c r="L280" t="s">
        <v>59</v>
      </c>
      <c r="M280">
        <v>5</v>
      </c>
      <c r="N280" t="str">
        <f>HYPERLINK("Gene2668-zp_tree_all.dnd", "Gene2668-tree")</f>
        <v>Gene2668-tree</v>
      </c>
      <c r="O280">
        <v>4</v>
      </c>
      <c r="P280">
        <v>1</v>
      </c>
      <c r="Q280">
        <v>4</v>
      </c>
      <c r="R280">
        <v>1</v>
      </c>
      <c r="S280">
        <v>0.2</v>
      </c>
      <c r="T280" t="s">
        <v>60</v>
      </c>
      <c r="U280" t="s">
        <v>61</v>
      </c>
      <c r="V280" t="s">
        <v>62</v>
      </c>
      <c r="W280" t="s">
        <v>62</v>
      </c>
      <c r="X280">
        <v>0</v>
      </c>
      <c r="Y280">
        <v>0</v>
      </c>
      <c r="Z280">
        <v>4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1</v>
      </c>
      <c r="AK280">
        <v>0</v>
      </c>
      <c r="AL280">
        <v>5</v>
      </c>
      <c r="AM280">
        <v>2</v>
      </c>
      <c r="AN280">
        <v>9</v>
      </c>
      <c r="AO280">
        <v>1</v>
      </c>
      <c r="AP280">
        <v>13</v>
      </c>
      <c r="AQ280">
        <v>3</v>
      </c>
      <c r="AR280" t="s">
        <v>3593</v>
      </c>
      <c r="AS280" t="s">
        <v>3594</v>
      </c>
      <c r="AT280">
        <v>0.47199999999999998</v>
      </c>
      <c r="AU280" t="s">
        <v>65</v>
      </c>
      <c r="AV280">
        <v>22</v>
      </c>
      <c r="AW280">
        <v>4</v>
      </c>
      <c r="AX280" t="s">
        <v>3595</v>
      </c>
      <c r="AY280" t="s">
        <v>3596</v>
      </c>
      <c r="AZ280" t="s">
        <v>3597</v>
      </c>
      <c r="BA280">
        <v>5.4030000000000002E-2</v>
      </c>
      <c r="BB280">
        <v>1</v>
      </c>
      <c r="BC280" t="s">
        <v>69</v>
      </c>
      <c r="BD280">
        <v>1.1839999999999999</v>
      </c>
      <c r="BE280">
        <v>0.64600000000000002</v>
      </c>
    </row>
    <row r="281" spans="1:57">
      <c r="A281">
        <v>0</v>
      </c>
      <c r="B281">
        <v>0</v>
      </c>
      <c r="C281">
        <v>0</v>
      </c>
      <c r="D281">
        <v>728</v>
      </c>
      <c r="E281" t="s">
        <v>1183</v>
      </c>
      <c r="F281" t="s">
        <v>5762</v>
      </c>
      <c r="G281" t="s">
        <v>57</v>
      </c>
      <c r="H281">
        <v>756417</v>
      </c>
      <c r="I281">
        <v>756983</v>
      </c>
      <c r="J281" t="s">
        <v>1184</v>
      </c>
      <c r="K281">
        <v>189</v>
      </c>
      <c r="L281" t="s">
        <v>59</v>
      </c>
      <c r="M281">
        <v>5</v>
      </c>
      <c r="N281" t="str">
        <f>HYPERLINK("Gene728-zp_tree_all.dnd", "Gene728-tree")</f>
        <v>Gene728-tree</v>
      </c>
      <c r="O281">
        <v>5</v>
      </c>
      <c r="P281">
        <v>0</v>
      </c>
      <c r="Q281">
        <v>5</v>
      </c>
      <c r="R281">
        <v>0</v>
      </c>
      <c r="S281">
        <v>0</v>
      </c>
      <c r="T281" t="s">
        <v>98</v>
      </c>
      <c r="U281" t="s">
        <v>62</v>
      </c>
      <c r="V281" t="s">
        <v>62</v>
      </c>
      <c r="W281" t="s">
        <v>62</v>
      </c>
      <c r="X281">
        <v>0</v>
      </c>
      <c r="Y281">
        <v>0</v>
      </c>
      <c r="Z281">
        <v>2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5</v>
      </c>
      <c r="AM281">
        <v>2</v>
      </c>
      <c r="AN281">
        <v>19</v>
      </c>
      <c r="AO281">
        <v>0</v>
      </c>
      <c r="AP281">
        <v>19</v>
      </c>
      <c r="AQ281">
        <v>2</v>
      </c>
      <c r="AR281" t="s">
        <v>64</v>
      </c>
      <c r="AS281" t="s">
        <v>1185</v>
      </c>
      <c r="AT281">
        <v>0.85799999999999998</v>
      </c>
      <c r="AU281" t="s">
        <v>65</v>
      </c>
      <c r="AV281">
        <v>38</v>
      </c>
      <c r="AW281">
        <v>2</v>
      </c>
      <c r="AX281" t="s">
        <v>1186</v>
      </c>
      <c r="AY281" t="s">
        <v>1187</v>
      </c>
      <c r="AZ281" t="s">
        <v>1188</v>
      </c>
      <c r="BA281">
        <v>1.745E-2</v>
      </c>
      <c r="BB281">
        <v>1</v>
      </c>
      <c r="BC281" t="s">
        <v>69</v>
      </c>
      <c r="BD281">
        <v>1.0720000000000001</v>
      </c>
      <c r="BE281">
        <v>0.53600000000000003</v>
      </c>
    </row>
    <row r="282" spans="1:57">
      <c r="A282">
        <v>0</v>
      </c>
      <c r="B282">
        <v>0</v>
      </c>
      <c r="C282">
        <v>0</v>
      </c>
      <c r="D282">
        <v>2372</v>
      </c>
      <c r="E282" t="s">
        <v>3092</v>
      </c>
      <c r="F282" t="s">
        <v>5762</v>
      </c>
      <c r="G282" t="s">
        <v>62</v>
      </c>
      <c r="H282">
        <v>2384786</v>
      </c>
      <c r="I282">
        <v>2385355</v>
      </c>
      <c r="J282" t="s">
        <v>3093</v>
      </c>
      <c r="K282">
        <v>190</v>
      </c>
      <c r="L282" t="s">
        <v>59</v>
      </c>
      <c r="M282">
        <v>5</v>
      </c>
      <c r="N282" t="str">
        <f>HYPERLINK("Gene2372-zp_tree_all.dnd", "Gene2372-tree")</f>
        <v>Gene2372-tree</v>
      </c>
      <c r="O282">
        <v>5</v>
      </c>
      <c r="P282">
        <v>0</v>
      </c>
      <c r="Q282">
        <v>4</v>
      </c>
      <c r="R282">
        <v>0</v>
      </c>
      <c r="S282">
        <v>0</v>
      </c>
      <c r="T282" t="s">
        <v>150</v>
      </c>
      <c r="U282" t="s">
        <v>62</v>
      </c>
      <c r="V282" t="s">
        <v>62</v>
      </c>
      <c r="W282" t="s">
        <v>62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4</v>
      </c>
      <c r="AM282">
        <v>1</v>
      </c>
      <c r="AN282">
        <v>8</v>
      </c>
      <c r="AO282">
        <v>0</v>
      </c>
      <c r="AP282">
        <v>12</v>
      </c>
      <c r="AQ282">
        <v>0</v>
      </c>
      <c r="AR282" t="s">
        <v>64</v>
      </c>
      <c r="AS282" t="s">
        <v>64</v>
      </c>
      <c r="AT282">
        <v>0</v>
      </c>
      <c r="AU282" t="s">
        <v>65</v>
      </c>
      <c r="AV282">
        <v>20</v>
      </c>
      <c r="AW282">
        <v>0</v>
      </c>
      <c r="AX282" t="s">
        <v>3094</v>
      </c>
      <c r="AY282" t="s">
        <v>3095</v>
      </c>
      <c r="AZ282" t="s">
        <v>64</v>
      </c>
      <c r="BA282">
        <v>0</v>
      </c>
      <c r="BB282">
        <v>1</v>
      </c>
      <c r="BC282" t="s">
        <v>69</v>
      </c>
      <c r="BD282">
        <v>0.77</v>
      </c>
      <c r="BE282">
        <v>0.77</v>
      </c>
    </row>
    <row r="283" spans="1:57">
      <c r="A283">
        <v>0</v>
      </c>
      <c r="B283">
        <v>0</v>
      </c>
      <c r="C283">
        <v>0</v>
      </c>
      <c r="D283">
        <v>4140</v>
      </c>
      <c r="E283" t="s">
        <v>5595</v>
      </c>
      <c r="F283" t="s">
        <v>5762</v>
      </c>
      <c r="G283" t="s">
        <v>62</v>
      </c>
      <c r="H283">
        <v>4107355</v>
      </c>
      <c r="I283">
        <v>4107927</v>
      </c>
      <c r="J283" t="s">
        <v>5596</v>
      </c>
      <c r="K283">
        <v>191</v>
      </c>
      <c r="L283" t="s">
        <v>59</v>
      </c>
      <c r="M283">
        <v>5</v>
      </c>
      <c r="N283" t="str">
        <f>HYPERLINK("Gene4140-zp_tree_all.dnd", "Gene4140-tree")</f>
        <v>Gene4140-tree</v>
      </c>
      <c r="O283">
        <v>2</v>
      </c>
      <c r="P283">
        <v>3</v>
      </c>
      <c r="Q283">
        <v>2</v>
      </c>
      <c r="R283">
        <v>3</v>
      </c>
      <c r="S283">
        <v>0.6</v>
      </c>
      <c r="T283" t="s">
        <v>135</v>
      </c>
      <c r="U283" t="s">
        <v>84</v>
      </c>
      <c r="V283" t="s">
        <v>62</v>
      </c>
      <c r="W283" t="s">
        <v>62</v>
      </c>
      <c r="X283">
        <v>0</v>
      </c>
      <c r="Y283">
        <v>0</v>
      </c>
      <c r="Z283">
        <v>12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7</v>
      </c>
      <c r="AK283">
        <v>0</v>
      </c>
      <c r="AL283">
        <v>5</v>
      </c>
      <c r="AM283">
        <v>2</v>
      </c>
      <c r="AN283">
        <v>16</v>
      </c>
      <c r="AO283">
        <v>7</v>
      </c>
      <c r="AP283">
        <v>9</v>
      </c>
      <c r="AQ283">
        <v>6</v>
      </c>
      <c r="AR283" t="s">
        <v>5597</v>
      </c>
      <c r="AS283" t="s">
        <v>5598</v>
      </c>
      <c r="AT283">
        <v>0.27800000000000002</v>
      </c>
      <c r="AU283" t="s">
        <v>65</v>
      </c>
      <c r="AV283">
        <v>25</v>
      </c>
      <c r="AW283">
        <v>13</v>
      </c>
      <c r="AX283" t="s">
        <v>5599</v>
      </c>
      <c r="AY283" t="s">
        <v>5600</v>
      </c>
      <c r="AZ283" t="s">
        <v>5601</v>
      </c>
      <c r="BA283">
        <v>0.15093999999999999</v>
      </c>
      <c r="BB283">
        <v>1</v>
      </c>
      <c r="BC283" t="s">
        <v>69</v>
      </c>
      <c r="BD283">
        <v>0.22600000000000001</v>
      </c>
      <c r="BE283">
        <v>-0.20799999999999999</v>
      </c>
    </row>
    <row r="284" spans="1:57">
      <c r="A284">
        <v>0</v>
      </c>
      <c r="B284">
        <v>0</v>
      </c>
      <c r="C284">
        <v>0</v>
      </c>
      <c r="D284">
        <v>2909</v>
      </c>
      <c r="E284" t="s">
        <v>3792</v>
      </c>
      <c r="F284" t="s">
        <v>5762</v>
      </c>
      <c r="G284" t="s">
        <v>62</v>
      </c>
      <c r="H284">
        <v>2853984</v>
      </c>
      <c r="I284">
        <v>2854559</v>
      </c>
      <c r="J284" t="s">
        <v>3793</v>
      </c>
      <c r="K284">
        <v>192</v>
      </c>
      <c r="L284" t="s">
        <v>59</v>
      </c>
      <c r="M284">
        <v>5</v>
      </c>
      <c r="N284" t="str">
        <f>HYPERLINK("Gene2909-zp_tree_all.dnd", "Gene2909-tree")</f>
        <v>Gene2909-tree</v>
      </c>
      <c r="O284">
        <v>4</v>
      </c>
      <c r="P284">
        <v>1</v>
      </c>
      <c r="Q284">
        <v>4</v>
      </c>
      <c r="R284">
        <v>1</v>
      </c>
      <c r="S284">
        <v>0.2</v>
      </c>
      <c r="T284" t="s">
        <v>60</v>
      </c>
      <c r="U284" t="s">
        <v>61</v>
      </c>
      <c r="V284" t="s">
        <v>62</v>
      </c>
      <c r="W284" t="s">
        <v>62</v>
      </c>
      <c r="X284">
        <v>0</v>
      </c>
      <c r="Y284">
        <v>0</v>
      </c>
      <c r="Z284">
        <v>2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1</v>
      </c>
      <c r="AK284">
        <v>0</v>
      </c>
      <c r="AL284">
        <v>5</v>
      </c>
      <c r="AM284">
        <v>2</v>
      </c>
      <c r="AN284">
        <v>11</v>
      </c>
      <c r="AO284">
        <v>1</v>
      </c>
      <c r="AP284">
        <v>6</v>
      </c>
      <c r="AQ284">
        <v>1</v>
      </c>
      <c r="AR284" t="s">
        <v>3794</v>
      </c>
      <c r="AS284" t="s">
        <v>3795</v>
      </c>
      <c r="AT284">
        <v>0.34499999999999997</v>
      </c>
      <c r="AU284" t="s">
        <v>65</v>
      </c>
      <c r="AV284">
        <v>17</v>
      </c>
      <c r="AW284">
        <v>2</v>
      </c>
      <c r="AX284" t="s">
        <v>3796</v>
      </c>
      <c r="AY284" t="s">
        <v>3797</v>
      </c>
      <c r="AZ284" t="s">
        <v>3798</v>
      </c>
      <c r="BA284">
        <v>3.116E-2</v>
      </c>
      <c r="BB284">
        <v>1</v>
      </c>
      <c r="BC284" t="s">
        <v>69</v>
      </c>
      <c r="BD284">
        <v>-9.7000000000000003E-2</v>
      </c>
      <c r="BE284">
        <v>-9.7000000000000003E-2</v>
      </c>
    </row>
    <row r="285" spans="1:57">
      <c r="A285">
        <v>0</v>
      </c>
      <c r="B285">
        <v>0</v>
      </c>
      <c r="C285">
        <v>0</v>
      </c>
      <c r="D285">
        <v>1186</v>
      </c>
      <c r="E285" t="s">
        <v>1661</v>
      </c>
      <c r="F285" t="s">
        <v>5762</v>
      </c>
      <c r="G285" t="s">
        <v>57</v>
      </c>
      <c r="H285">
        <v>1226938</v>
      </c>
      <c r="I285">
        <v>1227513</v>
      </c>
      <c r="J285" t="s">
        <v>1662</v>
      </c>
      <c r="K285">
        <v>192</v>
      </c>
      <c r="L285" t="s">
        <v>59</v>
      </c>
      <c r="M285">
        <v>5</v>
      </c>
      <c r="N285" t="str">
        <f>HYPERLINK("Gene1186-zp_tree_all.dnd", "Gene1186-tree")</f>
        <v>Gene1186-tree</v>
      </c>
      <c r="O285">
        <v>4</v>
      </c>
      <c r="P285">
        <v>1</v>
      </c>
      <c r="Q285">
        <v>4</v>
      </c>
      <c r="R285">
        <v>1</v>
      </c>
      <c r="S285">
        <v>0.2</v>
      </c>
      <c r="T285" t="s">
        <v>60</v>
      </c>
      <c r="U285" t="s">
        <v>61</v>
      </c>
      <c r="V285" t="s">
        <v>62</v>
      </c>
      <c r="W285" t="s">
        <v>62</v>
      </c>
      <c r="X285">
        <v>0</v>
      </c>
      <c r="Y285">
        <v>0</v>
      </c>
      <c r="Z285">
        <v>2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2</v>
      </c>
      <c r="AK285">
        <v>0</v>
      </c>
      <c r="AL285">
        <v>5</v>
      </c>
      <c r="AM285">
        <v>2</v>
      </c>
      <c r="AN285">
        <v>9</v>
      </c>
      <c r="AO285">
        <v>2</v>
      </c>
      <c r="AP285">
        <v>9</v>
      </c>
      <c r="AQ285">
        <v>0</v>
      </c>
      <c r="AR285" t="s">
        <v>1663</v>
      </c>
      <c r="AS285" t="s">
        <v>64</v>
      </c>
      <c r="AT285">
        <v>0.505</v>
      </c>
      <c r="AU285" t="s">
        <v>65</v>
      </c>
      <c r="AV285">
        <v>18</v>
      </c>
      <c r="AW285">
        <v>2</v>
      </c>
      <c r="AX285" t="s">
        <v>1664</v>
      </c>
      <c r="AY285" t="s">
        <v>1665</v>
      </c>
      <c r="AZ285" t="s">
        <v>1666</v>
      </c>
      <c r="BA285">
        <v>2.196E-2</v>
      </c>
      <c r="BB285">
        <v>1</v>
      </c>
      <c r="BC285" t="s">
        <v>69</v>
      </c>
      <c r="BD285">
        <v>0.22700000000000001</v>
      </c>
      <c r="BE285">
        <v>0.22700000000000001</v>
      </c>
    </row>
    <row r="286" spans="1:57">
      <c r="A286">
        <v>0</v>
      </c>
      <c r="B286">
        <v>0</v>
      </c>
      <c r="C286">
        <v>0</v>
      </c>
      <c r="D286">
        <v>292</v>
      </c>
      <c r="E286" t="s">
        <v>710</v>
      </c>
      <c r="F286" t="s">
        <v>5762</v>
      </c>
      <c r="G286" t="s">
        <v>57</v>
      </c>
      <c r="H286">
        <v>313396</v>
      </c>
      <c r="I286">
        <v>313971</v>
      </c>
      <c r="J286" t="s">
        <v>711</v>
      </c>
      <c r="K286">
        <v>192</v>
      </c>
      <c r="L286" t="s">
        <v>59</v>
      </c>
      <c r="M286">
        <v>5</v>
      </c>
      <c r="N286" t="str">
        <f>HYPERLINK("Gene292-zp_tree_all.dnd", "Gene292-tree")</f>
        <v>Gene292-tree</v>
      </c>
      <c r="O286">
        <v>4</v>
      </c>
      <c r="P286">
        <v>1</v>
      </c>
      <c r="Q286">
        <v>4</v>
      </c>
      <c r="R286">
        <v>1</v>
      </c>
      <c r="S286">
        <v>0.2</v>
      </c>
      <c r="T286" t="s">
        <v>60</v>
      </c>
      <c r="U286" t="s">
        <v>61</v>
      </c>
      <c r="V286" t="s">
        <v>62</v>
      </c>
      <c r="W286" t="s">
        <v>62</v>
      </c>
      <c r="X286">
        <v>0</v>
      </c>
      <c r="Y286">
        <v>0</v>
      </c>
      <c r="Z286">
        <v>2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1</v>
      </c>
      <c r="AK286">
        <v>0</v>
      </c>
      <c r="AL286">
        <v>4</v>
      </c>
      <c r="AM286">
        <v>2</v>
      </c>
      <c r="AN286">
        <v>13</v>
      </c>
      <c r="AO286">
        <v>1</v>
      </c>
      <c r="AP286">
        <v>15</v>
      </c>
      <c r="AQ286">
        <v>1</v>
      </c>
      <c r="AR286" t="s">
        <v>712</v>
      </c>
      <c r="AS286" t="s">
        <v>713</v>
      </c>
      <c r="AT286">
        <v>7.5999999999999998E-2</v>
      </c>
      <c r="AU286" t="s">
        <v>65</v>
      </c>
      <c r="AV286">
        <v>28</v>
      </c>
      <c r="AW286">
        <v>2</v>
      </c>
      <c r="AX286" t="s">
        <v>714</v>
      </c>
      <c r="AY286" t="s">
        <v>715</v>
      </c>
      <c r="AZ286" t="s">
        <v>716</v>
      </c>
      <c r="BA286">
        <v>1.976E-2</v>
      </c>
      <c r="BB286">
        <v>1</v>
      </c>
      <c r="BC286" t="s">
        <v>69</v>
      </c>
      <c r="BD286">
        <v>0.53300000000000003</v>
      </c>
      <c r="BE286">
        <v>0.53300000000000003</v>
      </c>
    </row>
    <row r="287" spans="1:57">
      <c r="A287">
        <v>0</v>
      </c>
      <c r="B287">
        <v>0</v>
      </c>
      <c r="C287">
        <v>0</v>
      </c>
      <c r="D287">
        <v>1570</v>
      </c>
      <c r="E287" t="s">
        <v>2158</v>
      </c>
      <c r="F287" t="s">
        <v>5762</v>
      </c>
      <c r="G287" t="s">
        <v>57</v>
      </c>
      <c r="H287">
        <v>1576129</v>
      </c>
      <c r="I287">
        <v>1576707</v>
      </c>
      <c r="J287" t="s">
        <v>2159</v>
      </c>
      <c r="K287">
        <v>193</v>
      </c>
      <c r="L287" t="s">
        <v>59</v>
      </c>
      <c r="M287">
        <v>5</v>
      </c>
      <c r="N287" t="str">
        <f>HYPERLINK("Gene1570-zp_tree_all.dnd", "Gene1570-tree")</f>
        <v>Gene1570-tree</v>
      </c>
      <c r="O287">
        <v>0</v>
      </c>
      <c r="P287">
        <v>5</v>
      </c>
      <c r="Q287">
        <v>0</v>
      </c>
      <c r="R287">
        <v>5</v>
      </c>
      <c r="S287">
        <v>1</v>
      </c>
      <c r="T287" t="s">
        <v>62</v>
      </c>
      <c r="U287" t="s">
        <v>98</v>
      </c>
      <c r="V287" t="s">
        <v>62</v>
      </c>
      <c r="W287" t="s">
        <v>62</v>
      </c>
      <c r="X287">
        <v>0</v>
      </c>
      <c r="Y287">
        <v>0</v>
      </c>
      <c r="Z287">
        <v>9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6</v>
      </c>
      <c r="AK287">
        <v>0</v>
      </c>
      <c r="AL287">
        <v>5</v>
      </c>
      <c r="AM287">
        <v>2</v>
      </c>
      <c r="AN287">
        <v>10</v>
      </c>
      <c r="AO287">
        <v>6</v>
      </c>
      <c r="AP287">
        <v>15</v>
      </c>
      <c r="AQ287">
        <v>3</v>
      </c>
      <c r="AR287" t="s">
        <v>2160</v>
      </c>
      <c r="AS287" t="s">
        <v>2161</v>
      </c>
      <c r="AT287">
        <v>1.6259999999999999</v>
      </c>
      <c r="AU287" t="s">
        <v>65</v>
      </c>
      <c r="AV287">
        <v>25</v>
      </c>
      <c r="AW287">
        <v>9</v>
      </c>
      <c r="AX287" t="s">
        <v>2162</v>
      </c>
      <c r="AY287" t="s">
        <v>2163</v>
      </c>
      <c r="AZ287" t="s">
        <v>2164</v>
      </c>
      <c r="BA287">
        <v>8.8099999999999998E-2</v>
      </c>
      <c r="BB287">
        <v>1</v>
      </c>
      <c r="BC287" t="s">
        <v>69</v>
      </c>
      <c r="BD287">
        <v>0.71399999999999997</v>
      </c>
      <c r="BE287">
        <v>0.26100000000000001</v>
      </c>
    </row>
    <row r="288" spans="1:57">
      <c r="A288">
        <v>0</v>
      </c>
      <c r="B288">
        <v>0</v>
      </c>
      <c r="C288">
        <v>0</v>
      </c>
      <c r="D288">
        <v>1498</v>
      </c>
      <c r="E288" t="s">
        <v>1988</v>
      </c>
      <c r="F288" t="s">
        <v>5762</v>
      </c>
      <c r="G288" t="s">
        <v>57</v>
      </c>
      <c r="H288">
        <v>1511308</v>
      </c>
      <c r="I288">
        <v>1511886</v>
      </c>
      <c r="J288" t="s">
        <v>1554</v>
      </c>
      <c r="K288">
        <v>193</v>
      </c>
      <c r="L288" t="s">
        <v>59</v>
      </c>
      <c r="M288">
        <v>5</v>
      </c>
      <c r="N288" t="str">
        <f>HYPERLINK("Gene1498-zp_tree_all.dnd", "Gene1498-tree")</f>
        <v>Gene1498-tree</v>
      </c>
      <c r="O288">
        <v>4</v>
      </c>
      <c r="P288">
        <v>1</v>
      </c>
      <c r="Q288">
        <v>3</v>
      </c>
      <c r="R288">
        <v>1</v>
      </c>
      <c r="S288">
        <v>0.25</v>
      </c>
      <c r="T288" t="s">
        <v>119</v>
      </c>
      <c r="U288" t="s">
        <v>61</v>
      </c>
      <c r="V288" t="s">
        <v>62</v>
      </c>
      <c r="W288" t="s">
        <v>62</v>
      </c>
      <c r="X288">
        <v>0</v>
      </c>
      <c r="Y288">
        <v>0</v>
      </c>
      <c r="Z288">
        <v>3</v>
      </c>
      <c r="AA288">
        <v>0</v>
      </c>
      <c r="AB288">
        <v>0</v>
      </c>
      <c r="AC288">
        <v>0</v>
      </c>
      <c r="AD288">
        <v>0</v>
      </c>
      <c r="AE288">
        <v>1</v>
      </c>
      <c r="AF288">
        <v>0</v>
      </c>
      <c r="AG288">
        <v>0</v>
      </c>
      <c r="AH288">
        <v>0</v>
      </c>
      <c r="AI288">
        <v>0</v>
      </c>
      <c r="AJ288">
        <v>2</v>
      </c>
      <c r="AK288">
        <v>0</v>
      </c>
      <c r="AL288">
        <v>4</v>
      </c>
      <c r="AM288">
        <v>1</v>
      </c>
      <c r="AN288">
        <v>7</v>
      </c>
      <c r="AO288">
        <v>2</v>
      </c>
      <c r="AP288">
        <v>20</v>
      </c>
      <c r="AQ288">
        <v>1</v>
      </c>
      <c r="AR288" t="s">
        <v>1989</v>
      </c>
      <c r="AS288" t="s">
        <v>1990</v>
      </c>
      <c r="AT288">
        <v>0.52100000000000002</v>
      </c>
      <c r="AU288" t="s">
        <v>65</v>
      </c>
      <c r="AV288">
        <v>27</v>
      </c>
      <c r="AW288">
        <v>3</v>
      </c>
      <c r="AX288" t="s">
        <v>1991</v>
      </c>
      <c r="AY288" t="s">
        <v>1992</v>
      </c>
      <c r="AZ288" t="s">
        <v>1993</v>
      </c>
      <c r="BA288">
        <v>2.7720000000000002E-2</v>
      </c>
      <c r="BB288">
        <v>1</v>
      </c>
      <c r="BC288" t="s">
        <v>69</v>
      </c>
      <c r="BD288">
        <v>1.3660000000000001</v>
      </c>
      <c r="BE288">
        <v>1.089</v>
      </c>
    </row>
    <row r="289" spans="1:57">
      <c r="A289">
        <v>0</v>
      </c>
      <c r="B289">
        <v>0</v>
      </c>
      <c r="C289">
        <v>0</v>
      </c>
      <c r="D289">
        <v>2393</v>
      </c>
      <c r="E289" t="s">
        <v>3129</v>
      </c>
      <c r="F289" t="s">
        <v>5762</v>
      </c>
      <c r="G289" t="s">
        <v>62</v>
      </c>
      <c r="H289">
        <v>2403509</v>
      </c>
      <c r="I289">
        <v>2404090</v>
      </c>
      <c r="J289" t="s">
        <v>3130</v>
      </c>
      <c r="K289">
        <v>194</v>
      </c>
      <c r="L289" t="s">
        <v>59</v>
      </c>
      <c r="M289">
        <v>5</v>
      </c>
      <c r="N289" t="str">
        <f>HYPERLINK("Gene2393-zp_tree_all.dnd", "Gene2393-tree")</f>
        <v>Gene2393-tree</v>
      </c>
      <c r="O289">
        <v>3</v>
      </c>
      <c r="P289">
        <v>2</v>
      </c>
      <c r="Q289">
        <v>3</v>
      </c>
      <c r="R289">
        <v>2</v>
      </c>
      <c r="S289">
        <v>0.4</v>
      </c>
      <c r="T289" t="s">
        <v>84</v>
      </c>
      <c r="U289" t="s">
        <v>135</v>
      </c>
      <c r="V289" t="s">
        <v>62</v>
      </c>
      <c r="W289" t="s">
        <v>62</v>
      </c>
      <c r="X289">
        <v>0</v>
      </c>
      <c r="Y289">
        <v>0</v>
      </c>
      <c r="Z289">
        <v>6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5</v>
      </c>
      <c r="AK289">
        <v>0</v>
      </c>
      <c r="AL289">
        <v>3</v>
      </c>
      <c r="AM289">
        <v>2</v>
      </c>
      <c r="AN289">
        <v>5</v>
      </c>
      <c r="AO289">
        <v>6</v>
      </c>
      <c r="AP289">
        <v>14</v>
      </c>
      <c r="AQ289">
        <v>1</v>
      </c>
      <c r="AR289" t="s">
        <v>3131</v>
      </c>
      <c r="AS289" t="s">
        <v>3132</v>
      </c>
      <c r="AT289">
        <v>1.3009999999999999</v>
      </c>
      <c r="AU289" t="s">
        <v>65</v>
      </c>
      <c r="AV289">
        <v>19</v>
      </c>
      <c r="AW289">
        <v>7</v>
      </c>
      <c r="AX289" t="s">
        <v>3133</v>
      </c>
      <c r="AY289" t="s">
        <v>3134</v>
      </c>
      <c r="AZ289" t="s">
        <v>3135</v>
      </c>
      <c r="BA289">
        <v>7.6730000000000007E-2</v>
      </c>
      <c r="BB289">
        <v>1</v>
      </c>
      <c r="BC289" t="s">
        <v>69</v>
      </c>
      <c r="BD289">
        <v>0.74399999999999999</v>
      </c>
      <c r="BE289">
        <v>0.74399999999999999</v>
      </c>
    </row>
    <row r="290" spans="1:57">
      <c r="A290">
        <v>0</v>
      </c>
      <c r="B290">
        <v>0</v>
      </c>
      <c r="C290">
        <v>0</v>
      </c>
      <c r="D290">
        <v>2405</v>
      </c>
      <c r="E290" t="s">
        <v>3140</v>
      </c>
      <c r="F290" t="s">
        <v>5762</v>
      </c>
      <c r="G290" t="s">
        <v>62</v>
      </c>
      <c r="H290">
        <v>2414630</v>
      </c>
      <c r="I290">
        <v>2415211</v>
      </c>
      <c r="J290" t="s">
        <v>3141</v>
      </c>
      <c r="K290">
        <v>194</v>
      </c>
      <c r="L290" t="s">
        <v>59</v>
      </c>
      <c r="M290">
        <v>5</v>
      </c>
      <c r="N290" t="str">
        <f>HYPERLINK("Gene2405-zp_tree_all.dnd", "Gene2405-tree")</f>
        <v>Gene2405-tree</v>
      </c>
      <c r="O290">
        <v>5</v>
      </c>
      <c r="P290">
        <v>0</v>
      </c>
      <c r="Q290">
        <v>5</v>
      </c>
      <c r="R290">
        <v>0</v>
      </c>
      <c r="S290">
        <v>0</v>
      </c>
      <c r="T290" t="s">
        <v>98</v>
      </c>
      <c r="U290" t="s">
        <v>62</v>
      </c>
      <c r="V290" t="s">
        <v>62</v>
      </c>
      <c r="W290" t="s">
        <v>62</v>
      </c>
      <c r="X290">
        <v>0</v>
      </c>
      <c r="Y290">
        <v>0</v>
      </c>
      <c r="Z290">
        <v>3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4</v>
      </c>
      <c r="AM290">
        <v>2</v>
      </c>
      <c r="AN290">
        <v>11</v>
      </c>
      <c r="AO290">
        <v>0</v>
      </c>
      <c r="AP290">
        <v>15</v>
      </c>
      <c r="AQ290">
        <v>3</v>
      </c>
      <c r="AR290" t="s">
        <v>64</v>
      </c>
      <c r="AS290" t="s">
        <v>3142</v>
      </c>
      <c r="AT290">
        <v>1.0249999999999999</v>
      </c>
      <c r="AU290" t="s">
        <v>65</v>
      </c>
      <c r="AV290">
        <v>26</v>
      </c>
      <c r="AW290">
        <v>3</v>
      </c>
      <c r="AX290" t="s">
        <v>3143</v>
      </c>
      <c r="AY290" t="s">
        <v>3144</v>
      </c>
      <c r="AZ290" t="s">
        <v>3145</v>
      </c>
      <c r="BA290">
        <v>3.4639999999999997E-2</v>
      </c>
      <c r="BB290">
        <v>1</v>
      </c>
      <c r="BC290" t="s">
        <v>69</v>
      </c>
      <c r="BD290">
        <v>0.94399999999999995</v>
      </c>
      <c r="BE290">
        <v>0.48299999999999998</v>
      </c>
    </row>
    <row r="291" spans="1:57">
      <c r="A291">
        <v>0</v>
      </c>
      <c r="B291">
        <v>0</v>
      </c>
      <c r="C291">
        <v>0</v>
      </c>
      <c r="D291">
        <v>2416</v>
      </c>
      <c r="E291" t="s">
        <v>3161</v>
      </c>
      <c r="F291" t="s">
        <v>5762</v>
      </c>
      <c r="G291" t="s">
        <v>62</v>
      </c>
      <c r="H291">
        <v>2425251</v>
      </c>
      <c r="I291">
        <v>2425841</v>
      </c>
      <c r="J291" t="s">
        <v>3162</v>
      </c>
      <c r="K291">
        <v>197</v>
      </c>
      <c r="L291" t="s">
        <v>83</v>
      </c>
      <c r="M291">
        <v>4</v>
      </c>
      <c r="N291" t="str">
        <f>HYPERLINK("Gene2416-zp_tree_all.dnd", "Gene2416-tree")</f>
        <v>Gene2416-tree</v>
      </c>
      <c r="O291">
        <v>3</v>
      </c>
      <c r="P291">
        <v>1</v>
      </c>
      <c r="Q291">
        <v>3</v>
      </c>
      <c r="R291">
        <v>1</v>
      </c>
      <c r="S291">
        <v>0.25</v>
      </c>
      <c r="T291" t="s">
        <v>84</v>
      </c>
      <c r="U291" t="s">
        <v>61</v>
      </c>
      <c r="V291" t="s">
        <v>62</v>
      </c>
      <c r="W291" t="s">
        <v>62</v>
      </c>
      <c r="X291">
        <v>0</v>
      </c>
      <c r="Y291">
        <v>0</v>
      </c>
      <c r="Z291">
        <v>1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1</v>
      </c>
      <c r="AK291">
        <v>0</v>
      </c>
      <c r="AL291">
        <v>4</v>
      </c>
      <c r="AM291">
        <v>1</v>
      </c>
      <c r="AN291">
        <v>30</v>
      </c>
      <c r="AO291">
        <v>1</v>
      </c>
      <c r="AP291">
        <v>1</v>
      </c>
      <c r="AQ291">
        <v>0</v>
      </c>
      <c r="AR291" t="s">
        <v>3163</v>
      </c>
      <c r="AS291" t="s">
        <v>64</v>
      </c>
      <c r="AT291">
        <v>0.375</v>
      </c>
      <c r="AU291" t="s">
        <v>65</v>
      </c>
      <c r="AV291">
        <v>31</v>
      </c>
      <c r="AW291">
        <v>1</v>
      </c>
      <c r="AX291" t="s">
        <v>3164</v>
      </c>
      <c r="AY291" t="s">
        <v>3165</v>
      </c>
      <c r="AZ291" t="s">
        <v>3166</v>
      </c>
      <c r="BA291">
        <v>8.9700000000000005E-3</v>
      </c>
      <c r="BB291">
        <v>1</v>
      </c>
      <c r="BC291" t="s">
        <v>69</v>
      </c>
      <c r="BD291">
        <v>-0.54600000000000004</v>
      </c>
      <c r="BE291">
        <v>-0.86099999999999999</v>
      </c>
    </row>
    <row r="292" spans="1:57">
      <c r="A292">
        <v>0</v>
      </c>
      <c r="B292">
        <v>0</v>
      </c>
      <c r="C292">
        <v>0</v>
      </c>
      <c r="D292">
        <v>157</v>
      </c>
      <c r="E292" t="s">
        <v>599</v>
      </c>
      <c r="F292" t="s">
        <v>5762</v>
      </c>
      <c r="G292" t="s">
        <v>57</v>
      </c>
      <c r="H292">
        <v>159182</v>
      </c>
      <c r="I292">
        <v>159775</v>
      </c>
      <c r="J292" t="s">
        <v>600</v>
      </c>
      <c r="K292">
        <v>198</v>
      </c>
      <c r="L292" t="s">
        <v>59</v>
      </c>
      <c r="M292">
        <v>5</v>
      </c>
      <c r="N292" t="str">
        <f>HYPERLINK("Gene157-zp_tree_all.dnd", "Gene157-tree")</f>
        <v>Gene157-tree</v>
      </c>
      <c r="O292">
        <v>4</v>
      </c>
      <c r="P292">
        <v>1</v>
      </c>
      <c r="Q292">
        <v>3</v>
      </c>
      <c r="R292">
        <v>1</v>
      </c>
      <c r="S292">
        <v>0.25</v>
      </c>
      <c r="T292" t="s">
        <v>119</v>
      </c>
      <c r="U292" t="s">
        <v>61</v>
      </c>
      <c r="V292" t="s">
        <v>62</v>
      </c>
      <c r="W292" t="s">
        <v>62</v>
      </c>
      <c r="X292">
        <v>0</v>
      </c>
      <c r="Y292">
        <v>0</v>
      </c>
      <c r="Z292">
        <v>3</v>
      </c>
      <c r="AA292">
        <v>0</v>
      </c>
      <c r="AB292">
        <v>0</v>
      </c>
      <c r="AC292">
        <v>0</v>
      </c>
      <c r="AD292">
        <v>0</v>
      </c>
      <c r="AE292">
        <v>2</v>
      </c>
      <c r="AF292">
        <v>0</v>
      </c>
      <c r="AG292">
        <v>0</v>
      </c>
      <c r="AH292">
        <v>0</v>
      </c>
      <c r="AI292">
        <v>0</v>
      </c>
      <c r="AJ292">
        <v>1</v>
      </c>
      <c r="AK292">
        <v>0</v>
      </c>
      <c r="AL292">
        <v>4</v>
      </c>
      <c r="AM292">
        <v>1</v>
      </c>
      <c r="AN292">
        <v>14</v>
      </c>
      <c r="AO292">
        <v>1</v>
      </c>
      <c r="AP292">
        <v>15</v>
      </c>
      <c r="AQ292">
        <v>2</v>
      </c>
      <c r="AR292" t="s">
        <v>601</v>
      </c>
      <c r="AS292" t="s">
        <v>602</v>
      </c>
      <c r="AT292">
        <v>0.47199999999999998</v>
      </c>
      <c r="AU292" t="s">
        <v>65</v>
      </c>
      <c r="AV292">
        <v>29</v>
      </c>
      <c r="AW292">
        <v>3</v>
      </c>
      <c r="AX292" t="s">
        <v>603</v>
      </c>
      <c r="AY292" t="s">
        <v>604</v>
      </c>
      <c r="AZ292" t="s">
        <v>605</v>
      </c>
      <c r="BA292">
        <v>2.9680000000000002E-2</v>
      </c>
      <c r="BB292">
        <v>1</v>
      </c>
      <c r="BC292" t="s">
        <v>69</v>
      </c>
      <c r="BD292">
        <v>1.2769999999999999</v>
      </c>
      <c r="BE292">
        <v>0.79400000000000004</v>
      </c>
    </row>
    <row r="293" spans="1:57">
      <c r="A293">
        <v>0</v>
      </c>
      <c r="B293">
        <v>0</v>
      </c>
      <c r="C293">
        <v>0</v>
      </c>
      <c r="D293">
        <v>21</v>
      </c>
      <c r="E293" t="s">
        <v>113</v>
      </c>
      <c r="F293" t="s">
        <v>5762</v>
      </c>
      <c r="G293" t="s">
        <v>57</v>
      </c>
      <c r="H293">
        <v>28867</v>
      </c>
      <c r="I293">
        <v>29460</v>
      </c>
      <c r="J293" t="s">
        <v>114</v>
      </c>
      <c r="K293">
        <v>198</v>
      </c>
      <c r="L293" t="s">
        <v>59</v>
      </c>
      <c r="M293">
        <v>5</v>
      </c>
      <c r="N293" t="str">
        <f>HYPERLINK("Gene21-zp_tree_all.dnd", "Gene21-tree")</f>
        <v>Gene21-tree</v>
      </c>
      <c r="O293">
        <v>5</v>
      </c>
      <c r="P293">
        <v>0</v>
      </c>
      <c r="Q293">
        <v>5</v>
      </c>
      <c r="R293">
        <v>0</v>
      </c>
      <c r="S293">
        <v>0</v>
      </c>
      <c r="T293" t="s">
        <v>98</v>
      </c>
      <c r="U293" t="s">
        <v>62</v>
      </c>
      <c r="V293" t="s">
        <v>62</v>
      </c>
      <c r="W293" t="s">
        <v>62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5</v>
      </c>
      <c r="AM293">
        <v>2</v>
      </c>
      <c r="AN293">
        <v>12</v>
      </c>
      <c r="AO293">
        <v>0</v>
      </c>
      <c r="AP293">
        <v>11</v>
      </c>
      <c r="AQ293">
        <v>0</v>
      </c>
      <c r="AR293" t="s">
        <v>64</v>
      </c>
      <c r="AS293" t="s">
        <v>64</v>
      </c>
      <c r="AT293">
        <v>0</v>
      </c>
      <c r="AU293" t="s">
        <v>65</v>
      </c>
      <c r="AV293">
        <v>23</v>
      </c>
      <c r="AW293">
        <v>0</v>
      </c>
      <c r="AX293" t="s">
        <v>115</v>
      </c>
      <c r="AY293" t="s">
        <v>116</v>
      </c>
      <c r="AZ293" t="s">
        <v>64</v>
      </c>
      <c r="BA293">
        <v>0</v>
      </c>
      <c r="BB293">
        <v>1</v>
      </c>
      <c r="BC293" t="s">
        <v>69</v>
      </c>
      <c r="BD293">
        <v>0.67600000000000005</v>
      </c>
      <c r="BE293">
        <v>0.38200000000000001</v>
      </c>
    </row>
    <row r="294" spans="1:57">
      <c r="A294">
        <v>0</v>
      </c>
      <c r="B294">
        <v>0</v>
      </c>
      <c r="C294">
        <v>0</v>
      </c>
      <c r="D294">
        <v>989</v>
      </c>
      <c r="E294" t="s">
        <v>1431</v>
      </c>
      <c r="F294" t="s">
        <v>5762</v>
      </c>
      <c r="G294" t="s">
        <v>57</v>
      </c>
      <c r="H294">
        <v>1031395</v>
      </c>
      <c r="I294">
        <v>1031991</v>
      </c>
      <c r="J294" t="s">
        <v>1432</v>
      </c>
      <c r="K294">
        <v>199</v>
      </c>
      <c r="L294" t="s">
        <v>59</v>
      </c>
      <c r="M294">
        <v>5</v>
      </c>
      <c r="N294" t="str">
        <f>HYPERLINK("Gene989-zp_tree_all.dnd", "Gene989-tree")</f>
        <v>Gene989-tree</v>
      </c>
      <c r="O294">
        <v>4</v>
      </c>
      <c r="P294">
        <v>0</v>
      </c>
      <c r="Q294">
        <v>4</v>
      </c>
      <c r="R294">
        <v>0</v>
      </c>
      <c r="S294">
        <v>0</v>
      </c>
      <c r="T294" t="s">
        <v>60</v>
      </c>
      <c r="U294" t="s">
        <v>62</v>
      </c>
      <c r="V294" t="s">
        <v>62</v>
      </c>
      <c r="W294" t="s">
        <v>62</v>
      </c>
      <c r="X294">
        <v>0</v>
      </c>
      <c r="Y294">
        <v>0</v>
      </c>
      <c r="Z294">
        <v>7</v>
      </c>
      <c r="AA294">
        <v>0</v>
      </c>
      <c r="AB294">
        <v>0</v>
      </c>
      <c r="AC294">
        <v>0</v>
      </c>
      <c r="AD294">
        <v>0</v>
      </c>
      <c r="AE294">
        <v>7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3</v>
      </c>
      <c r="AM294">
        <v>1</v>
      </c>
      <c r="AN294">
        <v>8</v>
      </c>
      <c r="AO294">
        <v>0</v>
      </c>
      <c r="AP294">
        <v>18</v>
      </c>
      <c r="AQ294">
        <v>8</v>
      </c>
      <c r="AR294" t="s">
        <v>64</v>
      </c>
      <c r="AS294" t="s">
        <v>1433</v>
      </c>
      <c r="AT294">
        <v>0</v>
      </c>
      <c r="AU294" t="s">
        <v>65</v>
      </c>
      <c r="AV294">
        <v>26</v>
      </c>
      <c r="AW294">
        <v>8</v>
      </c>
      <c r="AX294" t="s">
        <v>1434</v>
      </c>
      <c r="AY294" t="s">
        <v>1435</v>
      </c>
      <c r="AZ294" t="s">
        <v>1436</v>
      </c>
      <c r="BA294">
        <v>9.1840000000000005E-2</v>
      </c>
      <c r="BB294">
        <v>1</v>
      </c>
      <c r="BC294" t="s">
        <v>69</v>
      </c>
      <c r="BD294">
        <v>1.258</v>
      </c>
      <c r="BE294">
        <v>1.022</v>
      </c>
    </row>
    <row r="295" spans="1:57">
      <c r="A295">
        <v>0</v>
      </c>
      <c r="B295">
        <v>0</v>
      </c>
      <c r="C295">
        <v>0</v>
      </c>
      <c r="D295">
        <v>2942</v>
      </c>
      <c r="E295" t="s">
        <v>3883</v>
      </c>
      <c r="F295" t="s">
        <v>5762</v>
      </c>
      <c r="G295" t="s">
        <v>62</v>
      </c>
      <c r="H295">
        <v>2888943</v>
      </c>
      <c r="I295">
        <v>2889539</v>
      </c>
      <c r="J295" t="s">
        <v>3884</v>
      </c>
      <c r="K295">
        <v>199</v>
      </c>
      <c r="L295" t="s">
        <v>83</v>
      </c>
      <c r="M295">
        <v>4</v>
      </c>
      <c r="N295" t="str">
        <f>HYPERLINK("Gene2942-zp_tree_all.dnd", "Gene2942-tree")</f>
        <v>Gene2942-tree</v>
      </c>
      <c r="O295">
        <v>1</v>
      </c>
      <c r="P295">
        <v>3</v>
      </c>
      <c r="Q295">
        <v>1</v>
      </c>
      <c r="R295">
        <v>3</v>
      </c>
      <c r="S295">
        <v>0.75</v>
      </c>
      <c r="T295" t="s">
        <v>61</v>
      </c>
      <c r="U295" t="s">
        <v>84</v>
      </c>
      <c r="V295" t="s">
        <v>62</v>
      </c>
      <c r="W295" t="s">
        <v>62</v>
      </c>
      <c r="X295">
        <v>0</v>
      </c>
      <c r="Y295">
        <v>0</v>
      </c>
      <c r="Z295">
        <v>9</v>
      </c>
      <c r="AA295">
        <v>0</v>
      </c>
      <c r="AB295">
        <v>0</v>
      </c>
      <c r="AC295">
        <v>0</v>
      </c>
      <c r="AD295">
        <v>0</v>
      </c>
      <c r="AE295">
        <v>1</v>
      </c>
      <c r="AF295">
        <v>0</v>
      </c>
      <c r="AG295">
        <v>0</v>
      </c>
      <c r="AH295">
        <v>0</v>
      </c>
      <c r="AI295">
        <v>0</v>
      </c>
      <c r="AJ295">
        <v>8</v>
      </c>
      <c r="AK295">
        <v>0</v>
      </c>
      <c r="AL295">
        <v>4</v>
      </c>
      <c r="AM295">
        <v>1</v>
      </c>
      <c r="AN295">
        <v>29</v>
      </c>
      <c r="AO295">
        <v>8</v>
      </c>
      <c r="AP295">
        <v>2</v>
      </c>
      <c r="AQ295">
        <v>1</v>
      </c>
      <c r="AR295" t="s">
        <v>3885</v>
      </c>
      <c r="AS295" t="s">
        <v>3886</v>
      </c>
      <c r="AT295">
        <v>0.873</v>
      </c>
      <c r="AU295" t="s">
        <v>65</v>
      </c>
      <c r="AV295">
        <v>31</v>
      </c>
      <c r="AW295">
        <v>9</v>
      </c>
      <c r="AX295" t="s">
        <v>3887</v>
      </c>
      <c r="AY295" t="s">
        <v>3888</v>
      </c>
      <c r="AZ295" t="s">
        <v>3889</v>
      </c>
      <c r="BA295">
        <v>7.4550000000000005E-2</v>
      </c>
      <c r="BB295">
        <v>1</v>
      </c>
      <c r="BC295" t="s">
        <v>69</v>
      </c>
      <c r="BD295">
        <v>-0.16</v>
      </c>
      <c r="BE295">
        <v>-0.68799999999999994</v>
      </c>
    </row>
    <row r="296" spans="1:57">
      <c r="A296">
        <v>0</v>
      </c>
      <c r="B296">
        <v>0</v>
      </c>
      <c r="C296">
        <v>0</v>
      </c>
      <c r="D296">
        <v>483</v>
      </c>
      <c r="E296" t="s">
        <v>970</v>
      </c>
      <c r="F296" t="s">
        <v>5762</v>
      </c>
      <c r="G296" t="s">
        <v>57</v>
      </c>
      <c r="H296">
        <v>523650</v>
      </c>
      <c r="I296">
        <v>524246</v>
      </c>
      <c r="J296" t="s">
        <v>971</v>
      </c>
      <c r="K296">
        <v>199</v>
      </c>
      <c r="L296" t="s">
        <v>112</v>
      </c>
      <c r="M296">
        <v>4</v>
      </c>
      <c r="N296" t="str">
        <f>HYPERLINK("Gene483-zp_tree_all.dnd", "Gene483-tree")</f>
        <v>Gene483-tree</v>
      </c>
      <c r="O296">
        <v>2</v>
      </c>
      <c r="P296">
        <v>2</v>
      </c>
      <c r="Q296">
        <v>2</v>
      </c>
      <c r="R296">
        <v>2</v>
      </c>
      <c r="S296">
        <v>0.5</v>
      </c>
      <c r="T296" t="s">
        <v>135</v>
      </c>
      <c r="U296" t="s">
        <v>135</v>
      </c>
      <c r="V296" t="s">
        <v>62</v>
      </c>
      <c r="W296" t="s">
        <v>62</v>
      </c>
      <c r="X296">
        <v>0</v>
      </c>
      <c r="Y296">
        <v>0</v>
      </c>
      <c r="Z296">
        <v>4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3</v>
      </c>
      <c r="AK296">
        <v>0</v>
      </c>
      <c r="AL296">
        <v>3</v>
      </c>
      <c r="AM296">
        <v>1</v>
      </c>
      <c r="AN296">
        <v>20</v>
      </c>
      <c r="AO296">
        <v>3</v>
      </c>
      <c r="AP296">
        <v>2</v>
      </c>
      <c r="AQ296">
        <v>1</v>
      </c>
      <c r="AR296" t="s">
        <v>972</v>
      </c>
      <c r="AS296" t="s">
        <v>973</v>
      </c>
      <c r="AT296">
        <v>2.09</v>
      </c>
      <c r="AU296" t="s">
        <v>65</v>
      </c>
      <c r="AV296">
        <v>22</v>
      </c>
      <c r="AW296">
        <v>4</v>
      </c>
      <c r="AX296" t="s">
        <v>974</v>
      </c>
      <c r="AY296" t="s">
        <v>975</v>
      </c>
      <c r="AZ296" t="s">
        <v>976</v>
      </c>
      <c r="BA296">
        <v>5.1069999999999997E-2</v>
      </c>
      <c r="BB296">
        <v>1</v>
      </c>
      <c r="BC296" t="s">
        <v>69</v>
      </c>
      <c r="BD296">
        <v>-0.496</v>
      </c>
      <c r="BE296">
        <v>-0.496</v>
      </c>
    </row>
    <row r="297" spans="1:57">
      <c r="A297">
        <v>0</v>
      </c>
      <c r="B297">
        <v>0</v>
      </c>
      <c r="C297">
        <v>0</v>
      </c>
      <c r="D297">
        <v>106</v>
      </c>
      <c r="E297" t="s">
        <v>411</v>
      </c>
      <c r="F297" t="s">
        <v>5762</v>
      </c>
      <c r="G297" t="s">
        <v>57</v>
      </c>
      <c r="H297">
        <v>121068</v>
      </c>
      <c r="I297">
        <v>121670</v>
      </c>
      <c r="J297" t="s">
        <v>412</v>
      </c>
      <c r="K297">
        <v>201</v>
      </c>
      <c r="L297" t="s">
        <v>59</v>
      </c>
      <c r="M297">
        <v>5</v>
      </c>
      <c r="N297" t="str">
        <f>HYPERLINK("Gene106-zp_tree_all.dnd", "Gene106-tree")</f>
        <v>Gene106-tree</v>
      </c>
      <c r="O297">
        <v>1</v>
      </c>
      <c r="P297">
        <v>4</v>
      </c>
      <c r="Q297">
        <v>1</v>
      </c>
      <c r="R297">
        <v>4</v>
      </c>
      <c r="S297">
        <v>0.8</v>
      </c>
      <c r="T297" t="s">
        <v>61</v>
      </c>
      <c r="U297" t="s">
        <v>60</v>
      </c>
      <c r="V297" t="s">
        <v>62</v>
      </c>
      <c r="W297" t="s">
        <v>62</v>
      </c>
      <c r="X297">
        <v>0</v>
      </c>
      <c r="Y297">
        <v>0</v>
      </c>
      <c r="Z297">
        <v>9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7</v>
      </c>
      <c r="AK297">
        <v>0</v>
      </c>
      <c r="AL297">
        <v>5</v>
      </c>
      <c r="AM297">
        <v>2</v>
      </c>
      <c r="AN297">
        <v>10</v>
      </c>
      <c r="AO297">
        <v>7</v>
      </c>
      <c r="AP297">
        <v>17</v>
      </c>
      <c r="AQ297">
        <v>2</v>
      </c>
      <c r="AR297" t="s">
        <v>413</v>
      </c>
      <c r="AS297" t="s">
        <v>414</v>
      </c>
      <c r="AT297">
        <v>1.99</v>
      </c>
      <c r="AU297" t="s">
        <v>286</v>
      </c>
      <c r="AV297">
        <v>27</v>
      </c>
      <c r="AW297">
        <v>9</v>
      </c>
      <c r="AX297" t="s">
        <v>415</v>
      </c>
      <c r="AY297" t="s">
        <v>416</v>
      </c>
      <c r="AZ297" t="s">
        <v>417</v>
      </c>
      <c r="BA297">
        <v>7.46E-2</v>
      </c>
      <c r="BB297">
        <v>1</v>
      </c>
      <c r="BC297" t="s">
        <v>69</v>
      </c>
      <c r="BD297">
        <v>0.63400000000000001</v>
      </c>
      <c r="BE297">
        <v>0.40400000000000003</v>
      </c>
    </row>
    <row r="298" spans="1:57">
      <c r="A298">
        <v>0</v>
      </c>
      <c r="B298">
        <v>0</v>
      </c>
      <c r="C298">
        <v>0</v>
      </c>
      <c r="D298">
        <v>2604</v>
      </c>
      <c r="E298" t="s">
        <v>3448</v>
      </c>
      <c r="F298" t="s">
        <v>5762</v>
      </c>
      <c r="G298" t="s">
        <v>62</v>
      </c>
      <c r="H298">
        <v>2585437</v>
      </c>
      <c r="I298">
        <v>2586042</v>
      </c>
      <c r="J298" t="s">
        <v>3449</v>
      </c>
      <c r="K298">
        <v>202</v>
      </c>
      <c r="L298" t="s">
        <v>59</v>
      </c>
      <c r="M298">
        <v>5</v>
      </c>
      <c r="N298" t="str">
        <f>HYPERLINK("Gene2604-zp_tree_all.dnd", "Gene2604-tree")</f>
        <v>Gene2604-tree</v>
      </c>
      <c r="O298">
        <v>3</v>
      </c>
      <c r="P298">
        <v>2</v>
      </c>
      <c r="Q298">
        <v>3</v>
      </c>
      <c r="R298">
        <v>2</v>
      </c>
      <c r="S298">
        <v>0.4</v>
      </c>
      <c r="T298" t="s">
        <v>84</v>
      </c>
      <c r="U298" t="s">
        <v>135</v>
      </c>
      <c r="V298" t="s">
        <v>62</v>
      </c>
      <c r="W298" t="s">
        <v>62</v>
      </c>
      <c r="X298">
        <v>0</v>
      </c>
      <c r="Y298">
        <v>0</v>
      </c>
      <c r="Z298">
        <v>3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2</v>
      </c>
      <c r="AK298">
        <v>0</v>
      </c>
      <c r="AL298">
        <v>4</v>
      </c>
      <c r="AM298">
        <v>2</v>
      </c>
      <c r="AN298">
        <v>16</v>
      </c>
      <c r="AO298">
        <v>2</v>
      </c>
      <c r="AP298">
        <v>6</v>
      </c>
      <c r="AQ298">
        <v>1</v>
      </c>
      <c r="AR298" t="s">
        <v>3450</v>
      </c>
      <c r="AS298" t="s">
        <v>3451</v>
      </c>
      <c r="AT298">
        <v>0.223</v>
      </c>
      <c r="AU298" t="s">
        <v>65</v>
      </c>
      <c r="AV298">
        <v>22</v>
      </c>
      <c r="AW298">
        <v>3</v>
      </c>
      <c r="AX298" t="s">
        <v>3452</v>
      </c>
      <c r="AY298" t="s">
        <v>3453</v>
      </c>
      <c r="AZ298" t="s">
        <v>3454</v>
      </c>
      <c r="BA298">
        <v>3.9489999999999997E-2</v>
      </c>
      <c r="BB298">
        <v>1</v>
      </c>
      <c r="BC298" t="s">
        <v>69</v>
      </c>
      <c r="BD298">
        <v>-0.372</v>
      </c>
      <c r="BE298">
        <v>-0.372</v>
      </c>
    </row>
    <row r="299" spans="1:57">
      <c r="A299">
        <v>0</v>
      </c>
      <c r="B299">
        <v>0</v>
      </c>
      <c r="C299">
        <v>0</v>
      </c>
      <c r="D299">
        <v>2962</v>
      </c>
      <c r="E299" t="s">
        <v>3931</v>
      </c>
      <c r="F299" t="s">
        <v>5762</v>
      </c>
      <c r="G299" t="s">
        <v>62</v>
      </c>
      <c r="H299">
        <v>2908132</v>
      </c>
      <c r="I299">
        <v>2908737</v>
      </c>
      <c r="J299" t="s">
        <v>3932</v>
      </c>
      <c r="K299">
        <v>202</v>
      </c>
      <c r="L299" t="s">
        <v>59</v>
      </c>
      <c r="M299">
        <v>5</v>
      </c>
      <c r="N299" t="str">
        <f>HYPERLINK("Gene2962-zp_tree_all.dnd", "Gene2962-tree")</f>
        <v>Gene2962-tree</v>
      </c>
      <c r="O299">
        <v>5</v>
      </c>
      <c r="P299">
        <v>0</v>
      </c>
      <c r="Q299">
        <v>5</v>
      </c>
      <c r="R299">
        <v>0</v>
      </c>
      <c r="S299">
        <v>0</v>
      </c>
      <c r="T299" t="s">
        <v>98</v>
      </c>
      <c r="U299" t="s">
        <v>62</v>
      </c>
      <c r="V299" t="s">
        <v>62</v>
      </c>
      <c r="W299" t="s">
        <v>62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4</v>
      </c>
      <c r="AM299">
        <v>2</v>
      </c>
      <c r="AN299">
        <v>7</v>
      </c>
      <c r="AO299">
        <v>0</v>
      </c>
      <c r="AP299">
        <v>14</v>
      </c>
      <c r="AQ299">
        <v>0</v>
      </c>
      <c r="AR299" t="s">
        <v>64</v>
      </c>
      <c r="AS299" t="s">
        <v>64</v>
      </c>
      <c r="AT299">
        <v>0</v>
      </c>
      <c r="AU299" t="s">
        <v>65</v>
      </c>
      <c r="AV299">
        <v>21</v>
      </c>
      <c r="AW299">
        <v>0</v>
      </c>
      <c r="AX299" t="s">
        <v>3933</v>
      </c>
      <c r="AY299" t="s">
        <v>3934</v>
      </c>
      <c r="AZ299" t="s">
        <v>64</v>
      </c>
      <c r="BA299">
        <v>0</v>
      </c>
      <c r="BB299">
        <v>1</v>
      </c>
      <c r="BC299" t="s">
        <v>69</v>
      </c>
      <c r="BD299">
        <v>1.33</v>
      </c>
      <c r="BE299">
        <v>0.98899999999999999</v>
      </c>
    </row>
    <row r="300" spans="1:57">
      <c r="A300">
        <v>0</v>
      </c>
      <c r="B300">
        <v>0</v>
      </c>
      <c r="C300">
        <v>0</v>
      </c>
      <c r="D300">
        <v>2437</v>
      </c>
      <c r="E300" t="s">
        <v>3207</v>
      </c>
      <c r="F300" t="s">
        <v>5762</v>
      </c>
      <c r="G300" t="s">
        <v>62</v>
      </c>
      <c r="H300">
        <v>2439807</v>
      </c>
      <c r="I300">
        <v>2440415</v>
      </c>
      <c r="J300" t="s">
        <v>3208</v>
      </c>
      <c r="K300">
        <v>203</v>
      </c>
      <c r="L300" t="s">
        <v>83</v>
      </c>
      <c r="M300">
        <v>4</v>
      </c>
      <c r="N300" t="str">
        <f>HYPERLINK("Gene2437-zp_tree_all.dnd", "Gene2437-tree")</f>
        <v>Gene2437-tree</v>
      </c>
      <c r="O300">
        <v>3</v>
      </c>
      <c r="P300">
        <v>1</v>
      </c>
      <c r="Q300">
        <v>3</v>
      </c>
      <c r="R300">
        <v>1</v>
      </c>
      <c r="S300">
        <v>0.25</v>
      </c>
      <c r="T300" t="s">
        <v>84</v>
      </c>
      <c r="U300" t="s">
        <v>61</v>
      </c>
      <c r="V300" t="s">
        <v>62</v>
      </c>
      <c r="W300" t="s">
        <v>62</v>
      </c>
      <c r="X300">
        <v>0</v>
      </c>
      <c r="Y300">
        <v>0</v>
      </c>
      <c r="Z300">
        <v>7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7</v>
      </c>
      <c r="AK300">
        <v>0</v>
      </c>
      <c r="AL300">
        <v>3</v>
      </c>
      <c r="AM300">
        <v>1</v>
      </c>
      <c r="AN300">
        <v>24</v>
      </c>
      <c r="AO300">
        <v>8</v>
      </c>
      <c r="AP300">
        <v>1</v>
      </c>
      <c r="AQ300">
        <v>0</v>
      </c>
      <c r="AR300" t="s">
        <v>3209</v>
      </c>
      <c r="AS300" t="s">
        <v>64</v>
      </c>
      <c r="AT300">
        <v>0.51400000000000001</v>
      </c>
      <c r="AU300" t="s">
        <v>65</v>
      </c>
      <c r="AV300">
        <v>25</v>
      </c>
      <c r="AW300">
        <v>8</v>
      </c>
      <c r="AX300" t="s">
        <v>3210</v>
      </c>
      <c r="AY300" t="s">
        <v>3211</v>
      </c>
      <c r="AZ300" t="s">
        <v>3212</v>
      </c>
      <c r="BA300">
        <v>9.1329999999999995E-2</v>
      </c>
      <c r="BB300">
        <v>1</v>
      </c>
      <c r="BC300" t="s">
        <v>69</v>
      </c>
      <c r="BD300">
        <v>-0.76700000000000002</v>
      </c>
      <c r="BE300">
        <v>-0.76700000000000002</v>
      </c>
    </row>
    <row r="301" spans="1:57">
      <c r="A301">
        <v>0</v>
      </c>
      <c r="B301">
        <v>0</v>
      </c>
      <c r="C301">
        <v>0</v>
      </c>
      <c r="D301">
        <v>1687</v>
      </c>
      <c r="E301" t="s">
        <v>2480</v>
      </c>
      <c r="F301" t="s">
        <v>5762</v>
      </c>
      <c r="G301" t="s">
        <v>57</v>
      </c>
      <c r="H301">
        <v>1697651</v>
      </c>
      <c r="I301">
        <v>1698262</v>
      </c>
      <c r="J301" t="s">
        <v>2481</v>
      </c>
      <c r="K301">
        <v>204</v>
      </c>
      <c r="L301" t="s">
        <v>59</v>
      </c>
      <c r="M301">
        <v>5</v>
      </c>
      <c r="N301" t="str">
        <f>HYPERLINK("Gene1687-zp_tree_all.dnd", "Gene1687-tree")</f>
        <v>Gene1687-tree</v>
      </c>
      <c r="O301">
        <v>3</v>
      </c>
      <c r="P301">
        <v>2</v>
      </c>
      <c r="Q301">
        <v>3</v>
      </c>
      <c r="R301">
        <v>2</v>
      </c>
      <c r="S301">
        <v>0.4</v>
      </c>
      <c r="T301" t="s">
        <v>84</v>
      </c>
      <c r="U301" t="s">
        <v>135</v>
      </c>
      <c r="V301" t="s">
        <v>62</v>
      </c>
      <c r="W301" t="s">
        <v>62</v>
      </c>
      <c r="X301">
        <v>0</v>
      </c>
      <c r="Y301">
        <v>0</v>
      </c>
      <c r="Z301">
        <v>13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2</v>
      </c>
      <c r="AK301">
        <v>0</v>
      </c>
      <c r="AL301">
        <v>3</v>
      </c>
      <c r="AM301">
        <v>2</v>
      </c>
      <c r="AN301">
        <v>7</v>
      </c>
      <c r="AO301">
        <v>2</v>
      </c>
      <c r="AP301">
        <v>14</v>
      </c>
      <c r="AQ301">
        <v>13</v>
      </c>
      <c r="AR301" t="s">
        <v>2482</v>
      </c>
      <c r="AS301" t="s">
        <v>2483</v>
      </c>
      <c r="AT301">
        <v>0.54800000000000004</v>
      </c>
      <c r="AU301" t="s">
        <v>65</v>
      </c>
      <c r="AV301">
        <v>21</v>
      </c>
      <c r="AW301">
        <v>15</v>
      </c>
      <c r="AX301" t="s">
        <v>2484</v>
      </c>
      <c r="AY301" t="s">
        <v>2485</v>
      </c>
      <c r="AZ301" t="s">
        <v>2486</v>
      </c>
      <c r="BA301">
        <v>0.19772999999999999</v>
      </c>
      <c r="BB301">
        <v>1</v>
      </c>
      <c r="BC301" t="s">
        <v>69</v>
      </c>
      <c r="BD301">
        <v>1.095</v>
      </c>
      <c r="BE301">
        <v>1.095</v>
      </c>
    </row>
    <row r="302" spans="1:57">
      <c r="A302">
        <v>0</v>
      </c>
      <c r="B302">
        <v>0</v>
      </c>
      <c r="C302">
        <v>0</v>
      </c>
      <c r="D302">
        <v>3951</v>
      </c>
      <c r="E302" t="s">
        <v>5319</v>
      </c>
      <c r="F302" t="s">
        <v>5762</v>
      </c>
      <c r="G302" t="s">
        <v>62</v>
      </c>
      <c r="H302">
        <v>3914694</v>
      </c>
      <c r="I302">
        <v>3915305</v>
      </c>
      <c r="J302" t="s">
        <v>5320</v>
      </c>
      <c r="K302">
        <v>204</v>
      </c>
      <c r="L302" t="s">
        <v>59</v>
      </c>
      <c r="M302">
        <v>5</v>
      </c>
      <c r="N302" t="str">
        <f>HYPERLINK("Gene3951-zp_tree_all.dnd", "Gene3951-tree")</f>
        <v>Gene3951-tree</v>
      </c>
      <c r="O302">
        <v>4</v>
      </c>
      <c r="P302">
        <v>1</v>
      </c>
      <c r="Q302">
        <v>4</v>
      </c>
      <c r="R302">
        <v>1</v>
      </c>
      <c r="S302">
        <v>0.2</v>
      </c>
      <c r="T302" t="s">
        <v>60</v>
      </c>
      <c r="U302" t="s">
        <v>61</v>
      </c>
      <c r="V302" t="s">
        <v>62</v>
      </c>
      <c r="W302" t="s">
        <v>62</v>
      </c>
      <c r="X302">
        <v>0</v>
      </c>
      <c r="Y302">
        <v>0</v>
      </c>
      <c r="Z302">
        <v>4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1</v>
      </c>
      <c r="AK302">
        <v>0</v>
      </c>
      <c r="AL302">
        <v>4</v>
      </c>
      <c r="AM302">
        <v>2</v>
      </c>
      <c r="AN302">
        <v>7</v>
      </c>
      <c r="AO302">
        <v>1</v>
      </c>
      <c r="AP302">
        <v>9</v>
      </c>
      <c r="AQ302">
        <v>3</v>
      </c>
      <c r="AR302" t="s">
        <v>5321</v>
      </c>
      <c r="AS302" t="s">
        <v>5322</v>
      </c>
      <c r="AT302">
        <v>0.42399999999999999</v>
      </c>
      <c r="AU302" t="s">
        <v>65</v>
      </c>
      <c r="AV302">
        <v>16</v>
      </c>
      <c r="AW302">
        <v>4</v>
      </c>
      <c r="AX302" t="s">
        <v>5323</v>
      </c>
      <c r="AY302" t="s">
        <v>5324</v>
      </c>
      <c r="AZ302" t="s">
        <v>5325</v>
      </c>
      <c r="BA302">
        <v>7.8670000000000004E-2</v>
      </c>
      <c r="BB302">
        <v>1</v>
      </c>
      <c r="BC302" t="s">
        <v>69</v>
      </c>
      <c r="BD302">
        <v>0.95499999999999996</v>
      </c>
      <c r="BE302">
        <v>0.55000000000000004</v>
      </c>
    </row>
    <row r="303" spans="1:57">
      <c r="A303">
        <v>0</v>
      </c>
      <c r="B303">
        <v>0</v>
      </c>
      <c r="C303">
        <v>2</v>
      </c>
      <c r="D303">
        <v>366</v>
      </c>
      <c r="E303" t="s">
        <v>814</v>
      </c>
      <c r="F303" t="s">
        <v>5762</v>
      </c>
      <c r="G303" t="s">
        <v>57</v>
      </c>
      <c r="H303">
        <v>412540</v>
      </c>
      <c r="I303">
        <v>413151</v>
      </c>
      <c r="J303" t="s">
        <v>815</v>
      </c>
      <c r="K303">
        <v>204</v>
      </c>
      <c r="L303" t="s">
        <v>83</v>
      </c>
      <c r="M303">
        <v>4</v>
      </c>
      <c r="N303" t="str">
        <f>HYPERLINK("Gene366-zp_tree_all.dnd", "Gene366-tree")</f>
        <v>Gene366-tree</v>
      </c>
      <c r="O303">
        <v>1</v>
      </c>
      <c r="P303">
        <v>3</v>
      </c>
      <c r="Q303">
        <v>1</v>
      </c>
      <c r="R303">
        <v>3</v>
      </c>
      <c r="S303">
        <v>0.75</v>
      </c>
      <c r="T303" t="s">
        <v>61</v>
      </c>
      <c r="U303" t="s">
        <v>84</v>
      </c>
      <c r="V303" t="s">
        <v>62</v>
      </c>
      <c r="W303" t="s">
        <v>62</v>
      </c>
      <c r="X303">
        <v>1</v>
      </c>
      <c r="Y303">
        <v>2</v>
      </c>
      <c r="Z303">
        <v>5</v>
      </c>
      <c r="AA303">
        <v>0.28571000000000002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5</v>
      </c>
      <c r="AK303">
        <v>0</v>
      </c>
      <c r="AL303">
        <v>4</v>
      </c>
      <c r="AM303">
        <v>1</v>
      </c>
      <c r="AN303">
        <v>26</v>
      </c>
      <c r="AO303">
        <v>5</v>
      </c>
      <c r="AP303">
        <v>2</v>
      </c>
      <c r="AQ303">
        <v>2</v>
      </c>
      <c r="AR303" t="s">
        <v>816</v>
      </c>
      <c r="AS303" t="s">
        <v>817</v>
      </c>
      <c r="AT303">
        <v>7.093</v>
      </c>
      <c r="AU303" t="s">
        <v>65</v>
      </c>
      <c r="AV303">
        <v>28</v>
      </c>
      <c r="AW303">
        <v>7</v>
      </c>
      <c r="AX303" t="s">
        <v>818</v>
      </c>
      <c r="AY303" t="s">
        <v>819</v>
      </c>
      <c r="AZ303" t="s">
        <v>820</v>
      </c>
      <c r="BA303">
        <v>7.578E-2</v>
      </c>
      <c r="BB303">
        <v>1</v>
      </c>
      <c r="BC303" t="s">
        <v>69</v>
      </c>
      <c r="BD303">
        <v>-0.30499999999999999</v>
      </c>
      <c r="BE303">
        <v>-0.58399999999999996</v>
      </c>
    </row>
    <row r="304" spans="1:57">
      <c r="A304">
        <v>0</v>
      </c>
      <c r="B304">
        <v>0</v>
      </c>
      <c r="C304">
        <v>0</v>
      </c>
      <c r="D304">
        <v>3910</v>
      </c>
      <c r="E304" t="s">
        <v>5279</v>
      </c>
      <c r="F304" t="s">
        <v>5762</v>
      </c>
      <c r="G304" t="s">
        <v>62</v>
      </c>
      <c r="H304">
        <v>3873569</v>
      </c>
      <c r="I304">
        <v>3874180</v>
      </c>
      <c r="J304" t="s">
        <v>5280</v>
      </c>
      <c r="K304">
        <v>204</v>
      </c>
      <c r="L304" t="s">
        <v>83</v>
      </c>
      <c r="M304">
        <v>4</v>
      </c>
      <c r="N304" t="str">
        <f>HYPERLINK("Gene3910-zp_tree_all.dnd", "Gene3910-tree")</f>
        <v>Gene3910-tree</v>
      </c>
      <c r="O304">
        <v>3</v>
      </c>
      <c r="P304">
        <v>1</v>
      </c>
      <c r="Q304">
        <v>3</v>
      </c>
      <c r="R304">
        <v>1</v>
      </c>
      <c r="S304">
        <v>0.25</v>
      </c>
      <c r="T304" t="s">
        <v>84</v>
      </c>
      <c r="U304" t="s">
        <v>61</v>
      </c>
      <c r="V304" t="s">
        <v>62</v>
      </c>
      <c r="W304" t="s">
        <v>62</v>
      </c>
      <c r="X304">
        <v>0</v>
      </c>
      <c r="Y304">
        <v>0</v>
      </c>
      <c r="Z304">
        <v>4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4</v>
      </c>
      <c r="AK304">
        <v>0</v>
      </c>
      <c r="AL304">
        <v>3</v>
      </c>
      <c r="AM304">
        <v>1</v>
      </c>
      <c r="AN304">
        <v>26</v>
      </c>
      <c r="AO304">
        <v>4</v>
      </c>
      <c r="AP304">
        <v>1</v>
      </c>
      <c r="AQ304">
        <v>0</v>
      </c>
      <c r="AR304" t="s">
        <v>5281</v>
      </c>
      <c r="AS304" t="s">
        <v>64</v>
      </c>
      <c r="AT304">
        <v>0.48</v>
      </c>
      <c r="AU304" t="s">
        <v>65</v>
      </c>
      <c r="AV304">
        <v>27</v>
      </c>
      <c r="AW304">
        <v>4</v>
      </c>
      <c r="AX304" t="s">
        <v>5282</v>
      </c>
      <c r="AY304" t="s">
        <v>5283</v>
      </c>
      <c r="AZ304" t="s">
        <v>5284</v>
      </c>
      <c r="BA304">
        <v>3.7690000000000001E-2</v>
      </c>
      <c r="BB304">
        <v>1</v>
      </c>
      <c r="BC304" t="s">
        <v>69</v>
      </c>
      <c r="BD304">
        <v>-0.54600000000000004</v>
      </c>
      <c r="BE304">
        <v>-0.86099999999999999</v>
      </c>
    </row>
    <row r="305" spans="1:57">
      <c r="A305">
        <v>0</v>
      </c>
      <c r="B305">
        <v>0</v>
      </c>
      <c r="C305">
        <v>0</v>
      </c>
      <c r="D305">
        <v>1629</v>
      </c>
      <c r="E305" t="s">
        <v>2319</v>
      </c>
      <c r="F305" t="s">
        <v>5762</v>
      </c>
      <c r="G305" t="s">
        <v>57</v>
      </c>
      <c r="H305">
        <v>1641949</v>
      </c>
      <c r="I305">
        <v>1642560</v>
      </c>
      <c r="J305" t="s">
        <v>2320</v>
      </c>
      <c r="K305">
        <v>204</v>
      </c>
      <c r="L305" t="s">
        <v>59</v>
      </c>
      <c r="M305">
        <v>5</v>
      </c>
      <c r="N305" t="str">
        <f>HYPERLINK("Gene1629-zp_tree_all.dnd", "Gene1629-tree")</f>
        <v>Gene1629-tree</v>
      </c>
      <c r="O305">
        <v>4</v>
      </c>
      <c r="P305">
        <v>1</v>
      </c>
      <c r="Q305">
        <v>4</v>
      </c>
      <c r="R305">
        <v>1</v>
      </c>
      <c r="S305">
        <v>0.2</v>
      </c>
      <c r="T305" t="s">
        <v>60</v>
      </c>
      <c r="U305" t="s">
        <v>61</v>
      </c>
      <c r="V305" t="s">
        <v>62</v>
      </c>
      <c r="W305" t="s">
        <v>62</v>
      </c>
      <c r="X305">
        <v>0</v>
      </c>
      <c r="Y305">
        <v>0</v>
      </c>
      <c r="Z305">
        <v>3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2</v>
      </c>
      <c r="AK305">
        <v>0</v>
      </c>
      <c r="AL305">
        <v>4</v>
      </c>
      <c r="AM305">
        <v>1</v>
      </c>
      <c r="AN305">
        <v>10</v>
      </c>
      <c r="AO305">
        <v>2</v>
      </c>
      <c r="AP305">
        <v>19</v>
      </c>
      <c r="AQ305">
        <v>1</v>
      </c>
      <c r="AR305" t="s">
        <v>2321</v>
      </c>
      <c r="AS305" t="s">
        <v>2322</v>
      </c>
      <c r="AT305">
        <v>0.47299999999999998</v>
      </c>
      <c r="AU305" t="s">
        <v>65</v>
      </c>
      <c r="AV305">
        <v>29</v>
      </c>
      <c r="AW305">
        <v>3</v>
      </c>
      <c r="AX305" t="s">
        <v>2323</v>
      </c>
      <c r="AY305" t="s">
        <v>2324</v>
      </c>
      <c r="AZ305" t="s">
        <v>2325</v>
      </c>
      <c r="BA305">
        <v>2.4080000000000001E-2</v>
      </c>
      <c r="BB305">
        <v>1</v>
      </c>
      <c r="BC305" t="s">
        <v>69</v>
      </c>
      <c r="BD305">
        <v>0.91500000000000004</v>
      </c>
      <c r="BE305">
        <v>0.66400000000000003</v>
      </c>
    </row>
    <row r="306" spans="1:57">
      <c r="A306">
        <v>0</v>
      </c>
      <c r="B306">
        <v>0</v>
      </c>
      <c r="C306">
        <v>0</v>
      </c>
      <c r="D306">
        <v>3109</v>
      </c>
      <c r="E306" t="s">
        <v>4240</v>
      </c>
      <c r="F306" t="s">
        <v>5762</v>
      </c>
      <c r="G306" t="s">
        <v>62</v>
      </c>
      <c r="H306">
        <v>3060677</v>
      </c>
      <c r="I306">
        <v>3061288</v>
      </c>
      <c r="J306" t="s">
        <v>4241</v>
      </c>
      <c r="K306">
        <v>204</v>
      </c>
      <c r="L306" t="s">
        <v>59</v>
      </c>
      <c r="M306">
        <v>5</v>
      </c>
      <c r="N306" t="str">
        <f>HYPERLINK("Gene3109-zp_tree_all.dnd", "Gene3109-tree")</f>
        <v>Gene3109-tree</v>
      </c>
      <c r="O306">
        <v>4</v>
      </c>
      <c r="P306">
        <v>1</v>
      </c>
      <c r="Q306">
        <v>3</v>
      </c>
      <c r="R306">
        <v>1</v>
      </c>
      <c r="S306">
        <v>0.25</v>
      </c>
      <c r="T306" t="s">
        <v>119</v>
      </c>
      <c r="U306" t="s">
        <v>61</v>
      </c>
      <c r="V306" t="s">
        <v>62</v>
      </c>
      <c r="W306" t="s">
        <v>62</v>
      </c>
      <c r="X306">
        <v>0</v>
      </c>
      <c r="Y306">
        <v>0</v>
      </c>
      <c r="Z306">
        <v>1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1</v>
      </c>
      <c r="AK306">
        <v>0</v>
      </c>
      <c r="AL306">
        <v>4</v>
      </c>
      <c r="AM306">
        <v>1</v>
      </c>
      <c r="AN306">
        <v>13</v>
      </c>
      <c r="AO306">
        <v>1</v>
      </c>
      <c r="AP306">
        <v>15</v>
      </c>
      <c r="AQ306">
        <v>0</v>
      </c>
      <c r="AR306" t="s">
        <v>4242</v>
      </c>
      <c r="AS306" t="s">
        <v>64</v>
      </c>
      <c r="AT306">
        <v>0.59499999999999997</v>
      </c>
      <c r="AU306" t="s">
        <v>65</v>
      </c>
      <c r="AV306">
        <v>28</v>
      </c>
      <c r="AW306">
        <v>1</v>
      </c>
      <c r="AX306" t="s">
        <v>4243</v>
      </c>
      <c r="AY306" t="s">
        <v>4244</v>
      </c>
      <c r="AZ306" t="s">
        <v>4245</v>
      </c>
      <c r="BA306">
        <v>1.3339999999999999E-2</v>
      </c>
      <c r="BB306">
        <v>1</v>
      </c>
      <c r="BC306" t="s">
        <v>69</v>
      </c>
      <c r="BD306">
        <v>0.71399999999999997</v>
      </c>
      <c r="BE306">
        <v>0.48299999999999998</v>
      </c>
    </row>
    <row r="307" spans="1:57">
      <c r="A307">
        <v>0</v>
      </c>
      <c r="B307">
        <v>0</v>
      </c>
      <c r="C307">
        <v>4</v>
      </c>
      <c r="D307">
        <v>2540</v>
      </c>
      <c r="E307" t="s">
        <v>3355</v>
      </c>
      <c r="F307" t="s">
        <v>5762</v>
      </c>
      <c r="G307" t="s">
        <v>62</v>
      </c>
      <c r="H307">
        <v>2533695</v>
      </c>
      <c r="I307">
        <v>2534312</v>
      </c>
      <c r="J307" t="s">
        <v>3356</v>
      </c>
      <c r="K307">
        <v>206</v>
      </c>
      <c r="L307" t="s">
        <v>59</v>
      </c>
      <c r="M307">
        <v>5</v>
      </c>
      <c r="N307" t="str">
        <f>HYPERLINK("Gene2540-zp_tree_all.dnd", "Gene2540-tree")</f>
        <v>Gene2540-tree</v>
      </c>
      <c r="O307">
        <v>1</v>
      </c>
      <c r="P307">
        <v>4</v>
      </c>
      <c r="Q307">
        <v>1</v>
      </c>
      <c r="R307">
        <v>4</v>
      </c>
      <c r="S307">
        <v>0.8</v>
      </c>
      <c r="T307" t="s">
        <v>61</v>
      </c>
      <c r="U307" t="s">
        <v>60</v>
      </c>
      <c r="V307" t="s">
        <v>62</v>
      </c>
      <c r="W307" t="s">
        <v>62</v>
      </c>
      <c r="X307">
        <v>2</v>
      </c>
      <c r="Y307">
        <v>4</v>
      </c>
      <c r="Z307">
        <v>7</v>
      </c>
      <c r="AA307">
        <v>0.36364000000000002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7</v>
      </c>
      <c r="AK307">
        <v>0</v>
      </c>
      <c r="AL307">
        <v>5</v>
      </c>
      <c r="AM307">
        <v>1</v>
      </c>
      <c r="AN307">
        <v>12</v>
      </c>
      <c r="AO307">
        <v>7</v>
      </c>
      <c r="AP307">
        <v>10</v>
      </c>
      <c r="AQ307">
        <v>4</v>
      </c>
      <c r="AR307" t="s">
        <v>3357</v>
      </c>
      <c r="AS307" t="s">
        <v>3358</v>
      </c>
      <c r="AT307">
        <v>0.436</v>
      </c>
      <c r="AU307" t="s">
        <v>65</v>
      </c>
      <c r="AV307">
        <v>22</v>
      </c>
      <c r="AW307">
        <v>11</v>
      </c>
      <c r="AX307" t="s">
        <v>3359</v>
      </c>
      <c r="AY307" t="s">
        <v>3360</v>
      </c>
      <c r="AZ307" t="s">
        <v>3361</v>
      </c>
      <c r="BA307">
        <v>0.12307999999999999</v>
      </c>
      <c r="BB307">
        <v>1</v>
      </c>
      <c r="BC307" t="s">
        <v>69</v>
      </c>
      <c r="BD307">
        <v>7.5999999999999998E-2</v>
      </c>
      <c r="BE307">
        <v>7.5999999999999998E-2</v>
      </c>
    </row>
    <row r="308" spans="1:57">
      <c r="A308">
        <v>0</v>
      </c>
      <c r="B308">
        <v>4</v>
      </c>
      <c r="C308">
        <v>0</v>
      </c>
      <c r="D308">
        <v>3332</v>
      </c>
      <c r="E308" t="s">
        <v>4533</v>
      </c>
      <c r="F308" t="s">
        <v>5762</v>
      </c>
      <c r="G308" t="s">
        <v>62</v>
      </c>
      <c r="H308">
        <v>3304099</v>
      </c>
      <c r="I308">
        <v>3304719</v>
      </c>
      <c r="J308" t="s">
        <v>4534</v>
      </c>
      <c r="K308">
        <v>207</v>
      </c>
      <c r="L308" t="s">
        <v>83</v>
      </c>
      <c r="M308">
        <v>4</v>
      </c>
      <c r="N308" t="str">
        <f>HYPERLINK("Gene3332-zp_tree_all.dnd", "Gene3332-tree")</f>
        <v>Gene3332-tree</v>
      </c>
      <c r="O308">
        <v>0</v>
      </c>
      <c r="P308">
        <v>4</v>
      </c>
      <c r="Q308">
        <v>0</v>
      </c>
      <c r="R308">
        <v>4</v>
      </c>
      <c r="S308">
        <v>1</v>
      </c>
      <c r="T308" t="s">
        <v>62</v>
      </c>
      <c r="U308" t="s">
        <v>60</v>
      </c>
      <c r="V308" t="s">
        <v>62</v>
      </c>
      <c r="W308" t="s">
        <v>62</v>
      </c>
      <c r="X308">
        <v>2</v>
      </c>
      <c r="Y308">
        <v>4</v>
      </c>
      <c r="Z308">
        <v>11</v>
      </c>
      <c r="AA308">
        <v>0.26667000000000002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2</v>
      </c>
      <c r="AH308">
        <v>2</v>
      </c>
      <c r="AI308">
        <v>4</v>
      </c>
      <c r="AJ308">
        <v>11</v>
      </c>
      <c r="AK308">
        <v>0.26667000000000002</v>
      </c>
      <c r="AL308">
        <v>4</v>
      </c>
      <c r="AM308">
        <v>1</v>
      </c>
      <c r="AN308">
        <v>14</v>
      </c>
      <c r="AO308">
        <v>16</v>
      </c>
      <c r="AP308">
        <v>2</v>
      </c>
      <c r="AQ308">
        <v>0</v>
      </c>
      <c r="AR308" t="s">
        <v>4535</v>
      </c>
      <c r="AS308" t="s">
        <v>64</v>
      </c>
      <c r="AT308">
        <v>0.83</v>
      </c>
      <c r="AU308" t="s">
        <v>65</v>
      </c>
      <c r="AV308">
        <v>16</v>
      </c>
      <c r="AW308">
        <v>16</v>
      </c>
      <c r="AX308" t="s">
        <v>4536</v>
      </c>
      <c r="AY308" t="s">
        <v>4537</v>
      </c>
      <c r="AZ308" t="s">
        <v>4538</v>
      </c>
      <c r="BA308">
        <v>0.22473000000000001</v>
      </c>
      <c r="BB308">
        <v>1</v>
      </c>
      <c r="BC308" t="s">
        <v>69</v>
      </c>
      <c r="BD308">
        <v>-0.34100000000000003</v>
      </c>
      <c r="BE308">
        <v>-0.76</v>
      </c>
    </row>
    <row r="309" spans="1:57">
      <c r="A309">
        <v>0</v>
      </c>
      <c r="B309">
        <v>0</v>
      </c>
      <c r="C309">
        <v>2</v>
      </c>
      <c r="D309">
        <v>1083</v>
      </c>
      <c r="E309" t="s">
        <v>1546</v>
      </c>
      <c r="F309" t="s">
        <v>5762</v>
      </c>
      <c r="G309" t="s">
        <v>57</v>
      </c>
      <c r="H309">
        <v>1121550</v>
      </c>
      <c r="I309">
        <v>1122170</v>
      </c>
      <c r="J309" t="s">
        <v>1547</v>
      </c>
      <c r="K309">
        <v>207</v>
      </c>
      <c r="L309" t="s">
        <v>59</v>
      </c>
      <c r="M309">
        <v>5</v>
      </c>
      <c r="N309" t="str">
        <f>HYPERLINK("Gene1083-zp_tree_all.dnd", "Gene1083-tree")</f>
        <v>Gene1083-tree</v>
      </c>
      <c r="O309">
        <v>3</v>
      </c>
      <c r="P309">
        <v>2</v>
      </c>
      <c r="Q309">
        <v>3</v>
      </c>
      <c r="R309">
        <v>2</v>
      </c>
      <c r="S309">
        <v>0.4</v>
      </c>
      <c r="T309" t="s">
        <v>84</v>
      </c>
      <c r="U309" t="s">
        <v>135</v>
      </c>
      <c r="V309" t="s">
        <v>62</v>
      </c>
      <c r="W309" t="s">
        <v>62</v>
      </c>
      <c r="X309">
        <v>1</v>
      </c>
      <c r="Y309">
        <v>2</v>
      </c>
      <c r="Z309">
        <v>6</v>
      </c>
      <c r="AA309">
        <v>0.25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5</v>
      </c>
      <c r="AK309">
        <v>0</v>
      </c>
      <c r="AL309">
        <v>4</v>
      </c>
      <c r="AM309">
        <v>2</v>
      </c>
      <c r="AN309">
        <v>18</v>
      </c>
      <c r="AO309">
        <v>5</v>
      </c>
      <c r="AP309">
        <v>18</v>
      </c>
      <c r="AQ309">
        <v>3</v>
      </c>
      <c r="AR309" t="s">
        <v>1548</v>
      </c>
      <c r="AS309" t="s">
        <v>1549</v>
      </c>
      <c r="AT309">
        <v>0.33400000000000002</v>
      </c>
      <c r="AU309" t="s">
        <v>65</v>
      </c>
      <c r="AV309">
        <v>36</v>
      </c>
      <c r="AW309">
        <v>8</v>
      </c>
      <c r="AX309" t="s">
        <v>1550</v>
      </c>
      <c r="AY309" t="s">
        <v>1551</v>
      </c>
      <c r="AZ309" t="s">
        <v>1552</v>
      </c>
      <c r="BA309">
        <v>6.0290000000000003E-2</v>
      </c>
      <c r="BB309">
        <v>1</v>
      </c>
      <c r="BC309" t="s">
        <v>69</v>
      </c>
      <c r="BD309">
        <v>0.54300000000000004</v>
      </c>
      <c r="BE309">
        <v>4.5999999999999999E-2</v>
      </c>
    </row>
    <row r="310" spans="1:57">
      <c r="A310">
        <v>0</v>
      </c>
      <c r="B310">
        <v>0</v>
      </c>
      <c r="C310">
        <v>0</v>
      </c>
      <c r="D310">
        <v>3081</v>
      </c>
      <c r="E310" t="s">
        <v>4155</v>
      </c>
      <c r="F310" t="s">
        <v>5762</v>
      </c>
      <c r="G310" t="s">
        <v>62</v>
      </c>
      <c r="H310">
        <v>3032420</v>
      </c>
      <c r="I310">
        <v>3033040</v>
      </c>
      <c r="J310" t="s">
        <v>4156</v>
      </c>
      <c r="K310">
        <v>207</v>
      </c>
      <c r="L310" t="s">
        <v>59</v>
      </c>
      <c r="M310">
        <v>5</v>
      </c>
      <c r="N310" t="str">
        <f>HYPERLINK("Gene3081-zp_tree_all.dnd", "Gene3081-tree")</f>
        <v>Gene3081-tree</v>
      </c>
      <c r="O310">
        <v>4</v>
      </c>
      <c r="P310">
        <v>1</v>
      </c>
      <c r="Q310">
        <v>4</v>
      </c>
      <c r="R310">
        <v>1</v>
      </c>
      <c r="S310">
        <v>0.2</v>
      </c>
      <c r="T310" t="s">
        <v>60</v>
      </c>
      <c r="U310" t="s">
        <v>61</v>
      </c>
      <c r="V310" t="s">
        <v>62</v>
      </c>
      <c r="W310" t="s">
        <v>62</v>
      </c>
      <c r="X310">
        <v>0</v>
      </c>
      <c r="Y310">
        <v>0</v>
      </c>
      <c r="Z310">
        <v>3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1</v>
      </c>
      <c r="AK310">
        <v>0</v>
      </c>
      <c r="AL310">
        <v>5</v>
      </c>
      <c r="AM310">
        <v>2</v>
      </c>
      <c r="AN310">
        <v>11</v>
      </c>
      <c r="AO310">
        <v>1</v>
      </c>
      <c r="AP310">
        <v>12</v>
      </c>
      <c r="AQ310">
        <v>2</v>
      </c>
      <c r="AR310" t="s">
        <v>4157</v>
      </c>
      <c r="AS310" t="s">
        <v>4158</v>
      </c>
      <c r="AT310">
        <v>0.245</v>
      </c>
      <c r="AU310" t="s">
        <v>65</v>
      </c>
      <c r="AV310">
        <v>23</v>
      </c>
      <c r="AW310">
        <v>3</v>
      </c>
      <c r="AX310" t="s">
        <v>4159</v>
      </c>
      <c r="AY310" t="s">
        <v>4160</v>
      </c>
      <c r="AZ310" t="s">
        <v>4161</v>
      </c>
      <c r="BA310">
        <v>3.6240000000000001E-2</v>
      </c>
      <c r="BB310">
        <v>1</v>
      </c>
      <c r="BC310" t="s">
        <v>69</v>
      </c>
      <c r="BD310">
        <v>0.43</v>
      </c>
      <c r="BE310">
        <v>0.43</v>
      </c>
    </row>
    <row r="311" spans="1:57">
      <c r="A311">
        <v>0</v>
      </c>
      <c r="B311">
        <v>0</v>
      </c>
      <c r="C311">
        <v>0</v>
      </c>
      <c r="D311">
        <v>117</v>
      </c>
      <c r="E311" t="s">
        <v>468</v>
      </c>
      <c r="F311" t="s">
        <v>5762</v>
      </c>
      <c r="G311" t="s">
        <v>57</v>
      </c>
      <c r="H311">
        <v>136369</v>
      </c>
      <c r="I311">
        <v>136989</v>
      </c>
      <c r="J311" t="s">
        <v>469</v>
      </c>
      <c r="K311">
        <v>207</v>
      </c>
      <c r="L311" t="s">
        <v>59</v>
      </c>
      <c r="M311">
        <v>5</v>
      </c>
      <c r="N311" t="str">
        <f>HYPERLINK("Gene117-zp_tree_all.dnd", "Gene117-tree")</f>
        <v>Gene117-tree</v>
      </c>
      <c r="O311">
        <v>5</v>
      </c>
      <c r="P311">
        <v>0</v>
      </c>
      <c r="Q311">
        <v>5</v>
      </c>
      <c r="R311">
        <v>0</v>
      </c>
      <c r="S311">
        <v>0</v>
      </c>
      <c r="T311" t="s">
        <v>98</v>
      </c>
      <c r="U311" t="s">
        <v>62</v>
      </c>
      <c r="V311" t="s">
        <v>62</v>
      </c>
      <c r="W311" t="s">
        <v>62</v>
      </c>
      <c r="X311">
        <v>0</v>
      </c>
      <c r="Y311">
        <v>0</v>
      </c>
      <c r="Z311">
        <v>1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3</v>
      </c>
      <c r="AM311">
        <v>2</v>
      </c>
      <c r="AN311">
        <v>4</v>
      </c>
      <c r="AO311">
        <v>0</v>
      </c>
      <c r="AP311">
        <v>8</v>
      </c>
      <c r="AQ311">
        <v>1</v>
      </c>
      <c r="AR311" t="s">
        <v>64</v>
      </c>
      <c r="AS311" t="s">
        <v>470</v>
      </c>
      <c r="AT311">
        <v>0.9</v>
      </c>
      <c r="AU311" t="s">
        <v>65</v>
      </c>
      <c r="AV311">
        <v>12</v>
      </c>
      <c r="AW311">
        <v>1</v>
      </c>
      <c r="AX311" t="s">
        <v>471</v>
      </c>
      <c r="AY311" t="s">
        <v>472</v>
      </c>
      <c r="AZ311" t="s">
        <v>473</v>
      </c>
      <c r="BA311">
        <v>2.929E-2</v>
      </c>
      <c r="BB311">
        <v>1</v>
      </c>
      <c r="BC311" t="s">
        <v>69</v>
      </c>
      <c r="BD311">
        <v>0.88500000000000001</v>
      </c>
      <c r="BE311">
        <v>0.88500000000000001</v>
      </c>
    </row>
    <row r="312" spans="1:57">
      <c r="A312">
        <v>0</v>
      </c>
      <c r="B312">
        <v>0</v>
      </c>
      <c r="C312">
        <v>0</v>
      </c>
      <c r="D312">
        <v>175</v>
      </c>
      <c r="E312" t="s">
        <v>618</v>
      </c>
      <c r="F312" t="s">
        <v>5762</v>
      </c>
      <c r="G312" t="s">
        <v>57</v>
      </c>
      <c r="H312">
        <v>195426</v>
      </c>
      <c r="I312">
        <v>196049</v>
      </c>
      <c r="J312" t="s">
        <v>619</v>
      </c>
      <c r="K312">
        <v>208</v>
      </c>
      <c r="L312" t="s">
        <v>59</v>
      </c>
      <c r="M312">
        <v>5</v>
      </c>
      <c r="N312" t="str">
        <f>HYPERLINK("Gene175-zp_tree_all.dnd", "Gene175-tree")</f>
        <v>Gene175-tree</v>
      </c>
      <c r="O312">
        <v>3</v>
      </c>
      <c r="P312">
        <v>2</v>
      </c>
      <c r="Q312">
        <v>3</v>
      </c>
      <c r="R312">
        <v>2</v>
      </c>
      <c r="S312">
        <v>0.4</v>
      </c>
      <c r="T312" t="s">
        <v>84</v>
      </c>
      <c r="U312" t="s">
        <v>135</v>
      </c>
      <c r="V312" t="s">
        <v>62</v>
      </c>
      <c r="W312" t="s">
        <v>62</v>
      </c>
      <c r="X312">
        <v>0</v>
      </c>
      <c r="Y312">
        <v>0</v>
      </c>
      <c r="Z312">
        <v>8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2</v>
      </c>
      <c r="AK312">
        <v>0</v>
      </c>
      <c r="AL312">
        <v>4</v>
      </c>
      <c r="AM312">
        <v>2</v>
      </c>
      <c r="AN312">
        <v>11</v>
      </c>
      <c r="AO312">
        <v>2</v>
      </c>
      <c r="AP312">
        <v>14</v>
      </c>
      <c r="AQ312">
        <v>6</v>
      </c>
      <c r="AR312" t="s">
        <v>620</v>
      </c>
      <c r="AS312" t="s">
        <v>621</v>
      </c>
      <c r="AT312">
        <v>0.66800000000000004</v>
      </c>
      <c r="AU312" t="s">
        <v>65</v>
      </c>
      <c r="AV312">
        <v>25</v>
      </c>
      <c r="AW312">
        <v>8</v>
      </c>
      <c r="AX312" t="s">
        <v>622</v>
      </c>
      <c r="AY312" t="s">
        <v>623</v>
      </c>
      <c r="AZ312" t="s">
        <v>624</v>
      </c>
      <c r="BA312">
        <v>9.1920000000000002E-2</v>
      </c>
      <c r="BB312">
        <v>1</v>
      </c>
      <c r="BC312" t="s">
        <v>69</v>
      </c>
      <c r="BD312">
        <v>0.88300000000000001</v>
      </c>
      <c r="BE312">
        <v>0.41499999999999998</v>
      </c>
    </row>
    <row r="313" spans="1:57">
      <c r="A313">
        <v>0</v>
      </c>
      <c r="B313">
        <v>0</v>
      </c>
      <c r="C313">
        <v>0</v>
      </c>
      <c r="D313">
        <v>116</v>
      </c>
      <c r="E313" t="s">
        <v>462</v>
      </c>
      <c r="F313" t="s">
        <v>5762</v>
      </c>
      <c r="G313" t="s">
        <v>57</v>
      </c>
      <c r="H313">
        <v>135712</v>
      </c>
      <c r="I313">
        <v>136338</v>
      </c>
      <c r="J313" t="s">
        <v>463</v>
      </c>
      <c r="K313">
        <v>209</v>
      </c>
      <c r="L313" t="s">
        <v>59</v>
      </c>
      <c r="M313">
        <v>5</v>
      </c>
      <c r="N313" t="str">
        <f>HYPERLINK("Gene116-zp_tree_all.dnd", "Gene116-tree")</f>
        <v>Gene116-tree</v>
      </c>
      <c r="O313">
        <v>3</v>
      </c>
      <c r="P313">
        <v>1</v>
      </c>
      <c r="Q313">
        <v>3</v>
      </c>
      <c r="R313">
        <v>1</v>
      </c>
      <c r="S313">
        <v>0.25</v>
      </c>
      <c r="T313" t="s">
        <v>84</v>
      </c>
      <c r="U313" t="s">
        <v>61</v>
      </c>
      <c r="V313" t="s">
        <v>62</v>
      </c>
      <c r="W313" t="s">
        <v>62</v>
      </c>
      <c r="X313">
        <v>0</v>
      </c>
      <c r="Y313">
        <v>0</v>
      </c>
      <c r="Z313">
        <v>2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2</v>
      </c>
      <c r="AK313">
        <v>0</v>
      </c>
      <c r="AL313">
        <v>3</v>
      </c>
      <c r="AM313">
        <v>1</v>
      </c>
      <c r="AN313">
        <v>4</v>
      </c>
      <c r="AO313">
        <v>2</v>
      </c>
      <c r="AP313">
        <v>1</v>
      </c>
      <c r="AQ313">
        <v>0</v>
      </c>
      <c r="AR313" t="s">
        <v>464</v>
      </c>
      <c r="AS313" t="s">
        <v>64</v>
      </c>
      <c r="AT313">
        <v>0.81399999999999995</v>
      </c>
      <c r="AU313" t="s">
        <v>65</v>
      </c>
      <c r="AV313">
        <v>5</v>
      </c>
      <c r="AW313">
        <v>2</v>
      </c>
      <c r="AX313" t="s">
        <v>465</v>
      </c>
      <c r="AY313" t="s">
        <v>466</v>
      </c>
      <c r="AZ313" t="s">
        <v>467</v>
      </c>
      <c r="BA313">
        <v>0.11325</v>
      </c>
      <c r="BB313">
        <v>0.96699999999999997</v>
      </c>
      <c r="BC313" t="s">
        <v>69</v>
      </c>
      <c r="BD313">
        <v>0.498</v>
      </c>
      <c r="BE313">
        <v>0.498</v>
      </c>
    </row>
    <row r="314" spans="1:57">
      <c r="A314">
        <v>0</v>
      </c>
      <c r="B314">
        <v>0</v>
      </c>
      <c r="C314">
        <v>0</v>
      </c>
      <c r="D314">
        <v>1707</v>
      </c>
      <c r="E314" t="s">
        <v>2514</v>
      </c>
      <c r="F314" t="s">
        <v>5762</v>
      </c>
      <c r="G314" t="s">
        <v>57</v>
      </c>
      <c r="H314">
        <v>1715344</v>
      </c>
      <c r="I314">
        <v>1715970</v>
      </c>
      <c r="J314" t="s">
        <v>2515</v>
      </c>
      <c r="K314">
        <v>209</v>
      </c>
      <c r="L314" t="s">
        <v>59</v>
      </c>
      <c r="M314">
        <v>5</v>
      </c>
      <c r="N314" t="str">
        <f>HYPERLINK("Gene1707-zp_tree_all.dnd", "Gene1707-tree")</f>
        <v>Gene1707-tree</v>
      </c>
      <c r="O314">
        <v>5</v>
      </c>
      <c r="P314">
        <v>0</v>
      </c>
      <c r="Q314">
        <v>5</v>
      </c>
      <c r="R314">
        <v>0</v>
      </c>
      <c r="S314">
        <v>0</v>
      </c>
      <c r="T314" t="s">
        <v>98</v>
      </c>
      <c r="U314" t="s">
        <v>62</v>
      </c>
      <c r="V314" t="s">
        <v>62</v>
      </c>
      <c r="W314" t="s">
        <v>62</v>
      </c>
      <c r="X314">
        <v>0</v>
      </c>
      <c r="Y314">
        <v>0</v>
      </c>
      <c r="Z314">
        <v>2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4</v>
      </c>
      <c r="AM314">
        <v>2</v>
      </c>
      <c r="AN314">
        <v>16</v>
      </c>
      <c r="AO314">
        <v>0</v>
      </c>
      <c r="AP314">
        <v>16</v>
      </c>
      <c r="AQ314">
        <v>2</v>
      </c>
      <c r="AR314" t="s">
        <v>64</v>
      </c>
      <c r="AS314" t="s">
        <v>2516</v>
      </c>
      <c r="AT314">
        <v>0.79400000000000004</v>
      </c>
      <c r="AU314" t="s">
        <v>65</v>
      </c>
      <c r="AV314">
        <v>32</v>
      </c>
      <c r="AW314">
        <v>2</v>
      </c>
      <c r="AX314" t="s">
        <v>2517</v>
      </c>
      <c r="AY314" t="s">
        <v>2518</v>
      </c>
      <c r="AZ314" t="s">
        <v>2519</v>
      </c>
      <c r="BA314">
        <v>1.865E-2</v>
      </c>
      <c r="BB314">
        <v>1</v>
      </c>
      <c r="BC314" t="s">
        <v>69</v>
      </c>
      <c r="BD314">
        <v>0.501</v>
      </c>
      <c r="BE314">
        <v>0.26500000000000001</v>
      </c>
    </row>
    <row r="315" spans="1:57">
      <c r="A315">
        <v>0</v>
      </c>
      <c r="B315">
        <v>0</v>
      </c>
      <c r="C315">
        <v>0</v>
      </c>
      <c r="D315">
        <v>3023</v>
      </c>
      <c r="E315" t="s">
        <v>4035</v>
      </c>
      <c r="F315" t="s">
        <v>5762</v>
      </c>
      <c r="G315" t="s">
        <v>62</v>
      </c>
      <c r="H315">
        <v>2971534</v>
      </c>
      <c r="I315">
        <v>2972163</v>
      </c>
      <c r="J315" t="s">
        <v>4036</v>
      </c>
      <c r="K315">
        <v>210</v>
      </c>
      <c r="L315" t="s">
        <v>59</v>
      </c>
      <c r="M315">
        <v>5</v>
      </c>
      <c r="N315" t="str">
        <f>HYPERLINK("Gene3023-zp_tree_all.dnd", "Gene3023-tree")</f>
        <v>Gene3023-tree</v>
      </c>
      <c r="O315">
        <v>3</v>
      </c>
      <c r="P315">
        <v>2</v>
      </c>
      <c r="Q315">
        <v>2</v>
      </c>
      <c r="R315">
        <v>2</v>
      </c>
      <c r="S315">
        <v>0.5</v>
      </c>
      <c r="T315" t="s">
        <v>217</v>
      </c>
      <c r="U315" t="s">
        <v>135</v>
      </c>
      <c r="V315" t="s">
        <v>62</v>
      </c>
      <c r="W315" t="s">
        <v>62</v>
      </c>
      <c r="X315">
        <v>0</v>
      </c>
      <c r="Y315">
        <v>0</v>
      </c>
      <c r="Z315">
        <v>3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3</v>
      </c>
      <c r="AK315">
        <v>0</v>
      </c>
      <c r="AL315">
        <v>4</v>
      </c>
      <c r="AM315">
        <v>1</v>
      </c>
      <c r="AN315">
        <v>14</v>
      </c>
      <c r="AO315">
        <v>3</v>
      </c>
      <c r="AP315">
        <v>16</v>
      </c>
      <c r="AQ315">
        <v>0</v>
      </c>
      <c r="AR315" t="s">
        <v>4037</v>
      </c>
      <c r="AS315" t="s">
        <v>64</v>
      </c>
      <c r="AT315">
        <v>1.1200000000000001</v>
      </c>
      <c r="AU315" t="s">
        <v>65</v>
      </c>
      <c r="AV315">
        <v>30</v>
      </c>
      <c r="AW315">
        <v>3</v>
      </c>
      <c r="AX315" t="s">
        <v>4038</v>
      </c>
      <c r="AY315" t="s">
        <v>4039</v>
      </c>
      <c r="AZ315" t="s">
        <v>4040</v>
      </c>
      <c r="BA315">
        <v>2.3599999999999999E-2</v>
      </c>
      <c r="BB315">
        <v>1</v>
      </c>
      <c r="BC315" t="s">
        <v>69</v>
      </c>
      <c r="BD315">
        <v>0.35899999999999999</v>
      </c>
      <c r="BE315">
        <v>0.35899999999999999</v>
      </c>
    </row>
    <row r="316" spans="1:57">
      <c r="A316">
        <v>0</v>
      </c>
      <c r="B316">
        <v>0</v>
      </c>
      <c r="C316">
        <v>0</v>
      </c>
      <c r="D316">
        <v>3985</v>
      </c>
      <c r="E316" t="s">
        <v>5361</v>
      </c>
      <c r="F316" t="s">
        <v>5762</v>
      </c>
      <c r="G316" t="s">
        <v>62</v>
      </c>
      <c r="H316">
        <v>3949955</v>
      </c>
      <c r="I316">
        <v>3950584</v>
      </c>
      <c r="J316" t="s">
        <v>1690</v>
      </c>
      <c r="K316">
        <v>210</v>
      </c>
      <c r="L316" t="s">
        <v>112</v>
      </c>
      <c r="M316">
        <v>4</v>
      </c>
      <c r="N316" t="str">
        <f>HYPERLINK("Gene3985-zp_tree_all.dnd", "Gene3985-tree")</f>
        <v>Gene3985-tree</v>
      </c>
      <c r="O316">
        <v>3</v>
      </c>
      <c r="P316">
        <v>1</v>
      </c>
      <c r="Q316">
        <v>3</v>
      </c>
      <c r="R316">
        <v>1</v>
      </c>
      <c r="S316">
        <v>0.25</v>
      </c>
      <c r="T316" t="s">
        <v>84</v>
      </c>
      <c r="U316" t="s">
        <v>61</v>
      </c>
      <c r="V316" t="s">
        <v>62</v>
      </c>
      <c r="W316" t="s">
        <v>62</v>
      </c>
      <c r="X316">
        <v>0</v>
      </c>
      <c r="Y316">
        <v>0</v>
      </c>
      <c r="Z316">
        <v>1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1</v>
      </c>
      <c r="AK316">
        <v>0</v>
      </c>
      <c r="AL316">
        <v>4</v>
      </c>
      <c r="AM316">
        <v>1</v>
      </c>
      <c r="AN316">
        <v>31</v>
      </c>
      <c r="AO316">
        <v>2</v>
      </c>
      <c r="AP316">
        <v>1</v>
      </c>
      <c r="AQ316">
        <v>0</v>
      </c>
      <c r="AR316" t="s">
        <v>5362</v>
      </c>
      <c r="AS316" t="s">
        <v>64</v>
      </c>
      <c r="AT316">
        <v>0.41899999999999998</v>
      </c>
      <c r="AU316" t="s">
        <v>65</v>
      </c>
      <c r="AV316">
        <v>32</v>
      </c>
      <c r="AW316">
        <v>2</v>
      </c>
      <c r="AX316" t="s">
        <v>5363</v>
      </c>
      <c r="AY316" t="s">
        <v>5364</v>
      </c>
      <c r="AZ316" t="s">
        <v>5365</v>
      </c>
      <c r="BA316">
        <v>1.397E-2</v>
      </c>
      <c r="BB316">
        <v>1</v>
      </c>
      <c r="BC316" t="s">
        <v>69</v>
      </c>
      <c r="BD316">
        <v>-0.36799999999999999</v>
      </c>
      <c r="BE316">
        <v>-0.96099999999999997</v>
      </c>
    </row>
    <row r="317" spans="1:57">
      <c r="A317">
        <v>0</v>
      </c>
      <c r="B317">
        <v>0</v>
      </c>
      <c r="C317">
        <v>2</v>
      </c>
      <c r="D317">
        <v>61</v>
      </c>
      <c r="E317" t="s">
        <v>227</v>
      </c>
      <c r="F317" t="s">
        <v>5762</v>
      </c>
      <c r="G317" t="s">
        <v>57</v>
      </c>
      <c r="H317">
        <v>68515</v>
      </c>
      <c r="I317">
        <v>69147</v>
      </c>
      <c r="J317" t="s">
        <v>228</v>
      </c>
      <c r="K317">
        <v>211</v>
      </c>
      <c r="L317" t="s">
        <v>59</v>
      </c>
      <c r="M317">
        <v>5</v>
      </c>
      <c r="N317" t="str">
        <f>HYPERLINK("Gene61-zp_tree_all.dnd", "Gene61-tree")</f>
        <v>Gene61-tree</v>
      </c>
      <c r="O317">
        <v>0</v>
      </c>
      <c r="P317">
        <v>5</v>
      </c>
      <c r="Q317">
        <v>0</v>
      </c>
      <c r="R317">
        <v>5</v>
      </c>
      <c r="S317">
        <v>1</v>
      </c>
      <c r="T317" t="s">
        <v>62</v>
      </c>
      <c r="U317" t="s">
        <v>98</v>
      </c>
      <c r="V317" t="s">
        <v>62</v>
      </c>
      <c r="W317" t="s">
        <v>62</v>
      </c>
      <c r="X317">
        <v>1</v>
      </c>
      <c r="Y317">
        <v>2</v>
      </c>
      <c r="Z317">
        <v>15</v>
      </c>
      <c r="AA317">
        <v>0.11765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11</v>
      </c>
      <c r="AK317">
        <v>0</v>
      </c>
      <c r="AL317">
        <v>4</v>
      </c>
      <c r="AM317">
        <v>2</v>
      </c>
      <c r="AN317">
        <v>8</v>
      </c>
      <c r="AO317">
        <v>10</v>
      </c>
      <c r="AP317">
        <v>13</v>
      </c>
      <c r="AQ317">
        <v>8</v>
      </c>
      <c r="AR317" t="s">
        <v>229</v>
      </c>
      <c r="AS317" t="s">
        <v>230</v>
      </c>
      <c r="AT317">
        <v>0.82499999999999996</v>
      </c>
      <c r="AU317" t="s">
        <v>65</v>
      </c>
      <c r="AV317">
        <v>21</v>
      </c>
      <c r="AW317">
        <v>18</v>
      </c>
      <c r="AX317" t="s">
        <v>231</v>
      </c>
      <c r="AY317" t="s">
        <v>232</v>
      </c>
      <c r="AZ317" t="s">
        <v>233</v>
      </c>
      <c r="BA317">
        <v>0.25430999999999998</v>
      </c>
      <c r="BB317">
        <v>1</v>
      </c>
      <c r="BC317" t="s">
        <v>69</v>
      </c>
      <c r="BD317">
        <v>0.60899999999999999</v>
      </c>
      <c r="BE317">
        <v>0.186</v>
      </c>
    </row>
    <row r="318" spans="1:57">
      <c r="A318">
        <v>0</v>
      </c>
      <c r="B318">
        <v>0</v>
      </c>
      <c r="C318">
        <v>0</v>
      </c>
      <c r="D318">
        <v>1198</v>
      </c>
      <c r="E318" t="s">
        <v>1689</v>
      </c>
      <c r="F318" t="s">
        <v>5762</v>
      </c>
      <c r="G318" t="s">
        <v>57</v>
      </c>
      <c r="H318">
        <v>1237006</v>
      </c>
      <c r="I318">
        <v>1237638</v>
      </c>
      <c r="J318" t="s">
        <v>1690</v>
      </c>
      <c r="K318">
        <v>211</v>
      </c>
      <c r="L318" t="s">
        <v>83</v>
      </c>
      <c r="M318">
        <v>4</v>
      </c>
      <c r="N318" t="str">
        <f>HYPERLINK("Gene1198-zp_tree_all.dnd", "Gene1198-tree")</f>
        <v>Gene1198-tree</v>
      </c>
      <c r="O318">
        <v>3</v>
      </c>
      <c r="P318">
        <v>1</v>
      </c>
      <c r="Q318">
        <v>3</v>
      </c>
      <c r="R318">
        <v>1</v>
      </c>
      <c r="S318">
        <v>0.25</v>
      </c>
      <c r="T318" t="s">
        <v>84</v>
      </c>
      <c r="U318" t="s">
        <v>61</v>
      </c>
      <c r="V318" t="s">
        <v>62</v>
      </c>
      <c r="W318" t="s">
        <v>62</v>
      </c>
      <c r="X318">
        <v>0</v>
      </c>
      <c r="Y318">
        <v>0</v>
      </c>
      <c r="Z318">
        <v>2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2</v>
      </c>
      <c r="AK318">
        <v>0</v>
      </c>
      <c r="AL318">
        <v>4</v>
      </c>
      <c r="AM318">
        <v>0</v>
      </c>
      <c r="AN318">
        <v>35</v>
      </c>
      <c r="AO318">
        <v>2</v>
      </c>
      <c r="AP318">
        <v>0</v>
      </c>
      <c r="AQ318">
        <v>0</v>
      </c>
      <c r="AR318" t="s">
        <v>1691</v>
      </c>
      <c r="AS318" t="s">
        <v>64</v>
      </c>
      <c r="AT318">
        <v>0.48399999999999999</v>
      </c>
      <c r="AU318" t="s">
        <v>65</v>
      </c>
      <c r="AV318">
        <v>35</v>
      </c>
      <c r="AW318">
        <v>2</v>
      </c>
      <c r="AX318" t="s">
        <v>1692</v>
      </c>
      <c r="AY318" t="s">
        <v>1693</v>
      </c>
      <c r="AZ318" t="s">
        <v>1694</v>
      </c>
      <c r="BA318">
        <v>1.413E-2</v>
      </c>
      <c r="BB318">
        <v>1</v>
      </c>
      <c r="BC318" t="s">
        <v>69</v>
      </c>
      <c r="BD318">
        <v>-0.86399999999999999</v>
      </c>
      <c r="BE318">
        <v>-0.86399999999999999</v>
      </c>
    </row>
    <row r="319" spans="1:57">
      <c r="A319">
        <v>0</v>
      </c>
      <c r="B319">
        <v>0</v>
      </c>
      <c r="C319">
        <v>0</v>
      </c>
      <c r="D319">
        <v>2845</v>
      </c>
      <c r="E319" t="s">
        <v>3658</v>
      </c>
      <c r="F319" t="s">
        <v>5762</v>
      </c>
      <c r="G319" t="s">
        <v>62</v>
      </c>
      <c r="H319">
        <v>2792221</v>
      </c>
      <c r="I319">
        <v>2792853</v>
      </c>
      <c r="J319" t="s">
        <v>3659</v>
      </c>
      <c r="K319">
        <v>211</v>
      </c>
      <c r="L319" t="s">
        <v>59</v>
      </c>
      <c r="M319">
        <v>5</v>
      </c>
      <c r="N319" t="str">
        <f>HYPERLINK("Gene2845-zp_tree_all.dnd", "Gene2845-tree")</f>
        <v>Gene2845-tree</v>
      </c>
      <c r="O319">
        <v>5</v>
      </c>
      <c r="P319">
        <v>0</v>
      </c>
      <c r="Q319">
        <v>4</v>
      </c>
      <c r="R319">
        <v>0</v>
      </c>
      <c r="S319">
        <v>0</v>
      </c>
      <c r="T319" t="s">
        <v>150</v>
      </c>
      <c r="U319" t="s">
        <v>62</v>
      </c>
      <c r="V319" t="s">
        <v>62</v>
      </c>
      <c r="W319" t="s">
        <v>62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4</v>
      </c>
      <c r="AM319">
        <v>1</v>
      </c>
      <c r="AN319">
        <v>20</v>
      </c>
      <c r="AO319">
        <v>0</v>
      </c>
      <c r="AP319">
        <v>14</v>
      </c>
      <c r="AQ319">
        <v>0</v>
      </c>
      <c r="AR319" t="s">
        <v>64</v>
      </c>
      <c r="AS319" t="s">
        <v>64</v>
      </c>
      <c r="AT319">
        <v>0</v>
      </c>
      <c r="AU319" t="s">
        <v>65</v>
      </c>
      <c r="AV319">
        <v>34</v>
      </c>
      <c r="AW319">
        <v>0</v>
      </c>
      <c r="AX319" t="s">
        <v>3660</v>
      </c>
      <c r="AY319" t="s">
        <v>3661</v>
      </c>
      <c r="AZ319" t="s">
        <v>64</v>
      </c>
      <c r="BA319">
        <v>0</v>
      </c>
      <c r="BB319">
        <v>1</v>
      </c>
      <c r="BC319" t="s">
        <v>69</v>
      </c>
      <c r="BD319">
        <v>0.65300000000000002</v>
      </c>
      <c r="BE319">
        <v>0.40899999999999997</v>
      </c>
    </row>
    <row r="320" spans="1:57">
      <c r="A320">
        <v>0</v>
      </c>
      <c r="B320">
        <v>0</v>
      </c>
      <c r="C320">
        <v>0</v>
      </c>
      <c r="D320">
        <v>3847</v>
      </c>
      <c r="E320" t="s">
        <v>5205</v>
      </c>
      <c r="F320" t="s">
        <v>5762</v>
      </c>
      <c r="G320" t="s">
        <v>62</v>
      </c>
      <c r="H320">
        <v>3807757</v>
      </c>
      <c r="I320">
        <v>3808392</v>
      </c>
      <c r="J320" t="s">
        <v>5206</v>
      </c>
      <c r="K320">
        <v>212</v>
      </c>
      <c r="L320" t="s">
        <v>59</v>
      </c>
      <c r="M320">
        <v>5</v>
      </c>
      <c r="N320" t="str">
        <f>HYPERLINK("Gene3847-zp_tree_all.dnd", "Gene3847-tree")</f>
        <v>Gene3847-tree</v>
      </c>
      <c r="O320">
        <v>4</v>
      </c>
      <c r="P320">
        <v>1</v>
      </c>
      <c r="Q320">
        <v>4</v>
      </c>
      <c r="R320">
        <v>1</v>
      </c>
      <c r="S320">
        <v>0.2</v>
      </c>
      <c r="T320" t="s">
        <v>60</v>
      </c>
      <c r="U320" t="s">
        <v>61</v>
      </c>
      <c r="V320" t="s">
        <v>62</v>
      </c>
      <c r="W320" t="s">
        <v>62</v>
      </c>
      <c r="X320">
        <v>0</v>
      </c>
      <c r="Y320">
        <v>0</v>
      </c>
      <c r="Z320">
        <v>4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1</v>
      </c>
      <c r="AK320">
        <v>0</v>
      </c>
      <c r="AL320">
        <v>5</v>
      </c>
      <c r="AM320">
        <v>2</v>
      </c>
      <c r="AN320">
        <v>10</v>
      </c>
      <c r="AO320">
        <v>1</v>
      </c>
      <c r="AP320">
        <v>18</v>
      </c>
      <c r="AQ320">
        <v>4</v>
      </c>
      <c r="AR320" t="s">
        <v>5207</v>
      </c>
      <c r="AS320" t="s">
        <v>5208</v>
      </c>
      <c r="AT320">
        <v>0.33200000000000002</v>
      </c>
      <c r="AU320" t="s">
        <v>65</v>
      </c>
      <c r="AV320">
        <v>28</v>
      </c>
      <c r="AW320">
        <v>5</v>
      </c>
      <c r="AX320" t="s">
        <v>5209</v>
      </c>
      <c r="AY320" t="s">
        <v>5210</v>
      </c>
      <c r="AZ320" t="s">
        <v>5211</v>
      </c>
      <c r="BA320">
        <v>5.4559999999999997E-2</v>
      </c>
      <c r="BB320">
        <v>1</v>
      </c>
      <c r="BC320" t="s">
        <v>69</v>
      </c>
      <c r="BD320">
        <v>1.167</v>
      </c>
      <c r="BE320">
        <v>1.167</v>
      </c>
    </row>
    <row r="321" spans="1:57">
      <c r="A321">
        <v>0</v>
      </c>
      <c r="B321">
        <v>0</v>
      </c>
      <c r="C321">
        <v>0</v>
      </c>
      <c r="D321">
        <v>2627</v>
      </c>
      <c r="E321" t="s">
        <v>3489</v>
      </c>
      <c r="F321" t="s">
        <v>5762</v>
      </c>
      <c r="G321" t="s">
        <v>62</v>
      </c>
      <c r="H321">
        <v>2604962</v>
      </c>
      <c r="I321">
        <v>2605597</v>
      </c>
      <c r="J321" t="s">
        <v>3490</v>
      </c>
      <c r="K321">
        <v>212</v>
      </c>
      <c r="L321" t="s">
        <v>59</v>
      </c>
      <c r="M321">
        <v>5</v>
      </c>
      <c r="N321" t="str">
        <f>HYPERLINK("Gene2627-zp_tree_all.dnd", "Gene2627-tree")</f>
        <v>Gene2627-tree</v>
      </c>
      <c r="O321">
        <v>5</v>
      </c>
      <c r="P321">
        <v>0</v>
      </c>
      <c r="Q321">
        <v>5</v>
      </c>
      <c r="R321">
        <v>0</v>
      </c>
      <c r="S321">
        <v>0</v>
      </c>
      <c r="T321" t="s">
        <v>98</v>
      </c>
      <c r="U321" t="s">
        <v>62</v>
      </c>
      <c r="V321" t="s">
        <v>62</v>
      </c>
      <c r="W321" t="s">
        <v>62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4</v>
      </c>
      <c r="AM321">
        <v>2</v>
      </c>
      <c r="AN321">
        <v>11</v>
      </c>
      <c r="AO321">
        <v>0</v>
      </c>
      <c r="AP321">
        <v>19</v>
      </c>
      <c r="AQ321">
        <v>0</v>
      </c>
      <c r="AR321" t="s">
        <v>64</v>
      </c>
      <c r="AS321" t="s">
        <v>64</v>
      </c>
      <c r="AT321">
        <v>0</v>
      </c>
      <c r="AU321" t="s">
        <v>65</v>
      </c>
      <c r="AV321">
        <v>30</v>
      </c>
      <c r="AW321">
        <v>0</v>
      </c>
      <c r="AX321" t="s">
        <v>3491</v>
      </c>
      <c r="AY321" t="s">
        <v>3492</v>
      </c>
      <c r="AZ321" t="s">
        <v>64</v>
      </c>
      <c r="BA321">
        <v>0</v>
      </c>
      <c r="BB321">
        <v>1</v>
      </c>
      <c r="BC321" t="s">
        <v>69</v>
      </c>
      <c r="BD321">
        <v>1.385</v>
      </c>
      <c r="BE321">
        <v>0.191</v>
      </c>
    </row>
    <row r="322" spans="1:57">
      <c r="A322">
        <v>0</v>
      </c>
      <c r="B322">
        <v>2</v>
      </c>
      <c r="C322">
        <v>0</v>
      </c>
      <c r="D322">
        <v>1957</v>
      </c>
      <c r="E322" t="s">
        <v>2833</v>
      </c>
      <c r="F322" t="s">
        <v>5762</v>
      </c>
      <c r="G322" t="s">
        <v>62</v>
      </c>
      <c r="H322">
        <v>2054602</v>
      </c>
      <c r="I322">
        <v>2055240</v>
      </c>
      <c r="J322" t="s">
        <v>2834</v>
      </c>
      <c r="K322">
        <v>213</v>
      </c>
      <c r="L322" t="s">
        <v>83</v>
      </c>
      <c r="M322">
        <v>4</v>
      </c>
      <c r="N322" t="str">
        <f>HYPERLINK("Gene1957-zp_tree_all.dnd", "Gene1957-tree")</f>
        <v>Gene1957-tree</v>
      </c>
      <c r="O322">
        <v>1</v>
      </c>
      <c r="P322">
        <v>3</v>
      </c>
      <c r="Q322">
        <v>1</v>
      </c>
      <c r="R322">
        <v>3</v>
      </c>
      <c r="S322">
        <v>0.75</v>
      </c>
      <c r="T322" t="s">
        <v>61</v>
      </c>
      <c r="U322" t="s">
        <v>84</v>
      </c>
      <c r="V322" t="s">
        <v>62</v>
      </c>
      <c r="W322" t="s">
        <v>62</v>
      </c>
      <c r="X322">
        <v>1</v>
      </c>
      <c r="Y322">
        <v>2</v>
      </c>
      <c r="Z322">
        <v>6</v>
      </c>
      <c r="AA322">
        <v>0.25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2</v>
      </c>
      <c r="AH322">
        <v>0</v>
      </c>
      <c r="AI322">
        <v>2</v>
      </c>
      <c r="AJ322">
        <v>6</v>
      </c>
      <c r="AK322">
        <v>0.25</v>
      </c>
      <c r="AL322">
        <v>4</v>
      </c>
      <c r="AM322">
        <v>1</v>
      </c>
      <c r="AN322">
        <v>25</v>
      </c>
      <c r="AO322">
        <v>8</v>
      </c>
      <c r="AP322">
        <v>7</v>
      </c>
      <c r="AQ322">
        <v>1</v>
      </c>
      <c r="AR322" t="s">
        <v>2835</v>
      </c>
      <c r="AS322" t="s">
        <v>2836</v>
      </c>
      <c r="AT322">
        <v>1.1859999999999999</v>
      </c>
      <c r="AU322" t="s">
        <v>65</v>
      </c>
      <c r="AV322">
        <v>32</v>
      </c>
      <c r="AW322">
        <v>9</v>
      </c>
      <c r="AX322" t="s">
        <v>2837</v>
      </c>
      <c r="AY322" t="s">
        <v>2838</v>
      </c>
      <c r="AZ322" t="s">
        <v>2839</v>
      </c>
      <c r="BA322">
        <v>7.8640000000000002E-2</v>
      </c>
      <c r="BB322">
        <v>1</v>
      </c>
      <c r="BC322" t="s">
        <v>69</v>
      </c>
      <c r="BD322">
        <v>0.28000000000000003</v>
      </c>
      <c r="BE322">
        <v>-0.248</v>
      </c>
    </row>
    <row r="323" spans="1:57">
      <c r="A323">
        <v>0</v>
      </c>
      <c r="B323">
        <v>0</v>
      </c>
      <c r="C323">
        <v>0</v>
      </c>
      <c r="D323">
        <v>3107</v>
      </c>
      <c r="E323" t="s">
        <v>4228</v>
      </c>
      <c r="F323" t="s">
        <v>5762</v>
      </c>
      <c r="G323" t="s">
        <v>62</v>
      </c>
      <c r="H323">
        <v>3059550</v>
      </c>
      <c r="I323">
        <v>3060188</v>
      </c>
      <c r="J323" t="s">
        <v>4229</v>
      </c>
      <c r="K323">
        <v>213</v>
      </c>
      <c r="L323" t="s">
        <v>83</v>
      </c>
      <c r="M323">
        <v>4</v>
      </c>
      <c r="N323" t="str">
        <f>HYPERLINK("Gene3107-zp_tree_all.dnd", "Gene3107-tree")</f>
        <v>Gene3107-tree</v>
      </c>
      <c r="O323">
        <v>2</v>
      </c>
      <c r="P323">
        <v>2</v>
      </c>
      <c r="Q323">
        <v>2</v>
      </c>
      <c r="R323">
        <v>2</v>
      </c>
      <c r="S323">
        <v>0.5</v>
      </c>
      <c r="T323" t="s">
        <v>135</v>
      </c>
      <c r="U323" t="s">
        <v>135</v>
      </c>
      <c r="V323" t="s">
        <v>62</v>
      </c>
      <c r="W323" t="s">
        <v>62</v>
      </c>
      <c r="X323">
        <v>0</v>
      </c>
      <c r="Y323">
        <v>0</v>
      </c>
      <c r="Z323">
        <v>3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2</v>
      </c>
      <c r="AK323">
        <v>0</v>
      </c>
      <c r="AL323">
        <v>3</v>
      </c>
      <c r="AM323">
        <v>1</v>
      </c>
      <c r="AN323">
        <v>26</v>
      </c>
      <c r="AO323">
        <v>2</v>
      </c>
      <c r="AP323">
        <v>1</v>
      </c>
      <c r="AQ323">
        <v>1</v>
      </c>
      <c r="AR323" t="s">
        <v>4230</v>
      </c>
      <c r="AS323" t="s">
        <v>4231</v>
      </c>
      <c r="AT323">
        <v>11.147</v>
      </c>
      <c r="AU323" t="s">
        <v>65</v>
      </c>
      <c r="AV323">
        <v>27</v>
      </c>
      <c r="AW323">
        <v>3</v>
      </c>
      <c r="AX323" t="s">
        <v>4232</v>
      </c>
      <c r="AY323" t="s">
        <v>4233</v>
      </c>
      <c r="AZ323" t="s">
        <v>4234</v>
      </c>
      <c r="BA323">
        <v>2.9819999999999999E-2</v>
      </c>
      <c r="BB323">
        <v>1</v>
      </c>
      <c r="BC323" t="s">
        <v>69</v>
      </c>
      <c r="BD323">
        <v>-0.65100000000000002</v>
      </c>
      <c r="BE323">
        <v>-0.65100000000000002</v>
      </c>
    </row>
    <row r="324" spans="1:57">
      <c r="A324">
        <v>0</v>
      </c>
      <c r="B324">
        <v>0</v>
      </c>
      <c r="C324">
        <v>0</v>
      </c>
      <c r="D324">
        <v>3287</v>
      </c>
      <c r="E324" t="s">
        <v>4464</v>
      </c>
      <c r="F324" t="s">
        <v>5762</v>
      </c>
      <c r="G324" t="s">
        <v>62</v>
      </c>
      <c r="H324">
        <v>3252807</v>
      </c>
      <c r="I324">
        <v>3253448</v>
      </c>
      <c r="J324" t="s">
        <v>4465</v>
      </c>
      <c r="K324">
        <v>214</v>
      </c>
      <c r="L324" t="s">
        <v>59</v>
      </c>
      <c r="M324">
        <v>5</v>
      </c>
      <c r="N324" t="str">
        <f>HYPERLINK("Gene3287-zp_tree_all.dnd", "Gene3287-tree")</f>
        <v>Gene3287-tree</v>
      </c>
      <c r="O324">
        <v>5</v>
      </c>
      <c r="P324">
        <v>0</v>
      </c>
      <c r="Q324">
        <v>5</v>
      </c>
      <c r="R324">
        <v>0</v>
      </c>
      <c r="S324">
        <v>0</v>
      </c>
      <c r="T324" t="s">
        <v>98</v>
      </c>
      <c r="U324" t="s">
        <v>62</v>
      </c>
      <c r="V324" t="s">
        <v>62</v>
      </c>
      <c r="W324" t="s">
        <v>62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4</v>
      </c>
      <c r="AM324">
        <v>2</v>
      </c>
      <c r="AN324">
        <v>11</v>
      </c>
      <c r="AO324">
        <v>0</v>
      </c>
      <c r="AP324">
        <v>9</v>
      </c>
      <c r="AQ324">
        <v>0</v>
      </c>
      <c r="AR324" t="s">
        <v>64</v>
      </c>
      <c r="AS324" t="s">
        <v>64</v>
      </c>
      <c r="AT324">
        <v>0</v>
      </c>
      <c r="AU324" t="s">
        <v>65</v>
      </c>
      <c r="AV324">
        <v>20</v>
      </c>
      <c r="AW324">
        <v>0</v>
      </c>
      <c r="AX324" t="s">
        <v>4466</v>
      </c>
      <c r="AY324" t="s">
        <v>4467</v>
      </c>
      <c r="AZ324" t="s">
        <v>64</v>
      </c>
      <c r="BA324">
        <v>0</v>
      </c>
      <c r="BB324">
        <v>1</v>
      </c>
      <c r="BC324" t="s">
        <v>69</v>
      </c>
      <c r="BD324">
        <v>0.154</v>
      </c>
      <c r="BE324">
        <v>0.154</v>
      </c>
    </row>
    <row r="325" spans="1:57">
      <c r="A325">
        <v>0</v>
      </c>
      <c r="B325">
        <v>0</v>
      </c>
      <c r="C325">
        <v>0</v>
      </c>
      <c r="D325">
        <v>2422</v>
      </c>
      <c r="E325" t="s">
        <v>3188</v>
      </c>
      <c r="F325" t="s">
        <v>5762</v>
      </c>
      <c r="G325" t="s">
        <v>62</v>
      </c>
      <c r="H325">
        <v>2429603</v>
      </c>
      <c r="I325">
        <v>2430247</v>
      </c>
      <c r="J325" t="s">
        <v>3189</v>
      </c>
      <c r="K325">
        <v>215</v>
      </c>
      <c r="L325" t="s">
        <v>59</v>
      </c>
      <c r="M325">
        <v>5</v>
      </c>
      <c r="N325" t="str">
        <f>HYPERLINK("Gene2422-zp_tree_all.dnd", "Gene2422-tree")</f>
        <v>Gene2422-tree</v>
      </c>
      <c r="O325">
        <v>1</v>
      </c>
      <c r="P325">
        <v>4</v>
      </c>
      <c r="Q325">
        <v>1</v>
      </c>
      <c r="R325">
        <v>4</v>
      </c>
      <c r="S325">
        <v>0.8</v>
      </c>
      <c r="T325" t="s">
        <v>61</v>
      </c>
      <c r="U325" t="s">
        <v>60</v>
      </c>
      <c r="V325" t="s">
        <v>62</v>
      </c>
      <c r="W325" t="s">
        <v>62</v>
      </c>
      <c r="X325">
        <v>0</v>
      </c>
      <c r="Y325">
        <v>0</v>
      </c>
      <c r="Z325">
        <v>10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9</v>
      </c>
      <c r="AK325">
        <v>0</v>
      </c>
      <c r="AL325">
        <v>4</v>
      </c>
      <c r="AM325">
        <v>2</v>
      </c>
      <c r="AN325">
        <v>12</v>
      </c>
      <c r="AO325">
        <v>9</v>
      </c>
      <c r="AP325">
        <v>20</v>
      </c>
      <c r="AQ325">
        <v>1</v>
      </c>
      <c r="AR325" t="s">
        <v>3190</v>
      </c>
      <c r="AS325" t="s">
        <v>3191</v>
      </c>
      <c r="AT325">
        <v>3.5739999999999998</v>
      </c>
      <c r="AU325" t="s">
        <v>286</v>
      </c>
      <c r="AV325">
        <v>32</v>
      </c>
      <c r="AW325">
        <v>10</v>
      </c>
      <c r="AX325" t="s">
        <v>3192</v>
      </c>
      <c r="AY325" t="s">
        <v>3193</v>
      </c>
      <c r="AZ325" t="s">
        <v>3194</v>
      </c>
      <c r="BA325">
        <v>6.5250000000000002E-2</v>
      </c>
      <c r="BB325">
        <v>1</v>
      </c>
      <c r="BC325" t="s">
        <v>69</v>
      </c>
      <c r="BD325">
        <v>0.42799999999999999</v>
      </c>
      <c r="BE325">
        <v>0.42799999999999999</v>
      </c>
    </row>
    <row r="326" spans="1:57">
      <c r="A326">
        <v>0</v>
      </c>
      <c r="B326">
        <v>0</v>
      </c>
      <c r="C326">
        <v>0</v>
      </c>
      <c r="D326">
        <v>616</v>
      </c>
      <c r="E326" t="s">
        <v>1047</v>
      </c>
      <c r="F326" t="s">
        <v>5762</v>
      </c>
      <c r="G326" t="s">
        <v>57</v>
      </c>
      <c r="H326">
        <v>647091</v>
      </c>
      <c r="I326">
        <v>647735</v>
      </c>
      <c r="J326" t="s">
        <v>1048</v>
      </c>
      <c r="K326">
        <v>215</v>
      </c>
      <c r="L326" t="s">
        <v>59</v>
      </c>
      <c r="M326">
        <v>5</v>
      </c>
      <c r="N326" t="str">
        <f>HYPERLINK("Gene616-zp_tree_all.dnd", "Gene616-tree")</f>
        <v>Gene616-tree</v>
      </c>
      <c r="O326">
        <v>5</v>
      </c>
      <c r="P326">
        <v>0</v>
      </c>
      <c r="Q326">
        <v>5</v>
      </c>
      <c r="R326">
        <v>0</v>
      </c>
      <c r="S326">
        <v>0</v>
      </c>
      <c r="T326" t="s">
        <v>98</v>
      </c>
      <c r="U326" t="s">
        <v>62</v>
      </c>
      <c r="V326" t="s">
        <v>62</v>
      </c>
      <c r="W326" t="s">
        <v>62</v>
      </c>
      <c r="X326">
        <v>0</v>
      </c>
      <c r="Y326">
        <v>0</v>
      </c>
      <c r="Z326">
        <v>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5</v>
      </c>
      <c r="AM326">
        <v>2</v>
      </c>
      <c r="AN326">
        <v>14</v>
      </c>
      <c r="AO326">
        <v>0</v>
      </c>
      <c r="AP326">
        <v>11</v>
      </c>
      <c r="AQ326">
        <v>1</v>
      </c>
      <c r="AR326" t="s">
        <v>64</v>
      </c>
      <c r="AS326" t="s">
        <v>1049</v>
      </c>
      <c r="AT326">
        <v>0.84199999999999997</v>
      </c>
      <c r="AU326" t="s">
        <v>65</v>
      </c>
      <c r="AV326">
        <v>25</v>
      </c>
      <c r="AW326">
        <v>1</v>
      </c>
      <c r="AX326" t="s">
        <v>1050</v>
      </c>
      <c r="AY326" t="s">
        <v>1051</v>
      </c>
      <c r="AZ326" t="s">
        <v>1052</v>
      </c>
      <c r="BA326">
        <v>1.414E-2</v>
      </c>
      <c r="BB326">
        <v>1</v>
      </c>
      <c r="BC326" t="s">
        <v>69</v>
      </c>
      <c r="BD326">
        <v>0.191</v>
      </c>
      <c r="BE326">
        <v>0.191</v>
      </c>
    </row>
    <row r="327" spans="1:57">
      <c r="A327">
        <v>0</v>
      </c>
      <c r="B327">
        <v>0</v>
      </c>
      <c r="C327">
        <v>0</v>
      </c>
      <c r="D327">
        <v>2848</v>
      </c>
      <c r="E327" t="s">
        <v>3675</v>
      </c>
      <c r="F327" t="s">
        <v>5762</v>
      </c>
      <c r="G327" t="s">
        <v>62</v>
      </c>
      <c r="H327">
        <v>2795085</v>
      </c>
      <c r="I327">
        <v>2795735</v>
      </c>
      <c r="J327" t="s">
        <v>3676</v>
      </c>
      <c r="K327">
        <v>217</v>
      </c>
      <c r="L327" t="s">
        <v>59</v>
      </c>
      <c r="M327">
        <v>5</v>
      </c>
      <c r="N327" t="str">
        <f>HYPERLINK("Gene2848-zp_tree_all.dnd", "Gene2848-tree")</f>
        <v>Gene2848-tree</v>
      </c>
      <c r="O327">
        <v>2</v>
      </c>
      <c r="P327">
        <v>3</v>
      </c>
      <c r="Q327">
        <v>2</v>
      </c>
      <c r="R327">
        <v>3</v>
      </c>
      <c r="S327">
        <v>0.6</v>
      </c>
      <c r="T327" t="s">
        <v>135</v>
      </c>
      <c r="U327" t="s">
        <v>84</v>
      </c>
      <c r="V327" t="s">
        <v>62</v>
      </c>
      <c r="W327" t="s">
        <v>62</v>
      </c>
      <c r="X327">
        <v>0</v>
      </c>
      <c r="Y327">
        <v>0</v>
      </c>
      <c r="Z327">
        <v>8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6</v>
      </c>
      <c r="AK327">
        <v>0</v>
      </c>
      <c r="AL327">
        <v>5</v>
      </c>
      <c r="AM327">
        <v>2</v>
      </c>
      <c r="AN327">
        <v>19</v>
      </c>
      <c r="AO327">
        <v>6</v>
      </c>
      <c r="AP327">
        <v>9</v>
      </c>
      <c r="AQ327">
        <v>2</v>
      </c>
      <c r="AR327" t="s">
        <v>3677</v>
      </c>
      <c r="AS327" t="s">
        <v>3678</v>
      </c>
      <c r="AT327">
        <v>0.51</v>
      </c>
      <c r="AU327" t="s">
        <v>65</v>
      </c>
      <c r="AV327">
        <v>28</v>
      </c>
      <c r="AW327">
        <v>8</v>
      </c>
      <c r="AX327" t="s">
        <v>3679</v>
      </c>
      <c r="AY327" t="s">
        <v>3680</v>
      </c>
      <c r="AZ327" t="s">
        <v>3681</v>
      </c>
      <c r="BA327">
        <v>8.6010000000000003E-2</v>
      </c>
      <c r="BB327">
        <v>1</v>
      </c>
      <c r="BC327" t="s">
        <v>69</v>
      </c>
      <c r="BD327">
        <v>-7.8E-2</v>
      </c>
      <c r="BE327">
        <v>-0.27300000000000002</v>
      </c>
    </row>
    <row r="328" spans="1:57">
      <c r="A328">
        <v>0</v>
      </c>
      <c r="B328">
        <v>0</v>
      </c>
      <c r="C328">
        <v>2</v>
      </c>
      <c r="D328">
        <v>744</v>
      </c>
      <c r="E328" t="s">
        <v>1195</v>
      </c>
      <c r="F328" t="s">
        <v>5762</v>
      </c>
      <c r="G328" t="s">
        <v>57</v>
      </c>
      <c r="H328">
        <v>774138</v>
      </c>
      <c r="I328">
        <v>774788</v>
      </c>
      <c r="J328" t="s">
        <v>1196</v>
      </c>
      <c r="K328">
        <v>217</v>
      </c>
      <c r="L328" t="s">
        <v>59</v>
      </c>
      <c r="M328">
        <v>5</v>
      </c>
      <c r="N328" t="str">
        <f>HYPERLINK("Gene744-zp_tree_all.dnd", "Gene744-tree")</f>
        <v>Gene744-tree</v>
      </c>
      <c r="O328">
        <v>1</v>
      </c>
      <c r="P328">
        <v>4</v>
      </c>
      <c r="Q328">
        <v>1</v>
      </c>
      <c r="R328">
        <v>4</v>
      </c>
      <c r="S328">
        <v>0.8</v>
      </c>
      <c r="T328" t="s">
        <v>61</v>
      </c>
      <c r="U328" t="s">
        <v>60</v>
      </c>
      <c r="V328" t="s">
        <v>62</v>
      </c>
      <c r="W328" t="s">
        <v>62</v>
      </c>
      <c r="X328">
        <v>1</v>
      </c>
      <c r="Y328">
        <v>2</v>
      </c>
      <c r="Z328">
        <v>9</v>
      </c>
      <c r="AA328">
        <v>0.18182000000000001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2</v>
      </c>
      <c r="AI328">
        <v>2</v>
      </c>
      <c r="AJ328">
        <v>8</v>
      </c>
      <c r="AK328">
        <v>0.2</v>
      </c>
      <c r="AL328">
        <v>5</v>
      </c>
      <c r="AM328">
        <v>2</v>
      </c>
      <c r="AN328">
        <v>32</v>
      </c>
      <c r="AO328">
        <v>10</v>
      </c>
      <c r="AP328">
        <v>21</v>
      </c>
      <c r="AQ328">
        <v>1</v>
      </c>
      <c r="AR328" t="s">
        <v>1197</v>
      </c>
      <c r="AS328" t="s">
        <v>1198</v>
      </c>
      <c r="AT328">
        <v>2.339</v>
      </c>
      <c r="AU328" t="s">
        <v>286</v>
      </c>
      <c r="AV328">
        <v>53</v>
      </c>
      <c r="AW328">
        <v>11</v>
      </c>
      <c r="AX328" t="s">
        <v>1199</v>
      </c>
      <c r="AY328" t="s">
        <v>1200</v>
      </c>
      <c r="AZ328" t="s">
        <v>1201</v>
      </c>
      <c r="BA328">
        <v>4.641E-2</v>
      </c>
      <c r="BB328">
        <v>1</v>
      </c>
      <c r="BC328" t="s">
        <v>69</v>
      </c>
      <c r="BD328">
        <v>-9.1999999999999998E-2</v>
      </c>
      <c r="BE328">
        <v>-0.193</v>
      </c>
    </row>
    <row r="329" spans="1:57">
      <c r="A329">
        <v>0</v>
      </c>
      <c r="B329">
        <v>0</v>
      </c>
      <c r="C329">
        <v>0</v>
      </c>
      <c r="D329">
        <v>137</v>
      </c>
      <c r="E329" t="s">
        <v>539</v>
      </c>
      <c r="F329" t="s">
        <v>5762</v>
      </c>
      <c r="G329" t="s">
        <v>57</v>
      </c>
      <c r="H329">
        <v>145877</v>
      </c>
      <c r="I329">
        <v>146527</v>
      </c>
      <c r="J329" t="s">
        <v>540</v>
      </c>
      <c r="K329">
        <v>217</v>
      </c>
      <c r="L329" t="s">
        <v>59</v>
      </c>
      <c r="M329">
        <v>5</v>
      </c>
      <c r="N329" t="str">
        <f>HYPERLINK("Gene137-zp_tree_all.dnd", "Gene137-tree")</f>
        <v>Gene137-tree</v>
      </c>
      <c r="O329">
        <v>4</v>
      </c>
      <c r="P329">
        <v>1</v>
      </c>
      <c r="Q329">
        <v>4</v>
      </c>
      <c r="R329">
        <v>1</v>
      </c>
      <c r="S329">
        <v>0.2</v>
      </c>
      <c r="T329" t="s">
        <v>60</v>
      </c>
      <c r="U329" t="s">
        <v>61</v>
      </c>
      <c r="V329" t="s">
        <v>62</v>
      </c>
      <c r="W329" t="s">
        <v>62</v>
      </c>
      <c r="X329">
        <v>0</v>
      </c>
      <c r="Y329">
        <v>0</v>
      </c>
      <c r="Z329">
        <v>2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1</v>
      </c>
      <c r="AK329">
        <v>0</v>
      </c>
      <c r="AL329">
        <v>4</v>
      </c>
      <c r="AM329">
        <v>2</v>
      </c>
      <c r="AN329">
        <v>7</v>
      </c>
      <c r="AO329">
        <v>1</v>
      </c>
      <c r="AP329">
        <v>6</v>
      </c>
      <c r="AQ329">
        <v>1</v>
      </c>
      <c r="AR329" t="s">
        <v>541</v>
      </c>
      <c r="AS329" t="s">
        <v>542</v>
      </c>
      <c r="AT329">
        <v>7.6999999999999999E-2</v>
      </c>
      <c r="AU329" t="s">
        <v>65</v>
      </c>
      <c r="AV329">
        <v>13</v>
      </c>
      <c r="AW329">
        <v>2</v>
      </c>
      <c r="AX329" t="s">
        <v>543</v>
      </c>
      <c r="AY329" t="s">
        <v>544</v>
      </c>
      <c r="AZ329" t="s">
        <v>545</v>
      </c>
      <c r="BA329">
        <v>4.5100000000000001E-2</v>
      </c>
      <c r="BB329">
        <v>1</v>
      </c>
      <c r="BC329" t="s">
        <v>69</v>
      </c>
      <c r="BD329">
        <v>0.20300000000000001</v>
      </c>
      <c r="BE329">
        <v>0.20300000000000001</v>
      </c>
    </row>
    <row r="330" spans="1:57">
      <c r="A330">
        <v>0</v>
      </c>
      <c r="B330">
        <v>0</v>
      </c>
      <c r="C330">
        <v>0</v>
      </c>
      <c r="D330">
        <v>93</v>
      </c>
      <c r="E330" t="s">
        <v>350</v>
      </c>
      <c r="F330" t="s">
        <v>5762</v>
      </c>
      <c r="G330" t="s">
        <v>57</v>
      </c>
      <c r="H330">
        <v>112800</v>
      </c>
      <c r="I330">
        <v>113450</v>
      </c>
      <c r="J330" t="s">
        <v>351</v>
      </c>
      <c r="K330">
        <v>217</v>
      </c>
      <c r="L330" t="s">
        <v>59</v>
      </c>
      <c r="M330">
        <v>5</v>
      </c>
      <c r="N330" t="str">
        <f>HYPERLINK("Gene93-zp_tree_all.dnd", "Gene93-tree")</f>
        <v>Gene93-tree</v>
      </c>
      <c r="O330">
        <v>4</v>
      </c>
      <c r="P330">
        <v>1</v>
      </c>
      <c r="Q330">
        <v>4</v>
      </c>
      <c r="R330">
        <v>1</v>
      </c>
      <c r="S330">
        <v>0.2</v>
      </c>
      <c r="T330" t="s">
        <v>60</v>
      </c>
      <c r="U330" t="s">
        <v>61</v>
      </c>
      <c r="V330" t="s">
        <v>62</v>
      </c>
      <c r="W330" t="s">
        <v>62</v>
      </c>
      <c r="X330">
        <v>0</v>
      </c>
      <c r="Y330">
        <v>0</v>
      </c>
      <c r="Z330">
        <v>1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1</v>
      </c>
      <c r="AK330">
        <v>0</v>
      </c>
      <c r="AL330">
        <v>3</v>
      </c>
      <c r="AM330">
        <v>2</v>
      </c>
      <c r="AN330">
        <v>8</v>
      </c>
      <c r="AO330">
        <v>1</v>
      </c>
      <c r="AP330">
        <v>13</v>
      </c>
      <c r="AQ330">
        <v>0</v>
      </c>
      <c r="AR330" t="s">
        <v>352</v>
      </c>
      <c r="AS330" t="s">
        <v>64</v>
      </c>
      <c r="AT330">
        <v>0.78</v>
      </c>
      <c r="AU330" t="s">
        <v>65</v>
      </c>
      <c r="AV330">
        <v>21</v>
      </c>
      <c r="AW330">
        <v>1</v>
      </c>
      <c r="AX330" t="s">
        <v>353</v>
      </c>
      <c r="AY330" t="s">
        <v>354</v>
      </c>
      <c r="AZ330" t="s">
        <v>355</v>
      </c>
      <c r="BA330">
        <v>1.093E-2</v>
      </c>
      <c r="BB330">
        <v>1</v>
      </c>
      <c r="BC330" t="s">
        <v>69</v>
      </c>
      <c r="BD330">
        <v>0.92400000000000004</v>
      </c>
      <c r="BE330">
        <v>0.154</v>
      </c>
    </row>
    <row r="331" spans="1:57">
      <c r="A331">
        <v>0</v>
      </c>
      <c r="B331">
        <v>0</v>
      </c>
      <c r="C331">
        <v>0</v>
      </c>
      <c r="D331">
        <v>122</v>
      </c>
      <c r="E331" t="s">
        <v>487</v>
      </c>
      <c r="F331" t="s">
        <v>5762</v>
      </c>
      <c r="G331" t="s">
        <v>57</v>
      </c>
      <c r="H331">
        <v>138842</v>
      </c>
      <c r="I331">
        <v>139495</v>
      </c>
      <c r="J331" t="s">
        <v>488</v>
      </c>
      <c r="K331">
        <v>218</v>
      </c>
      <c r="L331" t="s">
        <v>59</v>
      </c>
      <c r="M331">
        <v>5</v>
      </c>
      <c r="N331" t="str">
        <f>HYPERLINK("Gene122-zp_tree_all.dnd", "Gene122-tree")</f>
        <v>Gene122-tree</v>
      </c>
      <c r="O331">
        <v>4</v>
      </c>
      <c r="P331">
        <v>1</v>
      </c>
      <c r="Q331">
        <v>4</v>
      </c>
      <c r="R331">
        <v>1</v>
      </c>
      <c r="S331">
        <v>0.2</v>
      </c>
      <c r="T331" t="s">
        <v>60</v>
      </c>
      <c r="U331" t="s">
        <v>61</v>
      </c>
      <c r="V331" t="s">
        <v>62</v>
      </c>
      <c r="W331" t="s">
        <v>62</v>
      </c>
      <c r="X331">
        <v>0</v>
      </c>
      <c r="Y331">
        <v>0</v>
      </c>
      <c r="Z331">
        <v>2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1</v>
      </c>
      <c r="AK331">
        <v>0</v>
      </c>
      <c r="AL331">
        <v>3</v>
      </c>
      <c r="AM331">
        <v>2</v>
      </c>
      <c r="AN331">
        <v>2</v>
      </c>
      <c r="AO331">
        <v>1</v>
      </c>
      <c r="AP331">
        <v>8</v>
      </c>
      <c r="AQ331">
        <v>1</v>
      </c>
      <c r="AR331" t="s">
        <v>489</v>
      </c>
      <c r="AS331" t="s">
        <v>490</v>
      </c>
      <c r="AT331">
        <v>0.51100000000000001</v>
      </c>
      <c r="AU331" t="s">
        <v>65</v>
      </c>
      <c r="AV331">
        <v>10</v>
      </c>
      <c r="AW331">
        <v>2</v>
      </c>
      <c r="AX331" t="s">
        <v>491</v>
      </c>
      <c r="AY331" t="s">
        <v>492</v>
      </c>
      <c r="AZ331" t="s">
        <v>493</v>
      </c>
      <c r="BA331">
        <v>5.534E-2</v>
      </c>
      <c r="BB331">
        <v>1</v>
      </c>
      <c r="BC331" t="s">
        <v>69</v>
      </c>
      <c r="BD331">
        <v>1.0549999999999999</v>
      </c>
      <c r="BE331">
        <v>1.0549999999999999</v>
      </c>
    </row>
    <row r="332" spans="1:57">
      <c r="A332">
        <v>0</v>
      </c>
      <c r="B332">
        <v>0</v>
      </c>
      <c r="C332">
        <v>0</v>
      </c>
      <c r="D332">
        <v>2538</v>
      </c>
      <c r="E332" t="s">
        <v>3342</v>
      </c>
      <c r="F332" t="s">
        <v>5762</v>
      </c>
      <c r="G332" t="s">
        <v>62</v>
      </c>
      <c r="H332">
        <v>2532356</v>
      </c>
      <c r="I332">
        <v>2533009</v>
      </c>
      <c r="J332" t="s">
        <v>3343</v>
      </c>
      <c r="K332">
        <v>218</v>
      </c>
      <c r="L332" t="s">
        <v>83</v>
      </c>
      <c r="M332">
        <v>4</v>
      </c>
      <c r="N332" t="str">
        <f>HYPERLINK("Gene2538-zp_tree_all.dnd", "Gene2538-tree")</f>
        <v>Gene2538-tree</v>
      </c>
      <c r="O332">
        <v>2</v>
      </c>
      <c r="P332">
        <v>2</v>
      </c>
      <c r="Q332">
        <v>2</v>
      </c>
      <c r="R332">
        <v>2</v>
      </c>
      <c r="S332">
        <v>0.5</v>
      </c>
      <c r="T332" t="s">
        <v>135</v>
      </c>
      <c r="U332" t="s">
        <v>135</v>
      </c>
      <c r="V332" t="s">
        <v>62</v>
      </c>
      <c r="W332" t="s">
        <v>62</v>
      </c>
      <c r="X332">
        <v>0</v>
      </c>
      <c r="Y332">
        <v>0</v>
      </c>
      <c r="Z332">
        <v>6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6</v>
      </c>
      <c r="AK332">
        <v>0</v>
      </c>
      <c r="AL332">
        <v>3</v>
      </c>
      <c r="AM332">
        <v>1</v>
      </c>
      <c r="AN332">
        <v>27</v>
      </c>
      <c r="AO332">
        <v>6</v>
      </c>
      <c r="AP332">
        <v>2</v>
      </c>
      <c r="AQ332">
        <v>0</v>
      </c>
      <c r="AR332" t="s">
        <v>3344</v>
      </c>
      <c r="AS332" t="s">
        <v>64</v>
      </c>
      <c r="AT332">
        <v>0.69899999999999995</v>
      </c>
      <c r="AU332" t="s">
        <v>65</v>
      </c>
      <c r="AV332">
        <v>29</v>
      </c>
      <c r="AW332">
        <v>6</v>
      </c>
      <c r="AX332" t="s">
        <v>3345</v>
      </c>
      <c r="AY332" t="s">
        <v>3346</v>
      </c>
      <c r="AZ332" t="s">
        <v>3347</v>
      </c>
      <c r="BA332">
        <v>4.9029999999999997E-2</v>
      </c>
      <c r="BB332">
        <v>1</v>
      </c>
      <c r="BC332" t="s">
        <v>69</v>
      </c>
      <c r="BD332">
        <v>-0.68300000000000005</v>
      </c>
      <c r="BE332">
        <v>-0.68300000000000005</v>
      </c>
    </row>
    <row r="333" spans="1:57">
      <c r="A333">
        <v>0</v>
      </c>
      <c r="B333">
        <v>0</v>
      </c>
      <c r="C333">
        <v>0</v>
      </c>
      <c r="D333">
        <v>98</v>
      </c>
      <c r="E333" t="s">
        <v>381</v>
      </c>
      <c r="F333" t="s">
        <v>5762</v>
      </c>
      <c r="G333" t="s">
        <v>57</v>
      </c>
      <c r="H333">
        <v>116600</v>
      </c>
      <c r="I333">
        <v>117253</v>
      </c>
      <c r="J333" t="s">
        <v>382</v>
      </c>
      <c r="K333">
        <v>218</v>
      </c>
      <c r="L333" t="s">
        <v>59</v>
      </c>
      <c r="M333">
        <v>5</v>
      </c>
      <c r="N333" t="str">
        <f>HYPERLINK("Gene98-zp_tree_all.dnd", "Gene98-tree")</f>
        <v>Gene98-tree</v>
      </c>
      <c r="O333">
        <v>4</v>
      </c>
      <c r="P333">
        <v>1</v>
      </c>
      <c r="Q333">
        <v>4</v>
      </c>
      <c r="R333">
        <v>1</v>
      </c>
      <c r="S333">
        <v>0.2</v>
      </c>
      <c r="T333" t="s">
        <v>60</v>
      </c>
      <c r="U333" t="s">
        <v>61</v>
      </c>
      <c r="V333" t="s">
        <v>62</v>
      </c>
      <c r="W333" t="s">
        <v>62</v>
      </c>
      <c r="X333">
        <v>0</v>
      </c>
      <c r="Y333">
        <v>0</v>
      </c>
      <c r="Z333">
        <v>1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1</v>
      </c>
      <c r="AK333">
        <v>0</v>
      </c>
      <c r="AL333">
        <v>5</v>
      </c>
      <c r="AM333">
        <v>1</v>
      </c>
      <c r="AN333">
        <v>14</v>
      </c>
      <c r="AO333">
        <v>1</v>
      </c>
      <c r="AP333">
        <v>9</v>
      </c>
      <c r="AQ333">
        <v>0</v>
      </c>
      <c r="AR333" t="s">
        <v>383</v>
      </c>
      <c r="AS333" t="s">
        <v>64</v>
      </c>
      <c r="AT333">
        <v>0.498</v>
      </c>
      <c r="AU333" t="s">
        <v>65</v>
      </c>
      <c r="AV333">
        <v>23</v>
      </c>
      <c r="AW333">
        <v>1</v>
      </c>
      <c r="AX333" t="s">
        <v>384</v>
      </c>
      <c r="AY333" t="s">
        <v>385</v>
      </c>
      <c r="AZ333" t="s">
        <v>386</v>
      </c>
      <c r="BA333">
        <v>9.0799999999999995E-3</v>
      </c>
      <c r="BB333">
        <v>1</v>
      </c>
      <c r="BC333" t="s">
        <v>69</v>
      </c>
      <c r="BD333">
        <v>-7.6999999999999999E-2</v>
      </c>
      <c r="BE333">
        <v>-7.6999999999999999E-2</v>
      </c>
    </row>
    <row r="334" spans="1:57">
      <c r="A334">
        <v>0</v>
      </c>
      <c r="B334">
        <v>0</v>
      </c>
      <c r="C334">
        <v>0</v>
      </c>
      <c r="D334">
        <v>1696</v>
      </c>
      <c r="E334" t="s">
        <v>2492</v>
      </c>
      <c r="F334" t="s">
        <v>5762</v>
      </c>
      <c r="G334" t="s">
        <v>57</v>
      </c>
      <c r="H334">
        <v>1704211</v>
      </c>
      <c r="I334">
        <v>1704867</v>
      </c>
      <c r="J334" t="s">
        <v>2493</v>
      </c>
      <c r="K334">
        <v>219</v>
      </c>
      <c r="L334" t="s">
        <v>59</v>
      </c>
      <c r="M334">
        <v>5</v>
      </c>
      <c r="N334" t="str">
        <f>HYPERLINK("Gene1696-zp_tree_all.dnd", "Gene1696-tree")</f>
        <v>Gene1696-tree</v>
      </c>
      <c r="O334">
        <v>1</v>
      </c>
      <c r="P334">
        <v>4</v>
      </c>
      <c r="Q334">
        <v>1</v>
      </c>
      <c r="R334">
        <v>4</v>
      </c>
      <c r="S334">
        <v>0.8</v>
      </c>
      <c r="T334" t="s">
        <v>61</v>
      </c>
      <c r="U334" t="s">
        <v>60</v>
      </c>
      <c r="V334" t="s">
        <v>62</v>
      </c>
      <c r="W334" t="s">
        <v>62</v>
      </c>
      <c r="X334">
        <v>0</v>
      </c>
      <c r="Y334">
        <v>0</v>
      </c>
      <c r="Z334">
        <v>10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6</v>
      </c>
      <c r="AK334">
        <v>0</v>
      </c>
      <c r="AL334">
        <v>5</v>
      </c>
      <c r="AM334">
        <v>2</v>
      </c>
      <c r="AN334">
        <v>9</v>
      </c>
      <c r="AO334">
        <v>6</v>
      </c>
      <c r="AP334">
        <v>11</v>
      </c>
      <c r="AQ334">
        <v>4</v>
      </c>
      <c r="AR334" t="s">
        <v>2494</v>
      </c>
      <c r="AS334" t="s">
        <v>2495</v>
      </c>
      <c r="AT334">
        <v>0.66300000000000003</v>
      </c>
      <c r="AU334" t="s">
        <v>65</v>
      </c>
      <c r="AV334">
        <v>20</v>
      </c>
      <c r="AW334">
        <v>10</v>
      </c>
      <c r="AX334" t="s">
        <v>2496</v>
      </c>
      <c r="AY334" t="s">
        <v>2497</v>
      </c>
      <c r="AZ334" t="s">
        <v>2498</v>
      </c>
      <c r="BA334">
        <v>0.12486999999999999</v>
      </c>
      <c r="BB334">
        <v>1</v>
      </c>
      <c r="BC334" t="s">
        <v>69</v>
      </c>
      <c r="BD334">
        <v>0.36499999999999999</v>
      </c>
      <c r="BE334">
        <v>0.36499999999999999</v>
      </c>
    </row>
    <row r="335" spans="1:57">
      <c r="A335">
        <v>0</v>
      </c>
      <c r="B335">
        <v>0</v>
      </c>
      <c r="C335">
        <v>0</v>
      </c>
      <c r="D335">
        <v>2499</v>
      </c>
      <c r="E335" t="s">
        <v>3271</v>
      </c>
      <c r="F335" t="s">
        <v>5762</v>
      </c>
      <c r="G335" t="s">
        <v>62</v>
      </c>
      <c r="H335">
        <v>2491292</v>
      </c>
      <c r="I335">
        <v>2491948</v>
      </c>
      <c r="J335" t="s">
        <v>3272</v>
      </c>
      <c r="K335">
        <v>219</v>
      </c>
      <c r="L335" t="s">
        <v>83</v>
      </c>
      <c r="M335">
        <v>4</v>
      </c>
      <c r="N335" t="str">
        <f>HYPERLINK("Gene2499-zp_tree_all.dnd", "Gene2499-tree")</f>
        <v>Gene2499-tree</v>
      </c>
      <c r="O335">
        <v>3</v>
      </c>
      <c r="P335">
        <v>1</v>
      </c>
      <c r="Q335">
        <v>3</v>
      </c>
      <c r="R335">
        <v>1</v>
      </c>
      <c r="S335">
        <v>0.25</v>
      </c>
      <c r="T335" t="s">
        <v>84</v>
      </c>
      <c r="U335" t="s">
        <v>61</v>
      </c>
      <c r="V335" t="s">
        <v>62</v>
      </c>
      <c r="W335" t="s">
        <v>62</v>
      </c>
      <c r="X335">
        <v>0</v>
      </c>
      <c r="Y335">
        <v>0</v>
      </c>
      <c r="Z335">
        <v>3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3</v>
      </c>
      <c r="AK335">
        <v>0</v>
      </c>
      <c r="AL335">
        <v>4</v>
      </c>
      <c r="AM335">
        <v>1</v>
      </c>
      <c r="AN335">
        <v>31</v>
      </c>
      <c r="AO335">
        <v>3</v>
      </c>
      <c r="AP335">
        <v>2</v>
      </c>
      <c r="AQ335">
        <v>0</v>
      </c>
      <c r="AR335" t="s">
        <v>3273</v>
      </c>
      <c r="AS335" t="s">
        <v>64</v>
      </c>
      <c r="AT335">
        <v>0.38900000000000001</v>
      </c>
      <c r="AU335" t="s">
        <v>65</v>
      </c>
      <c r="AV335">
        <v>33</v>
      </c>
      <c r="AW335">
        <v>3</v>
      </c>
      <c r="AX335" t="s">
        <v>3274</v>
      </c>
      <c r="AY335" t="s">
        <v>3275</v>
      </c>
      <c r="AZ335" t="s">
        <v>3276</v>
      </c>
      <c r="BA335">
        <v>2.809E-2</v>
      </c>
      <c r="BB335">
        <v>1</v>
      </c>
      <c r="BC335" t="s">
        <v>69</v>
      </c>
      <c r="BD335">
        <v>-0.38300000000000001</v>
      </c>
      <c r="BE335">
        <v>-0.95899999999999996</v>
      </c>
    </row>
    <row r="336" spans="1:57">
      <c r="A336">
        <v>0</v>
      </c>
      <c r="B336">
        <v>0</v>
      </c>
      <c r="C336">
        <v>0</v>
      </c>
      <c r="D336">
        <v>1646</v>
      </c>
      <c r="E336" t="s">
        <v>2361</v>
      </c>
      <c r="F336" t="s">
        <v>5762</v>
      </c>
      <c r="G336" t="s">
        <v>57</v>
      </c>
      <c r="H336">
        <v>1658242</v>
      </c>
      <c r="I336">
        <v>1658901</v>
      </c>
      <c r="J336" t="s">
        <v>2362</v>
      </c>
      <c r="K336">
        <v>220</v>
      </c>
      <c r="L336" t="s">
        <v>59</v>
      </c>
      <c r="M336">
        <v>5</v>
      </c>
      <c r="N336" t="str">
        <f>HYPERLINK("Gene1646-zp_tree_all.dnd", "Gene1646-tree")</f>
        <v>Gene1646-tree</v>
      </c>
      <c r="O336">
        <v>3</v>
      </c>
      <c r="P336">
        <v>2</v>
      </c>
      <c r="Q336">
        <v>3</v>
      </c>
      <c r="R336">
        <v>2</v>
      </c>
      <c r="S336">
        <v>0.4</v>
      </c>
      <c r="T336" t="s">
        <v>84</v>
      </c>
      <c r="U336" t="s">
        <v>135</v>
      </c>
      <c r="V336" t="s">
        <v>62</v>
      </c>
      <c r="W336" t="s">
        <v>62</v>
      </c>
      <c r="X336">
        <v>0</v>
      </c>
      <c r="Y336">
        <v>0</v>
      </c>
      <c r="Z336">
        <v>4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2</v>
      </c>
      <c r="AK336">
        <v>0</v>
      </c>
      <c r="AL336">
        <v>5</v>
      </c>
      <c r="AM336">
        <v>2</v>
      </c>
      <c r="AN336">
        <v>27</v>
      </c>
      <c r="AO336">
        <v>2</v>
      </c>
      <c r="AP336">
        <v>17</v>
      </c>
      <c r="AQ336">
        <v>2</v>
      </c>
      <c r="AR336" t="s">
        <v>2363</v>
      </c>
      <c r="AS336" t="s">
        <v>2364</v>
      </c>
      <c r="AT336">
        <v>0.27900000000000003</v>
      </c>
      <c r="AU336" t="s">
        <v>65</v>
      </c>
      <c r="AV336">
        <v>44</v>
      </c>
      <c r="AW336">
        <v>4</v>
      </c>
      <c r="AX336" t="s">
        <v>2365</v>
      </c>
      <c r="AY336" t="s">
        <v>2366</v>
      </c>
      <c r="AZ336" t="s">
        <v>2367</v>
      </c>
      <c r="BA336">
        <v>2.6710000000000001E-2</v>
      </c>
      <c r="BB336">
        <v>1</v>
      </c>
      <c r="BC336" t="s">
        <v>69</v>
      </c>
      <c r="BD336">
        <v>0.109</v>
      </c>
      <c r="BE336">
        <v>0.109</v>
      </c>
    </row>
    <row r="337" spans="1:57">
      <c r="A337">
        <v>0</v>
      </c>
      <c r="B337">
        <v>0</v>
      </c>
      <c r="C337">
        <v>0</v>
      </c>
      <c r="D337">
        <v>1697</v>
      </c>
      <c r="E337" t="s">
        <v>2499</v>
      </c>
      <c r="F337" t="s">
        <v>5762</v>
      </c>
      <c r="G337" t="s">
        <v>57</v>
      </c>
      <c r="H337">
        <v>1704863</v>
      </c>
      <c r="I337">
        <v>1705525</v>
      </c>
      <c r="J337" t="s">
        <v>2500</v>
      </c>
      <c r="K337">
        <v>221</v>
      </c>
      <c r="L337" t="s">
        <v>59</v>
      </c>
      <c r="M337">
        <v>5</v>
      </c>
      <c r="N337" t="str">
        <f>HYPERLINK("Gene1697-zp_tree_all.dnd", "Gene1697-tree")</f>
        <v>Gene1697-tree</v>
      </c>
      <c r="O337">
        <v>4</v>
      </c>
      <c r="P337">
        <v>1</v>
      </c>
      <c r="Q337">
        <v>3</v>
      </c>
      <c r="R337">
        <v>1</v>
      </c>
      <c r="S337">
        <v>0.25</v>
      </c>
      <c r="T337" t="s">
        <v>119</v>
      </c>
      <c r="U337" t="s">
        <v>61</v>
      </c>
      <c r="V337" t="s">
        <v>62</v>
      </c>
      <c r="W337" t="s">
        <v>62</v>
      </c>
      <c r="X337">
        <v>0</v>
      </c>
      <c r="Y337">
        <v>0</v>
      </c>
      <c r="Z337">
        <v>4</v>
      </c>
      <c r="AA337">
        <v>0</v>
      </c>
      <c r="AB337">
        <v>0</v>
      </c>
      <c r="AC337">
        <v>0</v>
      </c>
      <c r="AD337">
        <v>0</v>
      </c>
      <c r="AE337">
        <v>1</v>
      </c>
      <c r="AF337">
        <v>0</v>
      </c>
      <c r="AG337">
        <v>0</v>
      </c>
      <c r="AH337">
        <v>0</v>
      </c>
      <c r="AI337">
        <v>0</v>
      </c>
      <c r="AJ337">
        <v>3</v>
      </c>
      <c r="AK337">
        <v>0</v>
      </c>
      <c r="AL337">
        <v>4</v>
      </c>
      <c r="AM337">
        <v>1</v>
      </c>
      <c r="AN337">
        <v>18</v>
      </c>
      <c r="AO337">
        <v>4</v>
      </c>
      <c r="AP337">
        <v>15</v>
      </c>
      <c r="AQ337">
        <v>1</v>
      </c>
      <c r="AR337" t="s">
        <v>2501</v>
      </c>
      <c r="AS337" t="s">
        <v>2502</v>
      </c>
      <c r="AT337">
        <v>0.42699999999999999</v>
      </c>
      <c r="AU337" t="s">
        <v>65</v>
      </c>
      <c r="AV337">
        <v>33</v>
      </c>
      <c r="AW337">
        <v>5</v>
      </c>
      <c r="AX337" t="s">
        <v>2503</v>
      </c>
      <c r="AY337" t="s">
        <v>2504</v>
      </c>
      <c r="AZ337" t="s">
        <v>2505</v>
      </c>
      <c r="BA337">
        <v>4.1770000000000002E-2</v>
      </c>
      <c r="BB337">
        <v>1</v>
      </c>
      <c r="BC337" t="s">
        <v>69</v>
      </c>
      <c r="BD337">
        <v>0.35499999999999998</v>
      </c>
      <c r="BE337">
        <v>0.186</v>
      </c>
    </row>
    <row r="338" spans="1:57">
      <c r="A338">
        <v>0</v>
      </c>
      <c r="B338">
        <v>0</v>
      </c>
      <c r="C338">
        <v>0</v>
      </c>
      <c r="D338">
        <v>2026</v>
      </c>
      <c r="E338" t="s">
        <v>2855</v>
      </c>
      <c r="F338" t="s">
        <v>5762</v>
      </c>
      <c r="G338" t="s">
        <v>62</v>
      </c>
      <c r="H338">
        <v>2121644</v>
      </c>
      <c r="I338">
        <v>2122306</v>
      </c>
      <c r="J338" t="s">
        <v>2856</v>
      </c>
      <c r="K338">
        <v>221</v>
      </c>
      <c r="L338" t="s">
        <v>59</v>
      </c>
      <c r="M338">
        <v>5</v>
      </c>
      <c r="N338" t="str">
        <f>HYPERLINK("Gene2026-zp_tree_all.dnd", "Gene2026-tree")</f>
        <v>Gene2026-tree</v>
      </c>
      <c r="O338">
        <v>5</v>
      </c>
      <c r="P338">
        <v>0</v>
      </c>
      <c r="Q338">
        <v>5</v>
      </c>
      <c r="R338">
        <v>0</v>
      </c>
      <c r="S338">
        <v>0</v>
      </c>
      <c r="T338" t="s">
        <v>98</v>
      </c>
      <c r="U338" t="s">
        <v>62</v>
      </c>
      <c r="V338" t="s">
        <v>62</v>
      </c>
      <c r="W338" t="s">
        <v>62</v>
      </c>
      <c r="X338">
        <v>0</v>
      </c>
      <c r="Y338">
        <v>0</v>
      </c>
      <c r="Z338">
        <v>2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5</v>
      </c>
      <c r="AM338">
        <v>2</v>
      </c>
      <c r="AN338">
        <v>22</v>
      </c>
      <c r="AO338">
        <v>0</v>
      </c>
      <c r="AP338">
        <v>20</v>
      </c>
      <c r="AQ338">
        <v>2</v>
      </c>
      <c r="AR338" t="s">
        <v>64</v>
      </c>
      <c r="AS338" t="s">
        <v>2857</v>
      </c>
      <c r="AT338">
        <v>0.85</v>
      </c>
      <c r="AU338" t="s">
        <v>65</v>
      </c>
      <c r="AV338">
        <v>42</v>
      </c>
      <c r="AW338">
        <v>2</v>
      </c>
      <c r="AX338" t="s">
        <v>2858</v>
      </c>
      <c r="AY338" t="s">
        <v>2859</v>
      </c>
      <c r="AZ338" t="s">
        <v>2860</v>
      </c>
      <c r="BA338">
        <v>1.6789999999999999E-2</v>
      </c>
      <c r="BB338">
        <v>1</v>
      </c>
      <c r="BC338" t="s">
        <v>69</v>
      </c>
      <c r="BD338">
        <v>0.61899999999999999</v>
      </c>
      <c r="BE338">
        <v>0.27500000000000002</v>
      </c>
    </row>
    <row r="339" spans="1:57">
      <c r="A339">
        <v>0</v>
      </c>
      <c r="B339">
        <v>0</v>
      </c>
      <c r="C339">
        <v>0</v>
      </c>
      <c r="D339">
        <v>4090</v>
      </c>
      <c r="E339" t="s">
        <v>5490</v>
      </c>
      <c r="F339" t="s">
        <v>5762</v>
      </c>
      <c r="G339" t="s">
        <v>62</v>
      </c>
      <c r="H339">
        <v>4058794</v>
      </c>
      <c r="I339">
        <v>4059465</v>
      </c>
      <c r="J339" t="s">
        <v>4260</v>
      </c>
      <c r="K339">
        <v>224</v>
      </c>
      <c r="L339" t="s">
        <v>59</v>
      </c>
      <c r="M339">
        <v>5</v>
      </c>
      <c r="N339" t="str">
        <f>HYPERLINK("Gene4090-zp_tree_all.dnd", "Gene4090-tree")</f>
        <v>Gene4090-tree</v>
      </c>
      <c r="O339">
        <v>2</v>
      </c>
      <c r="P339">
        <v>3</v>
      </c>
      <c r="Q339">
        <v>2</v>
      </c>
      <c r="R339">
        <v>3</v>
      </c>
      <c r="S339">
        <v>0.6</v>
      </c>
      <c r="T339" t="s">
        <v>135</v>
      </c>
      <c r="U339" t="s">
        <v>84</v>
      </c>
      <c r="V339" t="s">
        <v>62</v>
      </c>
      <c r="W339" t="s">
        <v>62</v>
      </c>
      <c r="X339">
        <v>0</v>
      </c>
      <c r="Y339">
        <v>0</v>
      </c>
      <c r="Z339">
        <v>6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4</v>
      </c>
      <c r="AK339">
        <v>0</v>
      </c>
      <c r="AL339">
        <v>5</v>
      </c>
      <c r="AM339">
        <v>2</v>
      </c>
      <c r="AN339">
        <v>40</v>
      </c>
      <c r="AO339">
        <v>4</v>
      </c>
      <c r="AP339">
        <v>15</v>
      </c>
      <c r="AQ339">
        <v>2</v>
      </c>
      <c r="AR339" t="s">
        <v>5491</v>
      </c>
      <c r="AS339" t="s">
        <v>5492</v>
      </c>
      <c r="AT339">
        <v>0.23899999999999999</v>
      </c>
      <c r="AU339" t="s">
        <v>65</v>
      </c>
      <c r="AV339">
        <v>55</v>
      </c>
      <c r="AW339">
        <v>6</v>
      </c>
      <c r="AX339" t="s">
        <v>5493</v>
      </c>
      <c r="AY339" t="s">
        <v>5494</v>
      </c>
      <c r="AZ339" t="s">
        <v>5495</v>
      </c>
      <c r="BA339">
        <v>3.32E-2</v>
      </c>
      <c r="BB339">
        <v>1</v>
      </c>
      <c r="BC339" t="s">
        <v>69</v>
      </c>
      <c r="BD339">
        <v>-2.1999999999999999E-2</v>
      </c>
      <c r="BE339">
        <v>-0.30399999999999999</v>
      </c>
    </row>
    <row r="340" spans="1:57">
      <c r="A340">
        <v>0</v>
      </c>
      <c r="B340">
        <v>0</v>
      </c>
      <c r="C340">
        <v>0</v>
      </c>
      <c r="D340">
        <v>2349</v>
      </c>
      <c r="E340" t="s">
        <v>3037</v>
      </c>
      <c r="F340" t="s">
        <v>5762</v>
      </c>
      <c r="G340" t="s">
        <v>62</v>
      </c>
      <c r="H340">
        <v>2363916</v>
      </c>
      <c r="I340">
        <v>2364587</v>
      </c>
      <c r="J340" t="s">
        <v>3038</v>
      </c>
      <c r="K340">
        <v>224</v>
      </c>
      <c r="L340" t="s">
        <v>59</v>
      </c>
      <c r="M340">
        <v>5</v>
      </c>
      <c r="N340" t="str">
        <f>HYPERLINK("Gene2349-zp_tree_all.dnd", "Gene2349-tree")</f>
        <v>Gene2349-tree</v>
      </c>
      <c r="O340">
        <v>5</v>
      </c>
      <c r="P340">
        <v>0</v>
      </c>
      <c r="Q340">
        <v>5</v>
      </c>
      <c r="R340">
        <v>0</v>
      </c>
      <c r="S340">
        <v>0</v>
      </c>
      <c r="T340" t="s">
        <v>98</v>
      </c>
      <c r="U340" t="s">
        <v>62</v>
      </c>
      <c r="V340" t="s">
        <v>62</v>
      </c>
      <c r="W340" t="s">
        <v>62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5</v>
      </c>
      <c r="AM340">
        <v>2</v>
      </c>
      <c r="AN340">
        <v>10</v>
      </c>
      <c r="AO340">
        <v>0</v>
      </c>
      <c r="AP340">
        <v>17</v>
      </c>
      <c r="AQ340">
        <v>0</v>
      </c>
      <c r="AR340" t="s">
        <v>64</v>
      </c>
      <c r="AS340" t="s">
        <v>64</v>
      </c>
      <c r="AT340">
        <v>0</v>
      </c>
      <c r="AU340" t="s">
        <v>65</v>
      </c>
      <c r="AV340">
        <v>27</v>
      </c>
      <c r="AW340">
        <v>0</v>
      </c>
      <c r="AX340" t="s">
        <v>3039</v>
      </c>
      <c r="AY340" t="s">
        <v>3040</v>
      </c>
      <c r="AZ340" t="s">
        <v>64</v>
      </c>
      <c r="BA340">
        <v>0</v>
      </c>
      <c r="BB340">
        <v>1</v>
      </c>
      <c r="BC340" t="s">
        <v>69</v>
      </c>
      <c r="BD340">
        <v>0.71399999999999997</v>
      </c>
      <c r="BE340">
        <v>0.71399999999999997</v>
      </c>
    </row>
    <row r="341" spans="1:57">
      <c r="A341">
        <v>0</v>
      </c>
      <c r="B341">
        <v>0</v>
      </c>
      <c r="C341">
        <v>0</v>
      </c>
      <c r="D341">
        <v>3248</v>
      </c>
      <c r="E341" t="s">
        <v>4376</v>
      </c>
      <c r="F341" t="s">
        <v>5762</v>
      </c>
      <c r="G341" t="s">
        <v>62</v>
      </c>
      <c r="H341">
        <v>3217499</v>
      </c>
      <c r="I341">
        <v>3218173</v>
      </c>
      <c r="J341" t="s">
        <v>4377</v>
      </c>
      <c r="K341">
        <v>225</v>
      </c>
      <c r="L341" t="s">
        <v>59</v>
      </c>
      <c r="M341">
        <v>5</v>
      </c>
      <c r="N341" t="str">
        <f>HYPERLINK("Gene3248-zp_tree_all.dnd", "Gene3248-tree")</f>
        <v>Gene3248-tree</v>
      </c>
      <c r="O341">
        <v>4</v>
      </c>
      <c r="P341">
        <v>1</v>
      </c>
      <c r="Q341">
        <v>4</v>
      </c>
      <c r="R341">
        <v>1</v>
      </c>
      <c r="S341">
        <v>0.2</v>
      </c>
      <c r="T341" t="s">
        <v>60</v>
      </c>
      <c r="U341" t="s">
        <v>61</v>
      </c>
      <c r="V341" t="s">
        <v>62</v>
      </c>
      <c r="W341" t="s">
        <v>62</v>
      </c>
      <c r="X341">
        <v>0</v>
      </c>
      <c r="Y341">
        <v>0</v>
      </c>
      <c r="Z341">
        <v>3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1</v>
      </c>
      <c r="AK341">
        <v>0</v>
      </c>
      <c r="AL341">
        <v>4</v>
      </c>
      <c r="AM341">
        <v>2</v>
      </c>
      <c r="AN341">
        <v>11</v>
      </c>
      <c r="AO341">
        <v>1</v>
      </c>
      <c r="AP341">
        <v>17</v>
      </c>
      <c r="AQ341">
        <v>2</v>
      </c>
      <c r="AR341" t="s">
        <v>4378</v>
      </c>
      <c r="AS341" t="s">
        <v>4379</v>
      </c>
      <c r="AT341">
        <v>0.113</v>
      </c>
      <c r="AU341" t="s">
        <v>65</v>
      </c>
      <c r="AV341">
        <v>28</v>
      </c>
      <c r="AW341">
        <v>3</v>
      </c>
      <c r="AX341" t="s">
        <v>4380</v>
      </c>
      <c r="AY341" t="s">
        <v>4381</v>
      </c>
      <c r="AZ341" t="s">
        <v>4382</v>
      </c>
      <c r="BA341">
        <v>3.5479999999999998E-2</v>
      </c>
      <c r="BB341">
        <v>1</v>
      </c>
      <c r="BC341" t="s">
        <v>69</v>
      </c>
      <c r="BD341">
        <v>0.84799999999999998</v>
      </c>
      <c r="BE341">
        <v>0.57999999999999996</v>
      </c>
    </row>
    <row r="342" spans="1:57">
      <c r="A342">
        <v>0</v>
      </c>
      <c r="B342">
        <v>0</v>
      </c>
      <c r="C342">
        <v>0</v>
      </c>
      <c r="D342">
        <v>2916</v>
      </c>
      <c r="E342" t="s">
        <v>3820</v>
      </c>
      <c r="F342" t="s">
        <v>5762</v>
      </c>
      <c r="G342" t="s">
        <v>62</v>
      </c>
      <c r="H342">
        <v>2858587</v>
      </c>
      <c r="I342">
        <v>2859264</v>
      </c>
      <c r="J342" t="s">
        <v>3821</v>
      </c>
      <c r="K342">
        <v>226</v>
      </c>
      <c r="L342" t="s">
        <v>59</v>
      </c>
      <c r="M342">
        <v>5</v>
      </c>
      <c r="N342" t="str">
        <f>HYPERLINK("Gene2916-zp_tree_all.dnd", "Gene2916-tree")</f>
        <v>Gene2916-tree</v>
      </c>
      <c r="O342">
        <v>4</v>
      </c>
      <c r="P342">
        <v>1</v>
      </c>
      <c r="Q342">
        <v>4</v>
      </c>
      <c r="R342">
        <v>1</v>
      </c>
      <c r="S342">
        <v>0.2</v>
      </c>
      <c r="T342" t="s">
        <v>60</v>
      </c>
      <c r="U342" t="s">
        <v>61</v>
      </c>
      <c r="V342" t="s">
        <v>62</v>
      </c>
      <c r="W342" t="s">
        <v>62</v>
      </c>
      <c r="X342">
        <v>0</v>
      </c>
      <c r="Y342">
        <v>0</v>
      </c>
      <c r="Z342">
        <v>5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1</v>
      </c>
      <c r="AK342">
        <v>0</v>
      </c>
      <c r="AL342">
        <v>5</v>
      </c>
      <c r="AM342">
        <v>2</v>
      </c>
      <c r="AN342">
        <v>14</v>
      </c>
      <c r="AO342">
        <v>1</v>
      </c>
      <c r="AP342">
        <v>12</v>
      </c>
      <c r="AQ342">
        <v>4</v>
      </c>
      <c r="AR342" t="s">
        <v>3822</v>
      </c>
      <c r="AS342" t="s">
        <v>3823</v>
      </c>
      <c r="AT342">
        <v>0.79700000000000004</v>
      </c>
      <c r="AU342" t="s">
        <v>65</v>
      </c>
      <c r="AV342">
        <v>26</v>
      </c>
      <c r="AW342">
        <v>5</v>
      </c>
      <c r="AX342" t="s">
        <v>3824</v>
      </c>
      <c r="AY342" t="s">
        <v>3825</v>
      </c>
      <c r="AZ342" t="s">
        <v>3826</v>
      </c>
      <c r="BA342">
        <v>6.1809999999999997E-2</v>
      </c>
      <c r="BB342">
        <v>1</v>
      </c>
      <c r="BC342" t="s">
        <v>69</v>
      </c>
      <c r="BD342">
        <v>0.68700000000000006</v>
      </c>
      <c r="BE342">
        <v>0.47199999999999998</v>
      </c>
    </row>
    <row r="343" spans="1:57">
      <c r="A343">
        <v>0</v>
      </c>
      <c r="B343">
        <v>0</v>
      </c>
      <c r="C343">
        <v>0</v>
      </c>
      <c r="D343">
        <v>2050</v>
      </c>
      <c r="E343" t="s">
        <v>2909</v>
      </c>
      <c r="F343" t="s">
        <v>5762</v>
      </c>
      <c r="G343" t="s">
        <v>62</v>
      </c>
      <c r="H343">
        <v>2138040</v>
      </c>
      <c r="I343">
        <v>2138717</v>
      </c>
      <c r="J343" t="s">
        <v>170</v>
      </c>
      <c r="K343">
        <v>226</v>
      </c>
      <c r="L343" t="s">
        <v>59</v>
      </c>
      <c r="M343">
        <v>5</v>
      </c>
      <c r="N343" t="str">
        <f>HYPERLINK("Gene2050-zp_tree_all.dnd", "Gene2050-tree")</f>
        <v>Gene2050-tree</v>
      </c>
      <c r="O343">
        <v>3</v>
      </c>
      <c r="P343">
        <v>2</v>
      </c>
      <c r="Q343">
        <v>3</v>
      </c>
      <c r="R343">
        <v>2</v>
      </c>
      <c r="S343">
        <v>0.4</v>
      </c>
      <c r="T343" t="s">
        <v>84</v>
      </c>
      <c r="U343" t="s">
        <v>135</v>
      </c>
      <c r="V343" t="s">
        <v>62</v>
      </c>
      <c r="W343" t="s">
        <v>62</v>
      </c>
      <c r="X343">
        <v>0</v>
      </c>
      <c r="Y343">
        <v>0</v>
      </c>
      <c r="Z343">
        <v>5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4</v>
      </c>
      <c r="AK343">
        <v>0</v>
      </c>
      <c r="AL343">
        <v>5</v>
      </c>
      <c r="AM343">
        <v>2</v>
      </c>
      <c r="AN343">
        <v>8</v>
      </c>
      <c r="AO343">
        <v>4</v>
      </c>
      <c r="AP343">
        <v>22</v>
      </c>
      <c r="AQ343">
        <v>1</v>
      </c>
      <c r="AR343" t="s">
        <v>2910</v>
      </c>
      <c r="AS343" t="s">
        <v>2911</v>
      </c>
      <c r="AT343">
        <v>0.85699999999999998</v>
      </c>
      <c r="AU343" t="s">
        <v>65</v>
      </c>
      <c r="AV343">
        <v>30</v>
      </c>
      <c r="AW343">
        <v>5</v>
      </c>
      <c r="AX343" t="s">
        <v>2912</v>
      </c>
      <c r="AY343" t="s">
        <v>2913</v>
      </c>
      <c r="AZ343" t="s">
        <v>2914</v>
      </c>
      <c r="BA343">
        <v>3.4470000000000001E-2</v>
      </c>
      <c r="BB343">
        <v>1</v>
      </c>
      <c r="BC343" t="s">
        <v>69</v>
      </c>
      <c r="BD343">
        <v>1.0429999999999999</v>
      </c>
      <c r="BE343">
        <v>0.60399999999999998</v>
      </c>
    </row>
    <row r="344" spans="1:57">
      <c r="A344">
        <v>0</v>
      </c>
      <c r="B344">
        <v>0</v>
      </c>
      <c r="C344">
        <v>2</v>
      </c>
      <c r="D344">
        <v>3562</v>
      </c>
      <c r="E344" t="s">
        <v>4856</v>
      </c>
      <c r="F344" t="s">
        <v>5762</v>
      </c>
      <c r="G344" t="s">
        <v>62</v>
      </c>
      <c r="H344">
        <v>3528465</v>
      </c>
      <c r="I344">
        <v>3529145</v>
      </c>
      <c r="J344" t="s">
        <v>4857</v>
      </c>
      <c r="K344">
        <v>227</v>
      </c>
      <c r="L344" t="s">
        <v>59</v>
      </c>
      <c r="M344">
        <v>5</v>
      </c>
      <c r="N344" t="str">
        <f>HYPERLINK("Gene3562-zp_tree_all.dnd", "Gene3562-tree")</f>
        <v>Gene3562-tree</v>
      </c>
      <c r="O344">
        <v>4</v>
      </c>
      <c r="P344">
        <v>1</v>
      </c>
      <c r="Q344">
        <v>3</v>
      </c>
      <c r="R344">
        <v>1</v>
      </c>
      <c r="S344">
        <v>0.25</v>
      </c>
      <c r="T344" t="s">
        <v>119</v>
      </c>
      <c r="U344" t="s">
        <v>61</v>
      </c>
      <c r="V344" t="s">
        <v>62</v>
      </c>
      <c r="W344" t="s">
        <v>62</v>
      </c>
      <c r="X344">
        <v>1</v>
      </c>
      <c r="Y344">
        <v>2</v>
      </c>
      <c r="Z344">
        <v>4</v>
      </c>
      <c r="AA344">
        <v>0.33333000000000002</v>
      </c>
      <c r="AB344">
        <v>0</v>
      </c>
      <c r="AC344">
        <v>0</v>
      </c>
      <c r="AD344">
        <v>0</v>
      </c>
      <c r="AE344">
        <v>4</v>
      </c>
      <c r="AF344">
        <v>0</v>
      </c>
      <c r="AG344">
        <v>0</v>
      </c>
      <c r="AH344">
        <v>0</v>
      </c>
      <c r="AI344">
        <v>0</v>
      </c>
      <c r="AJ344">
        <v>2</v>
      </c>
      <c r="AK344">
        <v>0</v>
      </c>
      <c r="AL344">
        <v>4</v>
      </c>
      <c r="AM344">
        <v>1</v>
      </c>
      <c r="AN344">
        <v>22</v>
      </c>
      <c r="AO344">
        <v>2</v>
      </c>
      <c r="AP344">
        <v>16</v>
      </c>
      <c r="AQ344">
        <v>4</v>
      </c>
      <c r="AR344" t="s">
        <v>4858</v>
      </c>
      <c r="AS344" t="s">
        <v>4859</v>
      </c>
      <c r="AT344">
        <v>0.98899999999999999</v>
      </c>
      <c r="AU344" t="s">
        <v>65</v>
      </c>
      <c r="AV344">
        <v>38</v>
      </c>
      <c r="AW344">
        <v>6</v>
      </c>
      <c r="AX344" t="s">
        <v>4860</v>
      </c>
      <c r="AY344" t="s">
        <v>4861</v>
      </c>
      <c r="AZ344" t="s">
        <v>4862</v>
      </c>
      <c r="BA344">
        <v>4.725E-2</v>
      </c>
      <c r="BB344">
        <v>1</v>
      </c>
      <c r="BC344" t="s">
        <v>69</v>
      </c>
      <c r="BD344">
        <v>0.78300000000000003</v>
      </c>
      <c r="BE344">
        <v>7.8E-2</v>
      </c>
    </row>
    <row r="345" spans="1:57">
      <c r="A345">
        <v>0</v>
      </c>
      <c r="B345">
        <v>0</v>
      </c>
      <c r="C345">
        <v>0</v>
      </c>
      <c r="D345">
        <v>379</v>
      </c>
      <c r="E345" t="s">
        <v>821</v>
      </c>
      <c r="F345" t="s">
        <v>5762</v>
      </c>
      <c r="G345" t="s">
        <v>57</v>
      </c>
      <c r="H345">
        <v>426577</v>
      </c>
      <c r="I345">
        <v>427257</v>
      </c>
      <c r="J345" t="s">
        <v>822</v>
      </c>
      <c r="K345">
        <v>227</v>
      </c>
      <c r="L345" t="s">
        <v>83</v>
      </c>
      <c r="M345">
        <v>4</v>
      </c>
      <c r="N345" t="str">
        <f>HYPERLINK("Gene379-zp_tree_all.dnd", "Gene379-tree")</f>
        <v>Gene379-tree</v>
      </c>
      <c r="O345">
        <v>2</v>
      </c>
      <c r="P345">
        <v>2</v>
      </c>
      <c r="Q345">
        <v>2</v>
      </c>
      <c r="R345">
        <v>2</v>
      </c>
      <c r="S345">
        <v>0.5</v>
      </c>
      <c r="T345" t="s">
        <v>135</v>
      </c>
      <c r="U345" t="s">
        <v>135</v>
      </c>
      <c r="V345" t="s">
        <v>62</v>
      </c>
      <c r="W345" t="s">
        <v>62</v>
      </c>
      <c r="X345">
        <v>0</v>
      </c>
      <c r="Y345">
        <v>0</v>
      </c>
      <c r="Z345">
        <v>6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6</v>
      </c>
      <c r="AK345">
        <v>0</v>
      </c>
      <c r="AL345">
        <v>4</v>
      </c>
      <c r="AM345">
        <v>1</v>
      </c>
      <c r="AN345">
        <v>31</v>
      </c>
      <c r="AO345">
        <v>6</v>
      </c>
      <c r="AP345">
        <v>2</v>
      </c>
      <c r="AQ345">
        <v>0</v>
      </c>
      <c r="AR345" t="s">
        <v>823</v>
      </c>
      <c r="AS345" t="s">
        <v>64</v>
      </c>
      <c r="AT345">
        <v>0.71099999999999997</v>
      </c>
      <c r="AU345" t="s">
        <v>65</v>
      </c>
      <c r="AV345">
        <v>33</v>
      </c>
      <c r="AW345">
        <v>6</v>
      </c>
      <c r="AX345" t="s">
        <v>824</v>
      </c>
      <c r="AY345" t="s">
        <v>825</v>
      </c>
      <c r="AZ345" t="s">
        <v>826</v>
      </c>
      <c r="BA345">
        <v>4.5069999999999999E-2</v>
      </c>
      <c r="BB345">
        <v>1</v>
      </c>
      <c r="BC345" t="s">
        <v>69</v>
      </c>
      <c r="BD345">
        <v>-0.61399999999999999</v>
      </c>
      <c r="BE345">
        <v>-0.61399999999999999</v>
      </c>
    </row>
    <row r="346" spans="1:57">
      <c r="A346">
        <v>0</v>
      </c>
      <c r="B346">
        <v>0</v>
      </c>
      <c r="C346">
        <v>0</v>
      </c>
      <c r="D346">
        <v>681</v>
      </c>
      <c r="E346" t="s">
        <v>1132</v>
      </c>
      <c r="F346" t="s">
        <v>5762</v>
      </c>
      <c r="G346" t="s">
        <v>57</v>
      </c>
      <c r="H346">
        <v>702570</v>
      </c>
      <c r="I346">
        <v>703250</v>
      </c>
      <c r="J346" t="s">
        <v>1133</v>
      </c>
      <c r="K346">
        <v>227</v>
      </c>
      <c r="L346" t="s">
        <v>59</v>
      </c>
      <c r="M346">
        <v>5</v>
      </c>
      <c r="N346" t="str">
        <f>HYPERLINK("Gene681-zp_tree_all.dnd", "Gene681-tree")</f>
        <v>Gene681-tree</v>
      </c>
      <c r="O346">
        <v>2</v>
      </c>
      <c r="P346">
        <v>3</v>
      </c>
      <c r="Q346">
        <v>2</v>
      </c>
      <c r="R346">
        <v>3</v>
      </c>
      <c r="S346">
        <v>0.6</v>
      </c>
      <c r="T346" t="s">
        <v>135</v>
      </c>
      <c r="U346" t="s">
        <v>84</v>
      </c>
      <c r="V346" t="s">
        <v>62</v>
      </c>
      <c r="W346" t="s">
        <v>62</v>
      </c>
      <c r="X346">
        <v>0</v>
      </c>
      <c r="Y346">
        <v>0</v>
      </c>
      <c r="Z346">
        <v>5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3</v>
      </c>
      <c r="AK346">
        <v>0</v>
      </c>
      <c r="AL346">
        <v>5</v>
      </c>
      <c r="AM346">
        <v>2</v>
      </c>
      <c r="AN346">
        <v>16</v>
      </c>
      <c r="AO346">
        <v>3</v>
      </c>
      <c r="AP346">
        <v>20</v>
      </c>
      <c r="AQ346">
        <v>2</v>
      </c>
      <c r="AR346" t="s">
        <v>1134</v>
      </c>
      <c r="AS346" t="s">
        <v>1135</v>
      </c>
      <c r="AT346">
        <v>0.68</v>
      </c>
      <c r="AU346" t="s">
        <v>65</v>
      </c>
      <c r="AV346">
        <v>36</v>
      </c>
      <c r="AW346">
        <v>5</v>
      </c>
      <c r="AX346" t="s">
        <v>1136</v>
      </c>
      <c r="AY346" t="s">
        <v>1137</v>
      </c>
      <c r="AZ346" t="s">
        <v>1138</v>
      </c>
      <c r="BA346">
        <v>3.6749999999999998E-2</v>
      </c>
      <c r="BB346">
        <v>1</v>
      </c>
      <c r="BC346" t="s">
        <v>69</v>
      </c>
      <c r="BD346">
        <v>0.68400000000000005</v>
      </c>
      <c r="BE346">
        <v>0.47799999999999998</v>
      </c>
    </row>
    <row r="347" spans="1:57">
      <c r="A347">
        <v>0</v>
      </c>
      <c r="B347">
        <v>0</v>
      </c>
      <c r="C347">
        <v>0</v>
      </c>
      <c r="D347">
        <v>3059</v>
      </c>
      <c r="E347" t="s">
        <v>4113</v>
      </c>
      <c r="F347" t="s">
        <v>5762</v>
      </c>
      <c r="G347" t="s">
        <v>62</v>
      </c>
      <c r="H347">
        <v>3009918</v>
      </c>
      <c r="I347">
        <v>3010598</v>
      </c>
      <c r="J347" t="s">
        <v>1522</v>
      </c>
      <c r="K347">
        <v>227</v>
      </c>
      <c r="L347" t="s">
        <v>83</v>
      </c>
      <c r="M347">
        <v>4</v>
      </c>
      <c r="N347" t="str">
        <f>HYPERLINK("Gene3059-zp_tree_all.dnd", "Gene3059-tree")</f>
        <v>Gene3059-tree</v>
      </c>
      <c r="O347">
        <v>3</v>
      </c>
      <c r="P347">
        <v>1</v>
      </c>
      <c r="Q347">
        <v>3</v>
      </c>
      <c r="R347">
        <v>1</v>
      </c>
      <c r="S347">
        <v>0.25</v>
      </c>
      <c r="T347" t="s">
        <v>84</v>
      </c>
      <c r="U347" t="s">
        <v>61</v>
      </c>
      <c r="V347" t="s">
        <v>62</v>
      </c>
      <c r="W347" t="s">
        <v>62</v>
      </c>
      <c r="X347">
        <v>0</v>
      </c>
      <c r="Y347">
        <v>0</v>
      </c>
      <c r="Z347">
        <v>3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3</v>
      </c>
      <c r="AK347">
        <v>0</v>
      </c>
      <c r="AL347">
        <v>3</v>
      </c>
      <c r="AM347">
        <v>1</v>
      </c>
      <c r="AN347">
        <v>31</v>
      </c>
      <c r="AO347">
        <v>3</v>
      </c>
      <c r="AP347">
        <v>5</v>
      </c>
      <c r="AQ347">
        <v>0</v>
      </c>
      <c r="AR347" t="s">
        <v>4114</v>
      </c>
      <c r="AS347" t="s">
        <v>64</v>
      </c>
      <c r="AT347">
        <v>0.51400000000000001</v>
      </c>
      <c r="AU347" t="s">
        <v>65</v>
      </c>
      <c r="AV347">
        <v>36</v>
      </c>
      <c r="AW347">
        <v>3</v>
      </c>
      <c r="AX347" t="s">
        <v>4115</v>
      </c>
      <c r="AY347" t="s">
        <v>4116</v>
      </c>
      <c r="AZ347" t="s">
        <v>4117</v>
      </c>
      <c r="BA347">
        <v>2.1350000000000001E-2</v>
      </c>
      <c r="BB347">
        <v>1</v>
      </c>
      <c r="BC347" t="s">
        <v>69</v>
      </c>
      <c r="BD347">
        <v>-0.26500000000000001</v>
      </c>
      <c r="BE347">
        <v>-0.52200000000000002</v>
      </c>
    </row>
    <row r="348" spans="1:57">
      <c r="A348">
        <v>0</v>
      </c>
      <c r="B348">
        <v>0</v>
      </c>
      <c r="C348">
        <v>0</v>
      </c>
      <c r="D348">
        <v>3654</v>
      </c>
      <c r="E348" t="s">
        <v>4935</v>
      </c>
      <c r="F348" t="s">
        <v>5762</v>
      </c>
      <c r="G348" t="s">
        <v>62</v>
      </c>
      <c r="H348">
        <v>3624824</v>
      </c>
      <c r="I348">
        <v>3625507</v>
      </c>
      <c r="J348" t="s">
        <v>4936</v>
      </c>
      <c r="K348">
        <v>228</v>
      </c>
      <c r="L348" t="s">
        <v>59</v>
      </c>
      <c r="M348">
        <v>5</v>
      </c>
      <c r="N348" t="str">
        <f>HYPERLINK("Gene3654-zp_tree_all.dnd", "Gene3654-tree")</f>
        <v>Gene3654-tree</v>
      </c>
      <c r="O348">
        <v>5</v>
      </c>
      <c r="P348">
        <v>0</v>
      </c>
      <c r="Q348">
        <v>5</v>
      </c>
      <c r="R348">
        <v>0</v>
      </c>
      <c r="S348">
        <v>0</v>
      </c>
      <c r="T348" t="s">
        <v>98</v>
      </c>
      <c r="U348" t="s">
        <v>62</v>
      </c>
      <c r="V348" t="s">
        <v>62</v>
      </c>
      <c r="W348" t="s">
        <v>62</v>
      </c>
      <c r="X348">
        <v>0</v>
      </c>
      <c r="Y348">
        <v>0</v>
      </c>
      <c r="Z348">
        <v>2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5</v>
      </c>
      <c r="AM348">
        <v>2</v>
      </c>
      <c r="AN348">
        <v>25</v>
      </c>
      <c r="AO348">
        <v>0</v>
      </c>
      <c r="AP348">
        <v>17</v>
      </c>
      <c r="AQ348">
        <v>3</v>
      </c>
      <c r="AR348" t="s">
        <v>64</v>
      </c>
      <c r="AS348" t="s">
        <v>4937</v>
      </c>
      <c r="AT348">
        <v>0.98399999999999999</v>
      </c>
      <c r="AU348" t="s">
        <v>65</v>
      </c>
      <c r="AV348">
        <v>42</v>
      </c>
      <c r="AW348">
        <v>3</v>
      </c>
      <c r="AX348" t="s">
        <v>4938</v>
      </c>
      <c r="AY348" t="s">
        <v>4939</v>
      </c>
      <c r="AZ348" t="s">
        <v>4940</v>
      </c>
      <c r="BA348">
        <v>2.4930000000000001E-2</v>
      </c>
      <c r="BB348">
        <v>1</v>
      </c>
      <c r="BC348" t="s">
        <v>69</v>
      </c>
      <c r="BD348">
        <v>0.61899999999999999</v>
      </c>
      <c r="BE348">
        <v>0.27500000000000002</v>
      </c>
    </row>
    <row r="349" spans="1:57">
      <c r="A349">
        <v>0</v>
      </c>
      <c r="B349">
        <v>0</v>
      </c>
      <c r="C349">
        <v>0</v>
      </c>
      <c r="D349">
        <v>2539</v>
      </c>
      <c r="E349" t="s">
        <v>3348</v>
      </c>
      <c r="F349" t="s">
        <v>5762</v>
      </c>
      <c r="G349" t="s">
        <v>62</v>
      </c>
      <c r="H349">
        <v>2533013</v>
      </c>
      <c r="I349">
        <v>2533699</v>
      </c>
      <c r="J349" t="s">
        <v>3349</v>
      </c>
      <c r="K349">
        <v>229</v>
      </c>
      <c r="L349" t="s">
        <v>59</v>
      </c>
      <c r="M349">
        <v>5</v>
      </c>
      <c r="N349" t="str">
        <f>HYPERLINK("Gene2539-zp_tree_all.dnd", "Gene2539-tree")</f>
        <v>Gene2539-tree</v>
      </c>
      <c r="O349">
        <v>2</v>
      </c>
      <c r="P349">
        <v>3</v>
      </c>
      <c r="Q349">
        <v>2</v>
      </c>
      <c r="R349">
        <v>3</v>
      </c>
      <c r="S349">
        <v>0.6</v>
      </c>
      <c r="T349" t="s">
        <v>135</v>
      </c>
      <c r="U349" t="s">
        <v>84</v>
      </c>
      <c r="V349" t="s">
        <v>62</v>
      </c>
      <c r="W349" t="s">
        <v>62</v>
      </c>
      <c r="X349">
        <v>0</v>
      </c>
      <c r="Y349">
        <v>0</v>
      </c>
      <c r="Z349">
        <v>8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4</v>
      </c>
      <c r="AK349">
        <v>0</v>
      </c>
      <c r="AL349">
        <v>4</v>
      </c>
      <c r="AM349">
        <v>2</v>
      </c>
      <c r="AN349">
        <v>10</v>
      </c>
      <c r="AO349">
        <v>4</v>
      </c>
      <c r="AP349">
        <v>19</v>
      </c>
      <c r="AQ349">
        <v>5</v>
      </c>
      <c r="AR349" t="s">
        <v>3350</v>
      </c>
      <c r="AS349" t="s">
        <v>3351</v>
      </c>
      <c r="AT349">
        <v>0.44</v>
      </c>
      <c r="AU349" t="s">
        <v>65</v>
      </c>
      <c r="AV349">
        <v>29</v>
      </c>
      <c r="AW349">
        <v>9</v>
      </c>
      <c r="AX349" t="s">
        <v>3352</v>
      </c>
      <c r="AY349" t="s">
        <v>3353</v>
      </c>
      <c r="AZ349" t="s">
        <v>3354</v>
      </c>
      <c r="BA349">
        <v>8.2890000000000005E-2</v>
      </c>
      <c r="BB349">
        <v>1</v>
      </c>
      <c r="BC349" t="s">
        <v>69</v>
      </c>
      <c r="BD349">
        <v>0.877</v>
      </c>
      <c r="BE349">
        <v>0.66</v>
      </c>
    </row>
    <row r="350" spans="1:57">
      <c r="A350">
        <v>0</v>
      </c>
      <c r="B350">
        <v>0</v>
      </c>
      <c r="C350">
        <v>0</v>
      </c>
      <c r="D350">
        <v>4107</v>
      </c>
      <c r="E350" t="s">
        <v>5550</v>
      </c>
      <c r="F350" t="s">
        <v>5762</v>
      </c>
      <c r="G350" t="s">
        <v>62</v>
      </c>
      <c r="H350">
        <v>4072287</v>
      </c>
      <c r="I350">
        <v>4072973</v>
      </c>
      <c r="J350" t="s">
        <v>5551</v>
      </c>
      <c r="K350">
        <v>229</v>
      </c>
      <c r="L350" t="s">
        <v>83</v>
      </c>
      <c r="M350">
        <v>4</v>
      </c>
      <c r="N350" t="str">
        <f>HYPERLINK("Gene4107-zp_tree_all.dnd", "Gene4107-tree")</f>
        <v>Gene4107-tree</v>
      </c>
      <c r="O350">
        <v>3</v>
      </c>
      <c r="P350">
        <v>1</v>
      </c>
      <c r="Q350">
        <v>3</v>
      </c>
      <c r="R350">
        <v>1</v>
      </c>
      <c r="S350">
        <v>0.25</v>
      </c>
      <c r="T350" t="s">
        <v>84</v>
      </c>
      <c r="U350" t="s">
        <v>61</v>
      </c>
      <c r="V350" t="s">
        <v>62</v>
      </c>
      <c r="W350" t="s">
        <v>62</v>
      </c>
      <c r="X350">
        <v>0</v>
      </c>
      <c r="Y350">
        <v>0</v>
      </c>
      <c r="Z350">
        <v>5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5</v>
      </c>
      <c r="AK350">
        <v>0</v>
      </c>
      <c r="AL350">
        <v>3</v>
      </c>
      <c r="AM350">
        <v>1</v>
      </c>
      <c r="AN350">
        <v>23</v>
      </c>
      <c r="AO350">
        <v>5</v>
      </c>
      <c r="AP350">
        <v>1</v>
      </c>
      <c r="AQ350">
        <v>0</v>
      </c>
      <c r="AR350" t="s">
        <v>5552</v>
      </c>
      <c r="AS350" t="s">
        <v>64</v>
      </c>
      <c r="AT350">
        <v>0.48799999999999999</v>
      </c>
      <c r="AU350" t="s">
        <v>65</v>
      </c>
      <c r="AV350">
        <v>24</v>
      </c>
      <c r="AW350">
        <v>5</v>
      </c>
      <c r="AX350" t="s">
        <v>5553</v>
      </c>
      <c r="AY350" t="s">
        <v>5554</v>
      </c>
      <c r="AZ350" t="s">
        <v>5555</v>
      </c>
      <c r="BA350">
        <v>5.5559999999999998E-2</v>
      </c>
      <c r="BB350">
        <v>1</v>
      </c>
      <c r="BC350" t="s">
        <v>69</v>
      </c>
      <c r="BD350">
        <v>-0.752</v>
      </c>
      <c r="BE350">
        <v>-0.752</v>
      </c>
    </row>
    <row r="351" spans="1:57">
      <c r="A351">
        <v>0</v>
      </c>
      <c r="B351">
        <v>0</v>
      </c>
      <c r="C351">
        <v>0</v>
      </c>
      <c r="D351">
        <v>3677</v>
      </c>
      <c r="E351" t="s">
        <v>4981</v>
      </c>
      <c r="F351" t="s">
        <v>5762</v>
      </c>
      <c r="G351" t="s">
        <v>62</v>
      </c>
      <c r="H351">
        <v>3644610</v>
      </c>
      <c r="I351">
        <v>3645296</v>
      </c>
      <c r="J351" t="s">
        <v>4042</v>
      </c>
      <c r="K351">
        <v>229</v>
      </c>
      <c r="L351" t="s">
        <v>59</v>
      </c>
      <c r="M351">
        <v>5</v>
      </c>
      <c r="N351" t="str">
        <f>HYPERLINK("Gene3677-zp_tree_all.dnd", "Gene3677-tree")</f>
        <v>Gene3677-tree</v>
      </c>
      <c r="O351">
        <v>5</v>
      </c>
      <c r="P351">
        <v>0</v>
      </c>
      <c r="Q351">
        <v>5</v>
      </c>
      <c r="R351">
        <v>0</v>
      </c>
      <c r="S351">
        <v>0</v>
      </c>
      <c r="T351" t="s">
        <v>98</v>
      </c>
      <c r="U351" t="s">
        <v>62</v>
      </c>
      <c r="V351" t="s">
        <v>62</v>
      </c>
      <c r="W351" t="s">
        <v>62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5</v>
      </c>
      <c r="AM351">
        <v>2</v>
      </c>
      <c r="AN351">
        <v>12</v>
      </c>
      <c r="AO351">
        <v>0</v>
      </c>
      <c r="AP351">
        <v>12</v>
      </c>
      <c r="AQ351">
        <v>0</v>
      </c>
      <c r="AR351" t="s">
        <v>64</v>
      </c>
      <c r="AS351" t="s">
        <v>64</v>
      </c>
      <c r="AT351">
        <v>0</v>
      </c>
      <c r="AU351" t="s">
        <v>65</v>
      </c>
      <c r="AV351">
        <v>24</v>
      </c>
      <c r="AW351">
        <v>0</v>
      </c>
      <c r="AX351" t="s">
        <v>4982</v>
      </c>
      <c r="AY351" t="s">
        <v>4983</v>
      </c>
      <c r="AZ351" t="s">
        <v>64</v>
      </c>
      <c r="BA351">
        <v>0</v>
      </c>
      <c r="BB351">
        <v>1</v>
      </c>
      <c r="BC351" t="s">
        <v>69</v>
      </c>
      <c r="BD351">
        <v>0.31</v>
      </c>
      <c r="BE351">
        <v>0.31</v>
      </c>
    </row>
    <row r="352" spans="1:57">
      <c r="A352">
        <v>0</v>
      </c>
      <c r="B352">
        <v>0</v>
      </c>
      <c r="C352">
        <v>0</v>
      </c>
      <c r="D352">
        <v>1599</v>
      </c>
      <c r="E352" t="s">
        <v>2248</v>
      </c>
      <c r="F352" t="s">
        <v>5762</v>
      </c>
      <c r="G352" t="s">
        <v>57</v>
      </c>
      <c r="H352">
        <v>1610170</v>
      </c>
      <c r="I352">
        <v>1610859</v>
      </c>
      <c r="J352" t="s">
        <v>2249</v>
      </c>
      <c r="K352">
        <v>230</v>
      </c>
      <c r="L352" t="s">
        <v>59</v>
      </c>
      <c r="M352">
        <v>5</v>
      </c>
      <c r="N352" t="str">
        <f>HYPERLINK("Gene1599-zp_tree_all.dnd", "Gene1599-tree")</f>
        <v>Gene1599-tree</v>
      </c>
      <c r="O352">
        <v>1</v>
      </c>
      <c r="P352">
        <v>4</v>
      </c>
      <c r="Q352">
        <v>1</v>
      </c>
      <c r="R352">
        <v>4</v>
      </c>
      <c r="S352">
        <v>0.8</v>
      </c>
      <c r="T352" t="s">
        <v>61</v>
      </c>
      <c r="U352" t="s">
        <v>60</v>
      </c>
      <c r="V352" t="s">
        <v>62</v>
      </c>
      <c r="W352" t="s">
        <v>62</v>
      </c>
      <c r="X352">
        <v>0</v>
      </c>
      <c r="Y352">
        <v>0</v>
      </c>
      <c r="Z352">
        <v>14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14</v>
      </c>
      <c r="AK352">
        <v>0</v>
      </c>
      <c r="AL352">
        <v>3</v>
      </c>
      <c r="AM352">
        <v>2</v>
      </c>
      <c r="AN352">
        <v>7</v>
      </c>
      <c r="AO352">
        <v>4</v>
      </c>
      <c r="AP352">
        <v>12</v>
      </c>
      <c r="AQ352">
        <v>10</v>
      </c>
      <c r="AR352" t="s">
        <v>2250</v>
      </c>
      <c r="AS352" t="s">
        <v>2251</v>
      </c>
      <c r="AT352">
        <v>0.28799999999999998</v>
      </c>
      <c r="AU352" t="s">
        <v>65</v>
      </c>
      <c r="AV352">
        <v>19</v>
      </c>
      <c r="AW352">
        <v>14</v>
      </c>
      <c r="AX352" t="s">
        <v>2252</v>
      </c>
      <c r="AY352" t="s">
        <v>2253</v>
      </c>
      <c r="AZ352" t="s">
        <v>2254</v>
      </c>
      <c r="BA352">
        <v>0.23346</v>
      </c>
      <c r="BB352">
        <v>1</v>
      </c>
      <c r="BC352" t="s">
        <v>69</v>
      </c>
      <c r="BD352">
        <v>1.016</v>
      </c>
      <c r="BE352">
        <v>0.76400000000000001</v>
      </c>
    </row>
    <row r="353" spans="1:57">
      <c r="A353">
        <v>0</v>
      </c>
      <c r="B353">
        <v>0</v>
      </c>
      <c r="C353">
        <v>0</v>
      </c>
      <c r="D353">
        <v>1493</v>
      </c>
      <c r="E353" t="s">
        <v>1968</v>
      </c>
      <c r="F353" t="s">
        <v>5762</v>
      </c>
      <c r="G353" t="s">
        <v>57</v>
      </c>
      <c r="H353">
        <v>1505416</v>
      </c>
      <c r="I353">
        <v>1506105</v>
      </c>
      <c r="J353" t="s">
        <v>1969</v>
      </c>
      <c r="K353">
        <v>230</v>
      </c>
      <c r="L353" t="s">
        <v>83</v>
      </c>
      <c r="M353">
        <v>4</v>
      </c>
      <c r="N353" t="str">
        <f>HYPERLINK("Gene1493-zp_tree_all.dnd", "Gene1493-tree")</f>
        <v>Gene1493-tree</v>
      </c>
      <c r="O353">
        <v>0</v>
      </c>
      <c r="P353">
        <v>4</v>
      </c>
      <c r="Q353">
        <v>0</v>
      </c>
      <c r="R353">
        <v>4</v>
      </c>
      <c r="S353">
        <v>1</v>
      </c>
      <c r="T353" t="s">
        <v>62</v>
      </c>
      <c r="U353" t="s">
        <v>60</v>
      </c>
      <c r="V353" t="s">
        <v>62</v>
      </c>
      <c r="W353" t="s">
        <v>62</v>
      </c>
      <c r="X353">
        <v>0</v>
      </c>
      <c r="Y353">
        <v>0</v>
      </c>
      <c r="Z353">
        <v>8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7</v>
      </c>
      <c r="AK353">
        <v>0</v>
      </c>
      <c r="AL353">
        <v>3</v>
      </c>
      <c r="AM353">
        <v>1</v>
      </c>
      <c r="AN353">
        <v>26</v>
      </c>
      <c r="AO353">
        <v>7</v>
      </c>
      <c r="AP353">
        <v>4</v>
      </c>
      <c r="AQ353">
        <v>1</v>
      </c>
      <c r="AR353" t="s">
        <v>1970</v>
      </c>
      <c r="AS353" t="s">
        <v>1971</v>
      </c>
      <c r="AT353">
        <v>4.8000000000000001E-2</v>
      </c>
      <c r="AU353" t="s">
        <v>65</v>
      </c>
      <c r="AV353">
        <v>30</v>
      </c>
      <c r="AW353">
        <v>8</v>
      </c>
      <c r="AX353" t="s">
        <v>1972</v>
      </c>
      <c r="AY353" t="s">
        <v>1973</v>
      </c>
      <c r="AZ353" t="s">
        <v>1974</v>
      </c>
      <c r="BA353">
        <v>7.5560000000000002E-2</v>
      </c>
      <c r="BB353">
        <v>1</v>
      </c>
      <c r="BC353" t="s">
        <v>69</v>
      </c>
      <c r="BD353">
        <v>-0.35</v>
      </c>
      <c r="BE353">
        <v>-0.60699999999999998</v>
      </c>
    </row>
    <row r="354" spans="1:57">
      <c r="A354">
        <v>0</v>
      </c>
      <c r="B354">
        <v>0</v>
      </c>
      <c r="C354">
        <v>0</v>
      </c>
      <c r="D354">
        <v>2920</v>
      </c>
      <c r="E354" t="s">
        <v>3839</v>
      </c>
      <c r="F354" t="s">
        <v>5762</v>
      </c>
      <c r="G354" t="s">
        <v>62</v>
      </c>
      <c r="H354">
        <v>2861843</v>
      </c>
      <c r="I354">
        <v>2862535</v>
      </c>
      <c r="J354" t="s">
        <v>3840</v>
      </c>
      <c r="K354">
        <v>231</v>
      </c>
      <c r="L354" t="s">
        <v>112</v>
      </c>
      <c r="M354">
        <v>4</v>
      </c>
      <c r="N354" t="str">
        <f>HYPERLINK("Gene2920-zp_tree_all.dnd", "Gene2920-tree")</f>
        <v>Gene2920-tree</v>
      </c>
      <c r="O354">
        <v>2</v>
      </c>
      <c r="P354">
        <v>2</v>
      </c>
      <c r="Q354">
        <v>2</v>
      </c>
      <c r="R354">
        <v>2</v>
      </c>
      <c r="S354">
        <v>0.5</v>
      </c>
      <c r="T354" t="s">
        <v>135</v>
      </c>
      <c r="U354" t="s">
        <v>135</v>
      </c>
      <c r="V354" t="s">
        <v>62</v>
      </c>
      <c r="W354" t="s">
        <v>62</v>
      </c>
      <c r="X354">
        <v>0</v>
      </c>
      <c r="Y354">
        <v>0</v>
      </c>
      <c r="Z354">
        <v>7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7</v>
      </c>
      <c r="AK354">
        <v>0</v>
      </c>
      <c r="AL354">
        <v>4</v>
      </c>
      <c r="AM354">
        <v>0</v>
      </c>
      <c r="AN354">
        <v>32</v>
      </c>
      <c r="AO354">
        <v>7</v>
      </c>
      <c r="AP354">
        <v>0</v>
      </c>
      <c r="AQ354">
        <v>0</v>
      </c>
      <c r="AR354" t="s">
        <v>3841</v>
      </c>
      <c r="AS354" t="s">
        <v>64</v>
      </c>
      <c r="AT354">
        <v>0.52200000000000002</v>
      </c>
      <c r="AU354" t="s">
        <v>65</v>
      </c>
      <c r="AV354">
        <v>32</v>
      </c>
      <c r="AW354">
        <v>7</v>
      </c>
      <c r="AX354" t="s">
        <v>3842</v>
      </c>
      <c r="AY354" t="s">
        <v>3843</v>
      </c>
      <c r="AZ354" t="s">
        <v>3844</v>
      </c>
      <c r="BA354">
        <v>5.987E-2</v>
      </c>
      <c r="BB354">
        <v>1</v>
      </c>
      <c r="BC354" t="s">
        <v>69</v>
      </c>
      <c r="BD354">
        <v>-0.52200000000000002</v>
      </c>
      <c r="BE354">
        <v>-1.036</v>
      </c>
    </row>
    <row r="355" spans="1:57">
      <c r="A355">
        <v>0</v>
      </c>
      <c r="B355">
        <v>0</v>
      </c>
      <c r="C355">
        <v>0</v>
      </c>
      <c r="D355">
        <v>103</v>
      </c>
      <c r="E355" t="s">
        <v>399</v>
      </c>
      <c r="F355" t="s">
        <v>5762</v>
      </c>
      <c r="G355" t="s">
        <v>57</v>
      </c>
      <c r="H355">
        <v>119111</v>
      </c>
      <c r="I355">
        <v>119806</v>
      </c>
      <c r="J355" t="s">
        <v>400</v>
      </c>
      <c r="K355">
        <v>232</v>
      </c>
      <c r="L355" t="s">
        <v>59</v>
      </c>
      <c r="M355">
        <v>5</v>
      </c>
      <c r="N355" t="str">
        <f>HYPERLINK("Gene103-zp_tree_all.dnd", "Gene103-tree")</f>
        <v>Gene103-tree</v>
      </c>
      <c r="O355">
        <v>4</v>
      </c>
      <c r="P355">
        <v>1</v>
      </c>
      <c r="Q355">
        <v>3</v>
      </c>
      <c r="R355">
        <v>1</v>
      </c>
      <c r="S355">
        <v>0.25</v>
      </c>
      <c r="T355" t="s">
        <v>119</v>
      </c>
      <c r="U355" t="s">
        <v>61</v>
      </c>
      <c r="V355" t="s">
        <v>62</v>
      </c>
      <c r="W355" t="s">
        <v>62</v>
      </c>
      <c r="X355">
        <v>0</v>
      </c>
      <c r="Y355">
        <v>0</v>
      </c>
      <c r="Z355">
        <v>4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4</v>
      </c>
      <c r="AK355">
        <v>0</v>
      </c>
      <c r="AL355">
        <v>4</v>
      </c>
      <c r="AM355">
        <v>1</v>
      </c>
      <c r="AN355">
        <v>24</v>
      </c>
      <c r="AO355">
        <v>4</v>
      </c>
      <c r="AP355">
        <v>7</v>
      </c>
      <c r="AQ355">
        <v>0</v>
      </c>
      <c r="AR355" t="s">
        <v>401</v>
      </c>
      <c r="AS355" t="s">
        <v>64</v>
      </c>
      <c r="AT355">
        <v>0.5</v>
      </c>
      <c r="AU355" t="s">
        <v>65</v>
      </c>
      <c r="AV355">
        <v>31</v>
      </c>
      <c r="AW355">
        <v>4</v>
      </c>
      <c r="AX355" t="s">
        <v>402</v>
      </c>
      <c r="AY355" t="s">
        <v>403</v>
      </c>
      <c r="AZ355" t="s">
        <v>404</v>
      </c>
      <c r="BA355">
        <v>3.6549999999999999E-2</v>
      </c>
      <c r="BB355">
        <v>1</v>
      </c>
      <c r="BC355" t="s">
        <v>69</v>
      </c>
      <c r="BD355">
        <v>-0.127</v>
      </c>
      <c r="BE355">
        <v>-0.85799999999999998</v>
      </c>
    </row>
    <row r="356" spans="1:57">
      <c r="A356">
        <v>0</v>
      </c>
      <c r="B356">
        <v>0</v>
      </c>
      <c r="C356">
        <v>0</v>
      </c>
      <c r="D356">
        <v>2369</v>
      </c>
      <c r="E356" t="s">
        <v>3073</v>
      </c>
      <c r="F356" t="s">
        <v>5762</v>
      </c>
      <c r="G356" t="s">
        <v>62</v>
      </c>
      <c r="H356">
        <v>2382910</v>
      </c>
      <c r="I356">
        <v>2383608</v>
      </c>
      <c r="J356" t="s">
        <v>3074</v>
      </c>
      <c r="K356">
        <v>233</v>
      </c>
      <c r="L356" t="s">
        <v>59</v>
      </c>
      <c r="M356">
        <v>5</v>
      </c>
      <c r="N356" t="str">
        <f>HYPERLINK("Gene2369-zp_tree_all.dnd", "Gene2369-tree")</f>
        <v>Gene2369-tree</v>
      </c>
      <c r="O356">
        <v>3</v>
      </c>
      <c r="P356">
        <v>2</v>
      </c>
      <c r="Q356">
        <v>3</v>
      </c>
      <c r="R356">
        <v>2</v>
      </c>
      <c r="S356">
        <v>0.4</v>
      </c>
      <c r="T356" t="s">
        <v>84</v>
      </c>
      <c r="U356" t="s">
        <v>135</v>
      </c>
      <c r="V356" t="s">
        <v>62</v>
      </c>
      <c r="W356" t="s">
        <v>62</v>
      </c>
      <c r="X356">
        <v>0</v>
      </c>
      <c r="Y356">
        <v>0</v>
      </c>
      <c r="Z356">
        <v>8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5</v>
      </c>
      <c r="AK356">
        <v>0</v>
      </c>
      <c r="AL356">
        <v>5</v>
      </c>
      <c r="AM356">
        <v>2</v>
      </c>
      <c r="AN356">
        <v>28</v>
      </c>
      <c r="AO356">
        <v>5</v>
      </c>
      <c r="AP356">
        <v>8</v>
      </c>
      <c r="AQ356">
        <v>3</v>
      </c>
      <c r="AR356" t="s">
        <v>3075</v>
      </c>
      <c r="AS356" t="s">
        <v>3076</v>
      </c>
      <c r="AT356">
        <v>0.51700000000000002</v>
      </c>
      <c r="AU356" t="s">
        <v>65</v>
      </c>
      <c r="AV356">
        <v>36</v>
      </c>
      <c r="AW356">
        <v>8</v>
      </c>
      <c r="AX356" t="s">
        <v>3077</v>
      </c>
      <c r="AY356" t="s">
        <v>3078</v>
      </c>
      <c r="AZ356" t="s">
        <v>3079</v>
      </c>
      <c r="BA356">
        <v>6.2050000000000001E-2</v>
      </c>
      <c r="BB356">
        <v>1</v>
      </c>
      <c r="BC356" t="s">
        <v>69</v>
      </c>
      <c r="BD356">
        <v>-0.433</v>
      </c>
      <c r="BE356">
        <v>-0.58199999999999996</v>
      </c>
    </row>
    <row r="357" spans="1:57">
      <c r="A357">
        <v>0</v>
      </c>
      <c r="B357">
        <v>0</v>
      </c>
      <c r="C357">
        <v>0</v>
      </c>
      <c r="D357">
        <v>2044</v>
      </c>
      <c r="E357" t="s">
        <v>2891</v>
      </c>
      <c r="F357" t="s">
        <v>5762</v>
      </c>
      <c r="G357" t="s">
        <v>62</v>
      </c>
      <c r="H357">
        <v>2135473</v>
      </c>
      <c r="I357">
        <v>2136171</v>
      </c>
      <c r="J357" t="s">
        <v>2892</v>
      </c>
      <c r="K357">
        <v>233</v>
      </c>
      <c r="L357" t="s">
        <v>59</v>
      </c>
      <c r="M357">
        <v>5</v>
      </c>
      <c r="N357" t="str">
        <f>HYPERLINK("Gene2044-zp_tree_all.dnd", "Gene2044-tree")</f>
        <v>Gene2044-tree</v>
      </c>
      <c r="O357">
        <v>2</v>
      </c>
      <c r="P357">
        <v>3</v>
      </c>
      <c r="Q357">
        <v>2</v>
      </c>
      <c r="R357">
        <v>3</v>
      </c>
      <c r="S357">
        <v>0.6</v>
      </c>
      <c r="T357" t="s">
        <v>135</v>
      </c>
      <c r="U357" t="s">
        <v>84</v>
      </c>
      <c r="V357" t="s">
        <v>62</v>
      </c>
      <c r="W357" t="s">
        <v>62</v>
      </c>
      <c r="X357">
        <v>0</v>
      </c>
      <c r="Y357">
        <v>0</v>
      </c>
      <c r="Z357">
        <v>3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3</v>
      </c>
      <c r="AK357">
        <v>0</v>
      </c>
      <c r="AL357">
        <v>5</v>
      </c>
      <c r="AM357">
        <v>2</v>
      </c>
      <c r="AN357">
        <v>31</v>
      </c>
      <c r="AO357">
        <v>3</v>
      </c>
      <c r="AP357">
        <v>15</v>
      </c>
      <c r="AQ357">
        <v>0</v>
      </c>
      <c r="AR357" t="s">
        <v>2893</v>
      </c>
      <c r="AS357" t="s">
        <v>64</v>
      </c>
      <c r="AT357">
        <v>1.835</v>
      </c>
      <c r="AU357" t="s">
        <v>65</v>
      </c>
      <c r="AV357">
        <v>46</v>
      </c>
      <c r="AW357">
        <v>3</v>
      </c>
      <c r="AX357" t="s">
        <v>2894</v>
      </c>
      <c r="AY357" t="s">
        <v>2895</v>
      </c>
      <c r="AZ357" t="s">
        <v>2896</v>
      </c>
      <c r="BA357">
        <v>1.5879999999999998E-2</v>
      </c>
      <c r="BB357">
        <v>1</v>
      </c>
      <c r="BC357" t="s">
        <v>69</v>
      </c>
      <c r="BD357">
        <v>-9.6000000000000002E-2</v>
      </c>
      <c r="BE357">
        <v>-0.23200000000000001</v>
      </c>
    </row>
    <row r="358" spans="1:57">
      <c r="A358">
        <v>0</v>
      </c>
      <c r="B358">
        <v>0</v>
      </c>
      <c r="C358">
        <v>0</v>
      </c>
      <c r="D358">
        <v>1618</v>
      </c>
      <c r="E358" t="s">
        <v>2298</v>
      </c>
      <c r="F358" t="s">
        <v>5762</v>
      </c>
      <c r="G358" t="s">
        <v>57</v>
      </c>
      <c r="H358">
        <v>1630382</v>
      </c>
      <c r="I358">
        <v>1631080</v>
      </c>
      <c r="J358" t="s">
        <v>2299</v>
      </c>
      <c r="K358">
        <v>233</v>
      </c>
      <c r="L358" t="s">
        <v>59</v>
      </c>
      <c r="M358">
        <v>5</v>
      </c>
      <c r="N358" t="str">
        <f>HYPERLINK("Gene1618-zp_tree_all.dnd", "Gene1618-tree")</f>
        <v>Gene1618-tree</v>
      </c>
      <c r="O358">
        <v>4</v>
      </c>
      <c r="P358">
        <v>1</v>
      </c>
      <c r="Q358">
        <v>4</v>
      </c>
      <c r="R358">
        <v>1</v>
      </c>
      <c r="S358">
        <v>0.2</v>
      </c>
      <c r="T358" t="s">
        <v>60</v>
      </c>
      <c r="U358" t="s">
        <v>61</v>
      </c>
      <c r="V358" t="s">
        <v>62</v>
      </c>
      <c r="W358" t="s">
        <v>62</v>
      </c>
      <c r="X358">
        <v>0</v>
      </c>
      <c r="Y358">
        <v>0</v>
      </c>
      <c r="Z358">
        <v>2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2</v>
      </c>
      <c r="AK358">
        <v>0</v>
      </c>
      <c r="AL358">
        <v>5</v>
      </c>
      <c r="AM358">
        <v>2</v>
      </c>
      <c r="AN358">
        <v>25</v>
      </c>
      <c r="AO358">
        <v>2</v>
      </c>
      <c r="AP358">
        <v>18</v>
      </c>
      <c r="AQ358">
        <v>0</v>
      </c>
      <c r="AR358" t="s">
        <v>2300</v>
      </c>
      <c r="AS358" t="s">
        <v>64</v>
      </c>
      <c r="AT358">
        <v>0.52600000000000002</v>
      </c>
      <c r="AU358" t="s">
        <v>65</v>
      </c>
      <c r="AV358">
        <v>43</v>
      </c>
      <c r="AW358">
        <v>2</v>
      </c>
      <c r="AX358" t="s">
        <v>2301</v>
      </c>
      <c r="AY358" t="s">
        <v>2302</v>
      </c>
      <c r="AZ358" t="s">
        <v>2303</v>
      </c>
      <c r="BA358">
        <v>1.0319999999999999E-2</v>
      </c>
      <c r="BB358">
        <v>1</v>
      </c>
      <c r="BC358" t="s">
        <v>69</v>
      </c>
      <c r="BD358">
        <v>0.27600000000000002</v>
      </c>
      <c r="BE358">
        <v>-0.06</v>
      </c>
    </row>
    <row r="359" spans="1:57">
      <c r="A359">
        <v>0</v>
      </c>
      <c r="B359">
        <v>2</v>
      </c>
      <c r="C359">
        <v>0</v>
      </c>
      <c r="D359">
        <v>3563</v>
      </c>
      <c r="E359" t="s">
        <v>4863</v>
      </c>
      <c r="F359" t="s">
        <v>5762</v>
      </c>
      <c r="G359" t="s">
        <v>62</v>
      </c>
      <c r="H359">
        <v>3529154</v>
      </c>
      <c r="I359">
        <v>3529855</v>
      </c>
      <c r="J359" t="s">
        <v>4864</v>
      </c>
      <c r="K359">
        <v>234</v>
      </c>
      <c r="L359" t="s">
        <v>59</v>
      </c>
      <c r="M359">
        <v>5</v>
      </c>
      <c r="N359" t="str">
        <f>HYPERLINK("Gene3563-zp_tree_all.dnd", "Gene3563-tree")</f>
        <v>Gene3563-tree</v>
      </c>
      <c r="O359">
        <v>2</v>
      </c>
      <c r="P359">
        <v>3</v>
      </c>
      <c r="Q359">
        <v>2</v>
      </c>
      <c r="R359">
        <v>3</v>
      </c>
      <c r="S359">
        <v>0.6</v>
      </c>
      <c r="T359" t="s">
        <v>135</v>
      </c>
      <c r="U359" t="s">
        <v>84</v>
      </c>
      <c r="V359" t="s">
        <v>62</v>
      </c>
      <c r="W359" t="s">
        <v>62</v>
      </c>
      <c r="X359">
        <v>1</v>
      </c>
      <c r="Y359">
        <v>2</v>
      </c>
      <c r="Z359">
        <v>10</v>
      </c>
      <c r="AA359">
        <v>0.16667000000000001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7</v>
      </c>
      <c r="AK359">
        <v>0</v>
      </c>
      <c r="AL359">
        <v>5</v>
      </c>
      <c r="AM359">
        <v>2</v>
      </c>
      <c r="AN359">
        <v>23</v>
      </c>
      <c r="AO359">
        <v>7</v>
      </c>
      <c r="AP359">
        <v>17</v>
      </c>
      <c r="AQ359">
        <v>5</v>
      </c>
      <c r="AR359" t="s">
        <v>4865</v>
      </c>
      <c r="AS359" t="s">
        <v>4866</v>
      </c>
      <c r="AT359">
        <v>6.8000000000000005E-2</v>
      </c>
      <c r="AU359" t="s">
        <v>65</v>
      </c>
      <c r="AV359">
        <v>40</v>
      </c>
      <c r="AW359">
        <v>12</v>
      </c>
      <c r="AX359" t="s">
        <v>4867</v>
      </c>
      <c r="AY359" t="s">
        <v>4868</v>
      </c>
      <c r="AZ359" t="s">
        <v>4869</v>
      </c>
      <c r="BA359">
        <v>7.5579999999999994E-2</v>
      </c>
      <c r="BB359">
        <v>1</v>
      </c>
      <c r="BC359" t="s">
        <v>69</v>
      </c>
      <c r="BD359">
        <v>0.58699999999999997</v>
      </c>
      <c r="BE359">
        <v>0.109</v>
      </c>
    </row>
    <row r="360" spans="1:57">
      <c r="A360">
        <v>0</v>
      </c>
      <c r="B360">
        <v>0</v>
      </c>
      <c r="C360">
        <v>0</v>
      </c>
      <c r="D360">
        <v>1859</v>
      </c>
      <c r="E360" t="s">
        <v>2768</v>
      </c>
      <c r="F360" t="s">
        <v>5762</v>
      </c>
      <c r="G360" t="s">
        <v>57</v>
      </c>
      <c r="H360">
        <v>1923234</v>
      </c>
      <c r="I360">
        <v>1923938</v>
      </c>
      <c r="J360" t="s">
        <v>2769</v>
      </c>
      <c r="K360">
        <v>235</v>
      </c>
      <c r="L360" t="s">
        <v>83</v>
      </c>
      <c r="M360">
        <v>4</v>
      </c>
      <c r="N360" t="str">
        <f>HYPERLINK("Gene1859-zp_tree_all.dnd", "Gene1859-tree")</f>
        <v>Gene1859-tree</v>
      </c>
      <c r="O360">
        <v>2</v>
      </c>
      <c r="P360">
        <v>2</v>
      </c>
      <c r="Q360">
        <v>2</v>
      </c>
      <c r="R360">
        <v>2</v>
      </c>
      <c r="S360">
        <v>0.5</v>
      </c>
      <c r="T360" t="s">
        <v>135</v>
      </c>
      <c r="U360" t="s">
        <v>135</v>
      </c>
      <c r="V360" t="s">
        <v>62</v>
      </c>
      <c r="W360" t="s">
        <v>62</v>
      </c>
      <c r="X360">
        <v>0</v>
      </c>
      <c r="Y360">
        <v>0</v>
      </c>
      <c r="Z360">
        <v>5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4</v>
      </c>
      <c r="AK360">
        <v>0</v>
      </c>
      <c r="AL360">
        <v>4</v>
      </c>
      <c r="AM360">
        <v>1</v>
      </c>
      <c r="AN360">
        <v>34</v>
      </c>
      <c r="AO360">
        <v>4</v>
      </c>
      <c r="AP360">
        <v>5</v>
      </c>
      <c r="AQ360">
        <v>1</v>
      </c>
      <c r="AR360" t="s">
        <v>2770</v>
      </c>
      <c r="AS360" t="s">
        <v>2771</v>
      </c>
      <c r="AT360">
        <v>0.622</v>
      </c>
      <c r="AU360" t="s">
        <v>65</v>
      </c>
      <c r="AV360">
        <v>39</v>
      </c>
      <c r="AW360">
        <v>5</v>
      </c>
      <c r="AX360" t="s">
        <v>2772</v>
      </c>
      <c r="AY360" t="s">
        <v>2773</v>
      </c>
      <c r="AZ360" t="s">
        <v>2774</v>
      </c>
      <c r="BA360">
        <v>3.8519999999999999E-2</v>
      </c>
      <c r="BB360">
        <v>1</v>
      </c>
      <c r="BC360" t="s">
        <v>69</v>
      </c>
      <c r="BD360">
        <v>7.0000000000000001E-3</v>
      </c>
      <c r="BE360">
        <v>-0.94399999999999995</v>
      </c>
    </row>
    <row r="361" spans="1:57">
      <c r="A361">
        <v>0</v>
      </c>
      <c r="B361">
        <v>0</v>
      </c>
      <c r="C361">
        <v>0</v>
      </c>
      <c r="D361">
        <v>4187</v>
      </c>
      <c r="E361" t="s">
        <v>5649</v>
      </c>
      <c r="F361" t="s">
        <v>5762</v>
      </c>
      <c r="G361" t="s">
        <v>62</v>
      </c>
      <c r="H361">
        <v>4153699</v>
      </c>
      <c r="I361">
        <v>4154403</v>
      </c>
      <c r="J361" t="s">
        <v>5650</v>
      </c>
      <c r="K361">
        <v>235</v>
      </c>
      <c r="L361" t="s">
        <v>59</v>
      </c>
      <c r="M361">
        <v>5</v>
      </c>
      <c r="N361" t="str">
        <f>HYPERLINK("Gene4187-zp_tree_all.dnd", "Gene4187-tree")</f>
        <v>Gene4187-tree</v>
      </c>
      <c r="O361">
        <v>5</v>
      </c>
      <c r="P361">
        <v>0</v>
      </c>
      <c r="Q361">
        <v>5</v>
      </c>
      <c r="R361">
        <v>0</v>
      </c>
      <c r="S361">
        <v>0</v>
      </c>
      <c r="T361" t="s">
        <v>98</v>
      </c>
      <c r="U361" t="s">
        <v>62</v>
      </c>
      <c r="V361" t="s">
        <v>62</v>
      </c>
      <c r="W361" t="s">
        <v>62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5</v>
      </c>
      <c r="AM361">
        <v>2</v>
      </c>
      <c r="AN361">
        <v>23</v>
      </c>
      <c r="AO361">
        <v>0</v>
      </c>
      <c r="AP361">
        <v>14</v>
      </c>
      <c r="AQ361">
        <v>0</v>
      </c>
      <c r="AR361" t="s">
        <v>64</v>
      </c>
      <c r="AS361" t="s">
        <v>64</v>
      </c>
      <c r="AT361">
        <v>0</v>
      </c>
      <c r="AU361" t="s">
        <v>65</v>
      </c>
      <c r="AV361">
        <v>37</v>
      </c>
      <c r="AW361">
        <v>0</v>
      </c>
      <c r="AX361" t="s">
        <v>5651</v>
      </c>
      <c r="AY361" t="s">
        <v>5652</v>
      </c>
      <c r="AZ361" t="s">
        <v>64</v>
      </c>
      <c r="BA361">
        <v>0</v>
      </c>
      <c r="BB361">
        <v>1</v>
      </c>
      <c r="BC361" t="s">
        <v>69</v>
      </c>
      <c r="BD361">
        <v>5.1999999999999998E-2</v>
      </c>
      <c r="BE361">
        <v>-0.122</v>
      </c>
    </row>
    <row r="362" spans="1:57">
      <c r="A362">
        <v>0</v>
      </c>
      <c r="B362">
        <v>0</v>
      </c>
      <c r="C362">
        <v>0</v>
      </c>
      <c r="D362">
        <v>1475</v>
      </c>
      <c r="E362" t="s">
        <v>1954</v>
      </c>
      <c r="F362" t="s">
        <v>5762</v>
      </c>
      <c r="G362" t="s">
        <v>57</v>
      </c>
      <c r="H362">
        <v>1488973</v>
      </c>
      <c r="I362">
        <v>1489680</v>
      </c>
      <c r="J362" t="s">
        <v>1955</v>
      </c>
      <c r="K362">
        <v>236</v>
      </c>
      <c r="L362" t="s">
        <v>59</v>
      </c>
      <c r="M362">
        <v>5</v>
      </c>
      <c r="N362" t="str">
        <f>HYPERLINK("Gene1475-zp_tree_all.dnd", "Gene1475-tree")</f>
        <v>Gene1475-tree</v>
      </c>
      <c r="O362">
        <v>4</v>
      </c>
      <c r="P362">
        <v>1</v>
      </c>
      <c r="Q362">
        <v>4</v>
      </c>
      <c r="R362">
        <v>1</v>
      </c>
      <c r="S362">
        <v>0.2</v>
      </c>
      <c r="T362" t="s">
        <v>60</v>
      </c>
      <c r="U362" t="s">
        <v>61</v>
      </c>
      <c r="V362" t="s">
        <v>62</v>
      </c>
      <c r="W362" t="s">
        <v>62</v>
      </c>
      <c r="X362">
        <v>0</v>
      </c>
      <c r="Y362">
        <v>0</v>
      </c>
      <c r="Z362">
        <v>1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1</v>
      </c>
      <c r="AK362">
        <v>0</v>
      </c>
      <c r="AL362">
        <v>5</v>
      </c>
      <c r="AM362">
        <v>2</v>
      </c>
      <c r="AN362">
        <v>22</v>
      </c>
      <c r="AO362">
        <v>1</v>
      </c>
      <c r="AP362">
        <v>18</v>
      </c>
      <c r="AQ362">
        <v>1</v>
      </c>
      <c r="AR362" t="s">
        <v>1956</v>
      </c>
      <c r="AS362" t="s">
        <v>1957</v>
      </c>
      <c r="AT362">
        <v>6.9000000000000006E-2</v>
      </c>
      <c r="AU362" t="s">
        <v>65</v>
      </c>
      <c r="AV362">
        <v>40</v>
      </c>
      <c r="AW362">
        <v>2</v>
      </c>
      <c r="AX362" t="s">
        <v>1958</v>
      </c>
      <c r="AY362" t="s">
        <v>1959</v>
      </c>
      <c r="AZ362" t="s">
        <v>1960</v>
      </c>
      <c r="BA362">
        <v>1.508E-2</v>
      </c>
      <c r="BB362">
        <v>1</v>
      </c>
      <c r="BC362" t="s">
        <v>69</v>
      </c>
      <c r="BD362">
        <v>0.83399999999999996</v>
      </c>
      <c r="BE362">
        <v>0.83399999999999996</v>
      </c>
    </row>
    <row r="363" spans="1:57">
      <c r="A363">
        <v>0</v>
      </c>
      <c r="B363">
        <v>0</v>
      </c>
      <c r="C363">
        <v>0</v>
      </c>
      <c r="D363">
        <v>603</v>
      </c>
      <c r="E363" t="s">
        <v>1027</v>
      </c>
      <c r="F363" t="s">
        <v>5762</v>
      </c>
      <c r="G363" t="s">
        <v>57</v>
      </c>
      <c r="H363">
        <v>630170</v>
      </c>
      <c r="I363">
        <v>630880</v>
      </c>
      <c r="J363" t="s">
        <v>1028</v>
      </c>
      <c r="K363">
        <v>237</v>
      </c>
      <c r="L363" t="s">
        <v>112</v>
      </c>
      <c r="M363">
        <v>4</v>
      </c>
      <c r="N363" t="str">
        <f>HYPERLINK("Gene603-zp_tree_all.dnd", "Gene603-tree")</f>
        <v>Gene603-tree</v>
      </c>
      <c r="O363">
        <v>0</v>
      </c>
      <c r="P363">
        <v>4</v>
      </c>
      <c r="Q363">
        <v>0</v>
      </c>
      <c r="R363">
        <v>4</v>
      </c>
      <c r="S363">
        <v>1</v>
      </c>
      <c r="T363" t="s">
        <v>62</v>
      </c>
      <c r="U363" t="s">
        <v>60</v>
      </c>
      <c r="V363" t="s">
        <v>62</v>
      </c>
      <c r="W363" t="s">
        <v>62</v>
      </c>
      <c r="X363">
        <v>0</v>
      </c>
      <c r="Y363">
        <v>0</v>
      </c>
      <c r="Z363">
        <v>7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6</v>
      </c>
      <c r="AK363">
        <v>0</v>
      </c>
      <c r="AL363">
        <v>3</v>
      </c>
      <c r="AM363">
        <v>1</v>
      </c>
      <c r="AN363">
        <v>29</v>
      </c>
      <c r="AO363">
        <v>6</v>
      </c>
      <c r="AP363">
        <v>5</v>
      </c>
      <c r="AQ363">
        <v>1</v>
      </c>
      <c r="AR363" t="s">
        <v>1029</v>
      </c>
      <c r="AS363" t="s">
        <v>1030</v>
      </c>
      <c r="AT363">
        <v>1.0999999999999999E-2</v>
      </c>
      <c r="AU363" t="s">
        <v>65</v>
      </c>
      <c r="AV363">
        <v>34</v>
      </c>
      <c r="AW363">
        <v>7</v>
      </c>
      <c r="AX363" t="s">
        <v>1031</v>
      </c>
      <c r="AY363" t="s">
        <v>1032</v>
      </c>
      <c r="AZ363" t="s">
        <v>1033</v>
      </c>
      <c r="BA363">
        <v>5.2940000000000001E-2</v>
      </c>
      <c r="BB363">
        <v>1</v>
      </c>
      <c r="BC363" t="s">
        <v>69</v>
      </c>
      <c r="BD363">
        <v>-0.40100000000000002</v>
      </c>
      <c r="BE363">
        <v>-0.40100000000000002</v>
      </c>
    </row>
    <row r="364" spans="1:57">
      <c r="A364">
        <v>0</v>
      </c>
      <c r="B364">
        <v>0</v>
      </c>
      <c r="C364">
        <v>2</v>
      </c>
      <c r="D364">
        <v>4252</v>
      </c>
      <c r="E364" t="s">
        <v>5719</v>
      </c>
      <c r="F364" t="s">
        <v>5762</v>
      </c>
      <c r="G364" t="s">
        <v>62</v>
      </c>
      <c r="H364">
        <v>4208873</v>
      </c>
      <c r="I364">
        <v>4209589</v>
      </c>
      <c r="J364" t="s">
        <v>5720</v>
      </c>
      <c r="K364">
        <v>239</v>
      </c>
      <c r="L364" t="s">
        <v>59</v>
      </c>
      <c r="M364">
        <v>5</v>
      </c>
      <c r="N364" t="str">
        <f>HYPERLINK("Gene4252-zp_tree_all.dnd", "Gene4252-tree")</f>
        <v>Gene4252-tree</v>
      </c>
      <c r="O364">
        <v>3</v>
      </c>
      <c r="P364">
        <v>2</v>
      </c>
      <c r="Q364">
        <v>3</v>
      </c>
      <c r="R364">
        <v>2</v>
      </c>
      <c r="S364">
        <v>0.4</v>
      </c>
      <c r="T364" t="s">
        <v>84</v>
      </c>
      <c r="U364" t="s">
        <v>135</v>
      </c>
      <c r="V364" t="s">
        <v>62</v>
      </c>
      <c r="W364" t="s">
        <v>62</v>
      </c>
      <c r="X364">
        <v>1</v>
      </c>
      <c r="Y364">
        <v>2</v>
      </c>
      <c r="Z364">
        <v>4</v>
      </c>
      <c r="AA364">
        <v>0.33333000000000002</v>
      </c>
      <c r="AB364">
        <v>0</v>
      </c>
      <c r="AC364">
        <v>0</v>
      </c>
      <c r="AD364">
        <v>0</v>
      </c>
      <c r="AE364">
        <v>1</v>
      </c>
      <c r="AF364">
        <v>0</v>
      </c>
      <c r="AG364">
        <v>0</v>
      </c>
      <c r="AH364">
        <v>0</v>
      </c>
      <c r="AI364">
        <v>0</v>
      </c>
      <c r="AJ364">
        <v>3</v>
      </c>
      <c r="AK364">
        <v>0</v>
      </c>
      <c r="AL364">
        <v>5</v>
      </c>
      <c r="AM364">
        <v>2</v>
      </c>
      <c r="AN364">
        <v>24</v>
      </c>
      <c r="AO364">
        <v>3</v>
      </c>
      <c r="AP364">
        <v>25</v>
      </c>
      <c r="AQ364">
        <v>4</v>
      </c>
      <c r="AR364" t="s">
        <v>5721</v>
      </c>
      <c r="AS364" t="s">
        <v>5722</v>
      </c>
      <c r="AT364">
        <v>0.20599999999999999</v>
      </c>
      <c r="AU364" t="s">
        <v>65</v>
      </c>
      <c r="AV364">
        <v>49</v>
      </c>
      <c r="AW364">
        <v>7</v>
      </c>
      <c r="AX364" t="s">
        <v>5723</v>
      </c>
      <c r="AY364" t="s">
        <v>5724</v>
      </c>
      <c r="AZ364" t="s">
        <v>5725</v>
      </c>
      <c r="BA364">
        <v>3.7789999999999997E-2</v>
      </c>
      <c r="BB364">
        <v>1</v>
      </c>
      <c r="BC364" t="s">
        <v>69</v>
      </c>
      <c r="BD364">
        <v>0.61199999999999999</v>
      </c>
      <c r="BE364">
        <v>0.46300000000000002</v>
      </c>
    </row>
    <row r="365" spans="1:57">
      <c r="A365">
        <v>0</v>
      </c>
      <c r="B365">
        <v>2</v>
      </c>
      <c r="C365">
        <v>0</v>
      </c>
      <c r="D365">
        <v>3027</v>
      </c>
      <c r="E365" t="s">
        <v>4041</v>
      </c>
      <c r="F365" t="s">
        <v>5762</v>
      </c>
      <c r="G365" t="s">
        <v>62</v>
      </c>
      <c r="H365">
        <v>2977803</v>
      </c>
      <c r="I365">
        <v>2978522</v>
      </c>
      <c r="J365" t="s">
        <v>4042</v>
      </c>
      <c r="K365">
        <v>240</v>
      </c>
      <c r="L365" t="s">
        <v>59</v>
      </c>
      <c r="M365">
        <v>5</v>
      </c>
      <c r="N365" t="str">
        <f>HYPERLINK("Gene3027-zp_tree_all.dnd", "Gene3027-tree")</f>
        <v>Gene3027-tree</v>
      </c>
      <c r="O365">
        <v>3</v>
      </c>
      <c r="P365">
        <v>2</v>
      </c>
      <c r="Q365">
        <v>3</v>
      </c>
      <c r="R365">
        <v>2</v>
      </c>
      <c r="S365">
        <v>0.4</v>
      </c>
      <c r="T365" t="s">
        <v>84</v>
      </c>
      <c r="U365" t="s">
        <v>135</v>
      </c>
      <c r="V365" t="s">
        <v>62</v>
      </c>
      <c r="W365" t="s">
        <v>62</v>
      </c>
      <c r="X365">
        <v>1</v>
      </c>
      <c r="Y365">
        <v>2</v>
      </c>
      <c r="Z365">
        <v>3</v>
      </c>
      <c r="AA365">
        <v>0.4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2</v>
      </c>
      <c r="AH365">
        <v>0</v>
      </c>
      <c r="AI365">
        <v>2</v>
      </c>
      <c r="AJ365">
        <v>1</v>
      </c>
      <c r="AK365">
        <v>0.66666999999999998</v>
      </c>
      <c r="AL365">
        <v>5</v>
      </c>
      <c r="AM365">
        <v>2</v>
      </c>
      <c r="AN365">
        <v>20</v>
      </c>
      <c r="AO365">
        <v>3</v>
      </c>
      <c r="AP365">
        <v>20</v>
      </c>
      <c r="AQ365">
        <v>2</v>
      </c>
      <c r="AR365" t="s">
        <v>4043</v>
      </c>
      <c r="AS365" t="s">
        <v>4044</v>
      </c>
      <c r="AT365">
        <v>0.308</v>
      </c>
      <c r="AU365" t="s">
        <v>65</v>
      </c>
      <c r="AV365">
        <v>40</v>
      </c>
      <c r="AW365">
        <v>5</v>
      </c>
      <c r="AX365" t="s">
        <v>4045</v>
      </c>
      <c r="AY365" t="s">
        <v>4046</v>
      </c>
      <c r="AZ365" t="s">
        <v>4047</v>
      </c>
      <c r="BA365">
        <v>2.802E-2</v>
      </c>
      <c r="BB365">
        <v>1</v>
      </c>
      <c r="BC365" t="s">
        <v>69</v>
      </c>
      <c r="BD365">
        <v>0.46</v>
      </c>
      <c r="BE365">
        <v>0.27700000000000002</v>
      </c>
    </row>
    <row r="366" spans="1:57">
      <c r="A366">
        <v>0</v>
      </c>
      <c r="B366">
        <v>0</v>
      </c>
      <c r="C366">
        <v>0</v>
      </c>
      <c r="D366">
        <v>1713</v>
      </c>
      <c r="E366" t="s">
        <v>2544</v>
      </c>
      <c r="F366" t="s">
        <v>5762</v>
      </c>
      <c r="G366" t="s">
        <v>57</v>
      </c>
      <c r="H366">
        <v>1719802</v>
      </c>
      <c r="I366">
        <v>1720521</v>
      </c>
      <c r="J366" t="s">
        <v>2545</v>
      </c>
      <c r="K366">
        <v>240</v>
      </c>
      <c r="L366" t="s">
        <v>59</v>
      </c>
      <c r="M366">
        <v>5</v>
      </c>
      <c r="N366" t="str">
        <f>HYPERLINK("Gene1713-zp_tree_all.dnd", "Gene1713-tree")</f>
        <v>Gene1713-tree</v>
      </c>
      <c r="O366">
        <v>5</v>
      </c>
      <c r="P366">
        <v>0</v>
      </c>
      <c r="Q366">
        <v>5</v>
      </c>
      <c r="R366">
        <v>0</v>
      </c>
      <c r="S366">
        <v>0</v>
      </c>
      <c r="T366" t="s">
        <v>98</v>
      </c>
      <c r="U366" t="s">
        <v>62</v>
      </c>
      <c r="V366" t="s">
        <v>62</v>
      </c>
      <c r="W366" t="s">
        <v>62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4</v>
      </c>
      <c r="AM366">
        <v>2</v>
      </c>
      <c r="AN366">
        <v>12</v>
      </c>
      <c r="AO366">
        <v>0</v>
      </c>
      <c r="AP366">
        <v>12</v>
      </c>
      <c r="AQ366">
        <v>0</v>
      </c>
      <c r="AR366" t="s">
        <v>64</v>
      </c>
      <c r="AS366" t="s">
        <v>64</v>
      </c>
      <c r="AT366">
        <v>0</v>
      </c>
      <c r="AU366" t="s">
        <v>65</v>
      </c>
      <c r="AV366">
        <v>24</v>
      </c>
      <c r="AW366">
        <v>0</v>
      </c>
      <c r="AX366" t="s">
        <v>2546</v>
      </c>
      <c r="AY366" t="s">
        <v>2547</v>
      </c>
      <c r="AZ366" t="s">
        <v>64</v>
      </c>
      <c r="BA366">
        <v>0</v>
      </c>
      <c r="BB366">
        <v>1</v>
      </c>
      <c r="BC366" t="s">
        <v>69</v>
      </c>
      <c r="BD366">
        <v>0.31</v>
      </c>
      <c r="BE366">
        <v>0.31</v>
      </c>
    </row>
    <row r="367" spans="1:57">
      <c r="A367">
        <v>0</v>
      </c>
      <c r="B367">
        <v>2</v>
      </c>
      <c r="C367">
        <v>0</v>
      </c>
      <c r="D367">
        <v>679</v>
      </c>
      <c r="E367" t="s">
        <v>1119</v>
      </c>
      <c r="F367" t="s">
        <v>5762</v>
      </c>
      <c r="G367" t="s">
        <v>57</v>
      </c>
      <c r="H367">
        <v>701601</v>
      </c>
      <c r="I367">
        <v>702323</v>
      </c>
      <c r="J367" t="s">
        <v>1120</v>
      </c>
      <c r="K367">
        <v>241</v>
      </c>
      <c r="L367" t="s">
        <v>83</v>
      </c>
      <c r="M367">
        <v>4</v>
      </c>
      <c r="N367" t="str">
        <f>HYPERLINK("Gene679-zp_tree_all.dnd", "Gene679-tree")</f>
        <v>Gene679-tree</v>
      </c>
      <c r="O367">
        <v>0</v>
      </c>
      <c r="P367">
        <v>4</v>
      </c>
      <c r="Q367">
        <v>0</v>
      </c>
      <c r="R367">
        <v>4</v>
      </c>
      <c r="S367">
        <v>1</v>
      </c>
      <c r="T367" t="s">
        <v>62</v>
      </c>
      <c r="U367" t="s">
        <v>60</v>
      </c>
      <c r="V367" t="s">
        <v>62</v>
      </c>
      <c r="W367" t="s">
        <v>62</v>
      </c>
      <c r="X367">
        <v>1</v>
      </c>
      <c r="Y367">
        <v>2</v>
      </c>
      <c r="Z367">
        <v>7</v>
      </c>
      <c r="AA367">
        <v>0.22222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2</v>
      </c>
      <c r="AH367">
        <v>0</v>
      </c>
      <c r="AI367">
        <v>2</v>
      </c>
      <c r="AJ367">
        <v>7</v>
      </c>
      <c r="AK367">
        <v>0.22222</v>
      </c>
      <c r="AL367">
        <v>4</v>
      </c>
      <c r="AM367">
        <v>1</v>
      </c>
      <c r="AN367">
        <v>37</v>
      </c>
      <c r="AO367">
        <v>10</v>
      </c>
      <c r="AP367">
        <v>5</v>
      </c>
      <c r="AQ367">
        <v>1</v>
      </c>
      <c r="AR367" t="s">
        <v>1121</v>
      </c>
      <c r="AS367" t="s">
        <v>1122</v>
      </c>
      <c r="AT367">
        <v>0.55400000000000005</v>
      </c>
      <c r="AU367" t="s">
        <v>65</v>
      </c>
      <c r="AV367">
        <v>42</v>
      </c>
      <c r="AW367">
        <v>11</v>
      </c>
      <c r="AX367" t="s">
        <v>1123</v>
      </c>
      <c r="AY367" t="s">
        <v>1124</v>
      </c>
      <c r="AZ367" t="s">
        <v>1125</v>
      </c>
      <c r="BA367">
        <v>6.5129999999999993E-2</v>
      </c>
      <c r="BB367">
        <v>1</v>
      </c>
      <c r="BC367" t="s">
        <v>69</v>
      </c>
      <c r="BD367">
        <v>-0.13800000000000001</v>
      </c>
      <c r="BE367">
        <v>-0.33700000000000002</v>
      </c>
    </row>
    <row r="368" spans="1:57">
      <c r="A368">
        <v>0</v>
      </c>
      <c r="B368">
        <v>0</v>
      </c>
      <c r="C368">
        <v>0</v>
      </c>
      <c r="D368">
        <v>1744</v>
      </c>
      <c r="E368" t="s">
        <v>2648</v>
      </c>
      <c r="F368" t="s">
        <v>5762</v>
      </c>
      <c r="G368" t="s">
        <v>57</v>
      </c>
      <c r="H368">
        <v>1754785</v>
      </c>
      <c r="I368">
        <v>1755507</v>
      </c>
      <c r="J368" t="s">
        <v>2649</v>
      </c>
      <c r="K368">
        <v>241</v>
      </c>
      <c r="L368" t="s">
        <v>112</v>
      </c>
      <c r="M368">
        <v>4</v>
      </c>
      <c r="N368" t="str">
        <f>HYPERLINK("Gene1744-zp_tree_all.dnd", "Gene1744-tree")</f>
        <v>Gene1744-tree</v>
      </c>
      <c r="O368">
        <v>3</v>
      </c>
      <c r="P368">
        <v>1</v>
      </c>
      <c r="Q368">
        <v>3</v>
      </c>
      <c r="R368">
        <v>1</v>
      </c>
      <c r="S368">
        <v>0.25</v>
      </c>
      <c r="T368" t="s">
        <v>84</v>
      </c>
      <c r="U368" t="s">
        <v>61</v>
      </c>
      <c r="V368" t="s">
        <v>62</v>
      </c>
      <c r="W368" t="s">
        <v>62</v>
      </c>
      <c r="X368">
        <v>0</v>
      </c>
      <c r="Y368">
        <v>0</v>
      </c>
      <c r="Z368">
        <v>5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5</v>
      </c>
      <c r="AK368">
        <v>0</v>
      </c>
      <c r="AL368">
        <v>4</v>
      </c>
      <c r="AM368">
        <v>1</v>
      </c>
      <c r="AN368">
        <v>33</v>
      </c>
      <c r="AO368">
        <v>5</v>
      </c>
      <c r="AP368">
        <v>2</v>
      </c>
      <c r="AQ368">
        <v>0</v>
      </c>
      <c r="AR368" t="s">
        <v>2650</v>
      </c>
      <c r="AS368" t="s">
        <v>64</v>
      </c>
      <c r="AT368">
        <v>0.44700000000000001</v>
      </c>
      <c r="AU368" t="s">
        <v>65</v>
      </c>
      <c r="AV368">
        <v>35</v>
      </c>
      <c r="AW368">
        <v>5</v>
      </c>
      <c r="AX368" t="s">
        <v>2651</v>
      </c>
      <c r="AY368" t="s">
        <v>2652</v>
      </c>
      <c r="AZ368" t="s">
        <v>2653</v>
      </c>
      <c r="BA368">
        <v>3.6200000000000003E-2</v>
      </c>
      <c r="BB368">
        <v>1</v>
      </c>
      <c r="BC368" t="s">
        <v>69</v>
      </c>
      <c r="BD368">
        <v>-0.70699999999999996</v>
      </c>
      <c r="BE368">
        <v>-0.70699999999999996</v>
      </c>
    </row>
    <row r="369" spans="1:57">
      <c r="A369">
        <v>0</v>
      </c>
      <c r="B369">
        <v>0</v>
      </c>
      <c r="C369">
        <v>0</v>
      </c>
      <c r="D369">
        <v>1059</v>
      </c>
      <c r="E369" t="s">
        <v>1521</v>
      </c>
      <c r="F369" t="s">
        <v>5762</v>
      </c>
      <c r="G369" t="s">
        <v>57</v>
      </c>
      <c r="H369">
        <v>1098412</v>
      </c>
      <c r="I369">
        <v>1099143</v>
      </c>
      <c r="J369" t="s">
        <v>1522</v>
      </c>
      <c r="K369">
        <v>244</v>
      </c>
      <c r="L369" t="s">
        <v>83</v>
      </c>
      <c r="M369">
        <v>4</v>
      </c>
      <c r="N369" t="str">
        <f>HYPERLINK("Gene1059-zp_tree_all.dnd", "Gene1059-tree")</f>
        <v>Gene1059-tree</v>
      </c>
      <c r="O369">
        <v>2</v>
      </c>
      <c r="P369">
        <v>2</v>
      </c>
      <c r="Q369">
        <v>2</v>
      </c>
      <c r="R369">
        <v>2</v>
      </c>
      <c r="S369">
        <v>0.5</v>
      </c>
      <c r="T369" t="s">
        <v>135</v>
      </c>
      <c r="U369" t="s">
        <v>135</v>
      </c>
      <c r="V369" t="s">
        <v>62</v>
      </c>
      <c r="W369" t="s">
        <v>62</v>
      </c>
      <c r="X369">
        <v>0</v>
      </c>
      <c r="Y369">
        <v>0</v>
      </c>
      <c r="Z369">
        <v>8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8</v>
      </c>
      <c r="AK369">
        <v>0</v>
      </c>
      <c r="AL369">
        <v>4</v>
      </c>
      <c r="AM369">
        <v>1</v>
      </c>
      <c r="AN369">
        <v>31</v>
      </c>
      <c r="AO369">
        <v>8</v>
      </c>
      <c r="AP369">
        <v>1</v>
      </c>
      <c r="AQ369">
        <v>0</v>
      </c>
      <c r="AR369" t="s">
        <v>1523</v>
      </c>
      <c r="AS369" t="s">
        <v>64</v>
      </c>
      <c r="AT369">
        <v>0.53800000000000003</v>
      </c>
      <c r="AU369" t="s">
        <v>65</v>
      </c>
      <c r="AV369">
        <v>32</v>
      </c>
      <c r="AW369">
        <v>8</v>
      </c>
      <c r="AX369" t="s">
        <v>1524</v>
      </c>
      <c r="AY369" t="s">
        <v>1525</v>
      </c>
      <c r="AZ369" t="s">
        <v>1526</v>
      </c>
      <c r="BA369">
        <v>7.2900000000000006E-2</v>
      </c>
      <c r="BB369">
        <v>1</v>
      </c>
      <c r="BC369" t="s">
        <v>69</v>
      </c>
      <c r="BD369">
        <v>-0.70199999999999996</v>
      </c>
      <c r="BE369">
        <v>-0.70199999999999996</v>
      </c>
    </row>
    <row r="370" spans="1:57">
      <c r="A370">
        <v>0</v>
      </c>
      <c r="B370">
        <v>0</v>
      </c>
      <c r="C370">
        <v>0</v>
      </c>
      <c r="D370">
        <v>3822</v>
      </c>
      <c r="E370" t="s">
        <v>5151</v>
      </c>
      <c r="F370" t="s">
        <v>5762</v>
      </c>
      <c r="G370" t="s">
        <v>62</v>
      </c>
      <c r="H370">
        <v>3786881</v>
      </c>
      <c r="I370">
        <v>3787612</v>
      </c>
      <c r="J370" t="s">
        <v>5152</v>
      </c>
      <c r="K370">
        <v>244</v>
      </c>
      <c r="L370" t="s">
        <v>59</v>
      </c>
      <c r="M370">
        <v>5</v>
      </c>
      <c r="N370" t="str">
        <f>HYPERLINK("Gene3822-zp_tree_all.dnd", "Gene3822-tree")</f>
        <v>Gene3822-tree</v>
      </c>
      <c r="O370">
        <v>5</v>
      </c>
      <c r="P370">
        <v>0</v>
      </c>
      <c r="Q370">
        <v>4</v>
      </c>
      <c r="R370">
        <v>0</v>
      </c>
      <c r="S370">
        <v>0</v>
      </c>
      <c r="T370" t="s">
        <v>150</v>
      </c>
      <c r="U370" t="s">
        <v>62</v>
      </c>
      <c r="V370" t="s">
        <v>62</v>
      </c>
      <c r="W370" t="s">
        <v>62</v>
      </c>
      <c r="X370">
        <v>0</v>
      </c>
      <c r="Y370">
        <v>0</v>
      </c>
      <c r="Z370">
        <v>2</v>
      </c>
      <c r="AA370">
        <v>0</v>
      </c>
      <c r="AB370">
        <v>0</v>
      </c>
      <c r="AC370">
        <v>0</v>
      </c>
      <c r="AD370">
        <v>0</v>
      </c>
      <c r="AE370">
        <v>2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3</v>
      </c>
      <c r="AM370">
        <v>1</v>
      </c>
      <c r="AN370">
        <v>5</v>
      </c>
      <c r="AO370">
        <v>0</v>
      </c>
      <c r="AP370">
        <v>20</v>
      </c>
      <c r="AQ370">
        <v>2</v>
      </c>
      <c r="AR370" t="s">
        <v>64</v>
      </c>
      <c r="AS370" t="s">
        <v>5153</v>
      </c>
      <c r="AT370">
        <v>0</v>
      </c>
      <c r="AU370" t="s">
        <v>65</v>
      </c>
      <c r="AV370">
        <v>25</v>
      </c>
      <c r="AW370">
        <v>2</v>
      </c>
      <c r="AX370" t="s">
        <v>5154</v>
      </c>
      <c r="AY370" t="s">
        <v>5155</v>
      </c>
      <c r="AZ370" t="s">
        <v>2920</v>
      </c>
      <c r="BA370">
        <v>2.4750000000000001E-2</v>
      </c>
      <c r="BB370">
        <v>1</v>
      </c>
      <c r="BC370" t="s">
        <v>69</v>
      </c>
      <c r="BD370">
        <v>1.4039999999999999</v>
      </c>
      <c r="BE370">
        <v>1.4039999999999999</v>
      </c>
    </row>
    <row r="371" spans="1:57">
      <c r="A371">
        <v>0</v>
      </c>
      <c r="B371">
        <v>0</v>
      </c>
      <c r="C371">
        <v>0</v>
      </c>
      <c r="D371">
        <v>65</v>
      </c>
      <c r="E371" t="s">
        <v>243</v>
      </c>
      <c r="F371" t="s">
        <v>5762</v>
      </c>
      <c r="G371" t="s">
        <v>57</v>
      </c>
      <c r="H371">
        <v>73106</v>
      </c>
      <c r="I371">
        <v>73840</v>
      </c>
      <c r="J371" t="s">
        <v>118</v>
      </c>
      <c r="K371">
        <v>245</v>
      </c>
      <c r="L371" t="s">
        <v>59</v>
      </c>
      <c r="M371">
        <v>5</v>
      </c>
      <c r="N371" t="str">
        <f>HYPERLINK("Gene65-zp_tree_all.dnd", "Gene65-tree")</f>
        <v>Gene65-tree</v>
      </c>
      <c r="O371">
        <v>4</v>
      </c>
      <c r="P371">
        <v>1</v>
      </c>
      <c r="Q371">
        <v>4</v>
      </c>
      <c r="R371">
        <v>1</v>
      </c>
      <c r="S371">
        <v>0.2</v>
      </c>
      <c r="T371" t="s">
        <v>60</v>
      </c>
      <c r="U371" t="s">
        <v>61</v>
      </c>
      <c r="V371" t="s">
        <v>62</v>
      </c>
      <c r="W371" t="s">
        <v>62</v>
      </c>
      <c r="X371">
        <v>0</v>
      </c>
      <c r="Y371">
        <v>0</v>
      </c>
      <c r="Z371">
        <v>3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1</v>
      </c>
      <c r="AK371">
        <v>0</v>
      </c>
      <c r="AL371">
        <v>5</v>
      </c>
      <c r="AM371">
        <v>2</v>
      </c>
      <c r="AN371">
        <v>21</v>
      </c>
      <c r="AO371">
        <v>1</v>
      </c>
      <c r="AP371">
        <v>21</v>
      </c>
      <c r="AQ371">
        <v>2</v>
      </c>
      <c r="AR371" t="s">
        <v>244</v>
      </c>
      <c r="AS371" t="s">
        <v>245</v>
      </c>
      <c r="AT371">
        <v>0.308</v>
      </c>
      <c r="AU371" t="s">
        <v>65</v>
      </c>
      <c r="AV371">
        <v>42</v>
      </c>
      <c r="AW371">
        <v>3</v>
      </c>
      <c r="AX371" t="s">
        <v>246</v>
      </c>
      <c r="AY371" t="s">
        <v>247</v>
      </c>
      <c r="AZ371" t="s">
        <v>248</v>
      </c>
      <c r="BA371">
        <v>2.0969999999999999E-2</v>
      </c>
      <c r="BB371">
        <v>1</v>
      </c>
      <c r="BC371" t="s">
        <v>69</v>
      </c>
      <c r="BD371">
        <v>0.68700000000000006</v>
      </c>
      <c r="BE371">
        <v>0.314</v>
      </c>
    </row>
    <row r="372" spans="1:57">
      <c r="A372">
        <v>0</v>
      </c>
      <c r="B372">
        <v>0</v>
      </c>
      <c r="C372">
        <v>4</v>
      </c>
      <c r="D372">
        <v>3812</v>
      </c>
      <c r="E372" t="s">
        <v>5101</v>
      </c>
      <c r="F372" t="s">
        <v>5762</v>
      </c>
      <c r="G372" t="s">
        <v>62</v>
      </c>
      <c r="H372">
        <v>3779296</v>
      </c>
      <c r="I372">
        <v>3780033</v>
      </c>
      <c r="J372" t="s">
        <v>118</v>
      </c>
      <c r="K372">
        <v>246</v>
      </c>
      <c r="L372" t="s">
        <v>59</v>
      </c>
      <c r="M372">
        <v>5</v>
      </c>
      <c r="N372" t="str">
        <f>HYPERLINK("Gene3812-zp_tree_all.dnd", "Gene3812-tree")</f>
        <v>Gene3812-tree</v>
      </c>
      <c r="O372">
        <v>0</v>
      </c>
      <c r="P372">
        <v>5</v>
      </c>
      <c r="Q372">
        <v>0</v>
      </c>
      <c r="R372">
        <v>5</v>
      </c>
      <c r="S372">
        <v>1</v>
      </c>
      <c r="T372" t="s">
        <v>62</v>
      </c>
      <c r="U372" t="s">
        <v>98</v>
      </c>
      <c r="V372" t="s">
        <v>62</v>
      </c>
      <c r="W372" t="s">
        <v>62</v>
      </c>
      <c r="X372">
        <v>2</v>
      </c>
      <c r="Y372">
        <v>4</v>
      </c>
      <c r="Z372">
        <v>18</v>
      </c>
      <c r="AA372">
        <v>0.18182000000000001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14</v>
      </c>
      <c r="AK372">
        <v>0</v>
      </c>
      <c r="AL372">
        <v>5</v>
      </c>
      <c r="AM372">
        <v>2</v>
      </c>
      <c r="AN372">
        <v>7</v>
      </c>
      <c r="AO372">
        <v>15</v>
      </c>
      <c r="AP372">
        <v>15</v>
      </c>
      <c r="AQ372">
        <v>8</v>
      </c>
      <c r="AR372" t="s">
        <v>5102</v>
      </c>
      <c r="AS372" t="s">
        <v>5103</v>
      </c>
      <c r="AT372">
        <v>2.4849999999999999</v>
      </c>
      <c r="AU372" t="s">
        <v>286</v>
      </c>
      <c r="AV372">
        <v>22</v>
      </c>
      <c r="AW372">
        <v>23</v>
      </c>
      <c r="AX372" t="s">
        <v>5104</v>
      </c>
      <c r="AY372" t="s">
        <v>5105</v>
      </c>
      <c r="AZ372" t="s">
        <v>5106</v>
      </c>
      <c r="BA372">
        <v>0.2195</v>
      </c>
      <c r="BB372">
        <v>1</v>
      </c>
      <c r="BC372" t="s">
        <v>69</v>
      </c>
      <c r="BD372">
        <v>0.34899999999999998</v>
      </c>
      <c r="BE372">
        <v>0.34899999999999998</v>
      </c>
    </row>
    <row r="373" spans="1:57">
      <c r="A373">
        <v>0</v>
      </c>
      <c r="B373">
        <v>0</v>
      </c>
      <c r="C373">
        <v>0</v>
      </c>
      <c r="D373">
        <v>276</v>
      </c>
      <c r="E373" t="s">
        <v>695</v>
      </c>
      <c r="F373" t="s">
        <v>5762</v>
      </c>
      <c r="G373" t="s">
        <v>57</v>
      </c>
      <c r="H373">
        <v>296429</v>
      </c>
      <c r="I373">
        <v>297166</v>
      </c>
      <c r="J373" t="s">
        <v>696</v>
      </c>
      <c r="K373">
        <v>246</v>
      </c>
      <c r="L373" t="s">
        <v>83</v>
      </c>
      <c r="M373">
        <v>4</v>
      </c>
      <c r="N373" t="str">
        <f>HYPERLINK("Gene276-zp_tree_all.dnd", "Gene276-tree")</f>
        <v>Gene276-tree</v>
      </c>
      <c r="O373">
        <v>0</v>
      </c>
      <c r="P373">
        <v>4</v>
      </c>
      <c r="Q373">
        <v>0</v>
      </c>
      <c r="R373">
        <v>4</v>
      </c>
      <c r="S373">
        <v>1</v>
      </c>
      <c r="T373" t="s">
        <v>62</v>
      </c>
      <c r="U373" t="s">
        <v>60</v>
      </c>
      <c r="V373" t="s">
        <v>62</v>
      </c>
      <c r="W373" t="s">
        <v>62</v>
      </c>
      <c r="X373">
        <v>0</v>
      </c>
      <c r="Y373">
        <v>0</v>
      </c>
      <c r="Z373">
        <v>10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10</v>
      </c>
      <c r="AK373">
        <v>0</v>
      </c>
      <c r="AL373">
        <v>4</v>
      </c>
      <c r="AM373">
        <v>0</v>
      </c>
      <c r="AN373">
        <v>18</v>
      </c>
      <c r="AO373">
        <v>11</v>
      </c>
      <c r="AP373">
        <v>0</v>
      </c>
      <c r="AQ373">
        <v>0</v>
      </c>
      <c r="AR373" t="s">
        <v>697</v>
      </c>
      <c r="AS373" t="s">
        <v>64</v>
      </c>
      <c r="AT373">
        <v>1.0760000000000001</v>
      </c>
      <c r="AU373" t="s">
        <v>65</v>
      </c>
      <c r="AV373">
        <v>18</v>
      </c>
      <c r="AW373">
        <v>11</v>
      </c>
      <c r="AX373" t="s">
        <v>698</v>
      </c>
      <c r="AY373" t="s">
        <v>699</v>
      </c>
      <c r="AZ373" t="s">
        <v>700</v>
      </c>
      <c r="BA373">
        <v>0.16929</v>
      </c>
      <c r="BB373">
        <v>1</v>
      </c>
      <c r="BC373" t="s">
        <v>69</v>
      </c>
      <c r="BD373">
        <v>-0.86099999999999999</v>
      </c>
      <c r="BE373">
        <v>-0.86099999999999999</v>
      </c>
    </row>
    <row r="374" spans="1:57">
      <c r="A374">
        <v>0</v>
      </c>
      <c r="B374">
        <v>0</v>
      </c>
      <c r="C374">
        <v>0</v>
      </c>
      <c r="D374">
        <v>3489</v>
      </c>
      <c r="E374" t="s">
        <v>4780</v>
      </c>
      <c r="F374" t="s">
        <v>5762</v>
      </c>
      <c r="G374" t="s">
        <v>62</v>
      </c>
      <c r="H374">
        <v>3454224</v>
      </c>
      <c r="I374">
        <v>3454961</v>
      </c>
      <c r="J374" t="s">
        <v>4781</v>
      </c>
      <c r="K374">
        <v>246</v>
      </c>
      <c r="L374" t="s">
        <v>59</v>
      </c>
      <c r="M374">
        <v>5</v>
      </c>
      <c r="N374" t="str">
        <f>HYPERLINK("Gene3489-zp_tree_all.dnd", "Gene3489-tree")</f>
        <v>Gene3489-tree</v>
      </c>
      <c r="O374">
        <v>4</v>
      </c>
      <c r="P374">
        <v>1</v>
      </c>
      <c r="Q374">
        <v>4</v>
      </c>
      <c r="R374">
        <v>1</v>
      </c>
      <c r="S374">
        <v>0.2</v>
      </c>
      <c r="T374" t="s">
        <v>60</v>
      </c>
      <c r="U374" t="s">
        <v>61</v>
      </c>
      <c r="V374" t="s">
        <v>62</v>
      </c>
      <c r="W374" t="s">
        <v>62</v>
      </c>
      <c r="X374">
        <v>0</v>
      </c>
      <c r="Y374">
        <v>0</v>
      </c>
      <c r="Z374">
        <v>2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1</v>
      </c>
      <c r="AK374">
        <v>0</v>
      </c>
      <c r="AL374">
        <v>5</v>
      </c>
      <c r="AM374">
        <v>1</v>
      </c>
      <c r="AN374">
        <v>15</v>
      </c>
      <c r="AO374">
        <v>1</v>
      </c>
      <c r="AP374">
        <v>22</v>
      </c>
      <c r="AQ374">
        <v>1</v>
      </c>
      <c r="AR374" t="s">
        <v>4782</v>
      </c>
      <c r="AS374" t="s">
        <v>4783</v>
      </c>
      <c r="AT374">
        <v>0.19</v>
      </c>
      <c r="AU374" t="s">
        <v>65</v>
      </c>
      <c r="AV374">
        <v>37</v>
      </c>
      <c r="AW374">
        <v>2</v>
      </c>
      <c r="AX374" t="s">
        <v>4784</v>
      </c>
      <c r="AY374" t="s">
        <v>4785</v>
      </c>
      <c r="AZ374" t="s">
        <v>4786</v>
      </c>
      <c r="BA374">
        <v>1.302E-2</v>
      </c>
      <c r="BB374">
        <v>1</v>
      </c>
      <c r="BC374" t="s">
        <v>69</v>
      </c>
      <c r="BD374">
        <v>0.59399999999999997</v>
      </c>
      <c r="BE374">
        <v>0.59399999999999997</v>
      </c>
    </row>
    <row r="375" spans="1:57">
      <c r="A375">
        <v>0</v>
      </c>
      <c r="B375">
        <v>0</v>
      </c>
      <c r="C375">
        <v>0</v>
      </c>
      <c r="D375">
        <v>1711</v>
      </c>
      <c r="E375" t="s">
        <v>2533</v>
      </c>
      <c r="F375" t="s">
        <v>5762</v>
      </c>
      <c r="G375" t="s">
        <v>57</v>
      </c>
      <c r="H375">
        <v>1717933</v>
      </c>
      <c r="I375">
        <v>1718670</v>
      </c>
      <c r="J375" t="s">
        <v>2534</v>
      </c>
      <c r="K375">
        <v>246</v>
      </c>
      <c r="L375" t="s">
        <v>59</v>
      </c>
      <c r="M375">
        <v>5</v>
      </c>
      <c r="N375" t="str">
        <f>HYPERLINK("Gene1711-zp_tree_all.dnd", "Gene1711-tree")</f>
        <v>Gene1711-tree</v>
      </c>
      <c r="O375">
        <v>5</v>
      </c>
      <c r="P375">
        <v>0</v>
      </c>
      <c r="Q375">
        <v>4</v>
      </c>
      <c r="R375">
        <v>0</v>
      </c>
      <c r="S375">
        <v>0</v>
      </c>
      <c r="T375" t="s">
        <v>150</v>
      </c>
      <c r="U375" t="s">
        <v>62</v>
      </c>
      <c r="V375" t="s">
        <v>62</v>
      </c>
      <c r="W375" t="s">
        <v>62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3</v>
      </c>
      <c r="AM375">
        <v>1</v>
      </c>
      <c r="AN375">
        <v>7</v>
      </c>
      <c r="AO375">
        <v>0</v>
      </c>
      <c r="AP375">
        <v>2</v>
      </c>
      <c r="AQ375">
        <v>0</v>
      </c>
      <c r="AR375" t="s">
        <v>64</v>
      </c>
      <c r="AS375" t="s">
        <v>64</v>
      </c>
      <c r="AT375">
        <v>0</v>
      </c>
      <c r="AU375" t="s">
        <v>65</v>
      </c>
      <c r="AV375">
        <v>9</v>
      </c>
      <c r="AW375">
        <v>0</v>
      </c>
      <c r="AX375" t="s">
        <v>2535</v>
      </c>
      <c r="AY375" t="s">
        <v>2536</v>
      </c>
      <c r="AZ375" t="s">
        <v>64</v>
      </c>
      <c r="BA375">
        <v>0</v>
      </c>
      <c r="BB375">
        <v>1</v>
      </c>
      <c r="BC375" t="s">
        <v>69</v>
      </c>
      <c r="BD375">
        <v>-0.19700000000000001</v>
      </c>
      <c r="BE375">
        <v>-0.19700000000000001</v>
      </c>
    </row>
    <row r="376" spans="1:57">
      <c r="A376">
        <v>0</v>
      </c>
      <c r="B376">
        <v>0</v>
      </c>
      <c r="C376">
        <v>0</v>
      </c>
      <c r="D376">
        <v>149</v>
      </c>
      <c r="E376" t="s">
        <v>571</v>
      </c>
      <c r="F376" t="s">
        <v>5762</v>
      </c>
      <c r="G376" t="s">
        <v>57</v>
      </c>
      <c r="H376">
        <v>152937</v>
      </c>
      <c r="I376">
        <v>153677</v>
      </c>
      <c r="J376" t="s">
        <v>572</v>
      </c>
      <c r="K376">
        <v>247</v>
      </c>
      <c r="L376" t="s">
        <v>59</v>
      </c>
      <c r="M376">
        <v>5</v>
      </c>
      <c r="N376" t="str">
        <f>HYPERLINK("Gene149-zp_tree_all.dnd", "Gene149-tree")</f>
        <v>Gene149-tree</v>
      </c>
      <c r="O376">
        <v>3</v>
      </c>
      <c r="P376">
        <v>2</v>
      </c>
      <c r="Q376">
        <v>3</v>
      </c>
      <c r="R376">
        <v>2</v>
      </c>
      <c r="S376">
        <v>0.4</v>
      </c>
      <c r="T376" t="s">
        <v>84</v>
      </c>
      <c r="U376" t="s">
        <v>135</v>
      </c>
      <c r="V376" t="s">
        <v>62</v>
      </c>
      <c r="W376" t="s">
        <v>62</v>
      </c>
      <c r="X376">
        <v>0</v>
      </c>
      <c r="Y376">
        <v>0</v>
      </c>
      <c r="Z376">
        <v>12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7</v>
      </c>
      <c r="AK376">
        <v>0</v>
      </c>
      <c r="AL376">
        <v>4</v>
      </c>
      <c r="AM376">
        <v>2</v>
      </c>
      <c r="AN376">
        <v>23</v>
      </c>
      <c r="AO376">
        <v>7</v>
      </c>
      <c r="AP376">
        <v>11</v>
      </c>
      <c r="AQ376">
        <v>5</v>
      </c>
      <c r="AR376" t="s">
        <v>573</v>
      </c>
      <c r="AS376" t="s">
        <v>574</v>
      </c>
      <c r="AT376">
        <v>0.45500000000000002</v>
      </c>
      <c r="AU376" t="s">
        <v>65</v>
      </c>
      <c r="AV376">
        <v>34</v>
      </c>
      <c r="AW376">
        <v>12</v>
      </c>
      <c r="AX376" t="s">
        <v>575</v>
      </c>
      <c r="AY376" t="s">
        <v>576</v>
      </c>
      <c r="AZ376" t="s">
        <v>577</v>
      </c>
      <c r="BA376">
        <v>0.10604</v>
      </c>
      <c r="BB376">
        <v>1</v>
      </c>
      <c r="BC376" t="s">
        <v>69</v>
      </c>
      <c r="BD376">
        <v>-0.105</v>
      </c>
      <c r="BE376">
        <v>-0.27900000000000003</v>
      </c>
    </row>
    <row r="377" spans="1:57">
      <c r="A377">
        <v>0</v>
      </c>
      <c r="B377">
        <v>0</v>
      </c>
      <c r="C377">
        <v>0</v>
      </c>
      <c r="D377">
        <v>1040</v>
      </c>
      <c r="E377" t="s">
        <v>1503</v>
      </c>
      <c r="F377" t="s">
        <v>5762</v>
      </c>
      <c r="G377" t="s">
        <v>57</v>
      </c>
      <c r="H377">
        <v>1077440</v>
      </c>
      <c r="I377">
        <v>1078180</v>
      </c>
      <c r="J377" t="s">
        <v>1504</v>
      </c>
      <c r="K377">
        <v>247</v>
      </c>
      <c r="L377" t="s">
        <v>59</v>
      </c>
      <c r="M377">
        <v>5</v>
      </c>
      <c r="N377" t="str">
        <f>HYPERLINK("Gene1040-zp_tree_all.dnd", "Gene1040-tree")</f>
        <v>Gene1040-tree</v>
      </c>
      <c r="O377">
        <v>4</v>
      </c>
      <c r="P377">
        <v>1</v>
      </c>
      <c r="Q377">
        <v>4</v>
      </c>
      <c r="R377">
        <v>1</v>
      </c>
      <c r="S377">
        <v>0.2</v>
      </c>
      <c r="T377" t="s">
        <v>60</v>
      </c>
      <c r="U377" t="s">
        <v>61</v>
      </c>
      <c r="V377" t="s">
        <v>62</v>
      </c>
      <c r="W377" t="s">
        <v>62</v>
      </c>
      <c r="X377">
        <v>0</v>
      </c>
      <c r="Y377">
        <v>0</v>
      </c>
      <c r="Z377">
        <v>2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2</v>
      </c>
      <c r="AK377">
        <v>0</v>
      </c>
      <c r="AL377">
        <v>5</v>
      </c>
      <c r="AM377">
        <v>2</v>
      </c>
      <c r="AN377">
        <v>20</v>
      </c>
      <c r="AO377">
        <v>3</v>
      </c>
      <c r="AP377">
        <v>23</v>
      </c>
      <c r="AQ377">
        <v>0</v>
      </c>
      <c r="AR377" t="s">
        <v>1505</v>
      </c>
      <c r="AS377" t="s">
        <v>64</v>
      </c>
      <c r="AT377">
        <v>0.52200000000000002</v>
      </c>
      <c r="AU377" t="s">
        <v>65</v>
      </c>
      <c r="AV377">
        <v>43</v>
      </c>
      <c r="AW377">
        <v>3</v>
      </c>
      <c r="AX377" t="s">
        <v>1506</v>
      </c>
      <c r="AY377" t="s">
        <v>1507</v>
      </c>
      <c r="AZ377" t="s">
        <v>1508</v>
      </c>
      <c r="BA377">
        <v>1.5509999999999999E-2</v>
      </c>
      <c r="BB377">
        <v>1</v>
      </c>
      <c r="BC377" t="s">
        <v>69</v>
      </c>
      <c r="BD377">
        <v>0.42099999999999999</v>
      </c>
      <c r="BE377">
        <v>0.24299999999999999</v>
      </c>
    </row>
    <row r="378" spans="1:57">
      <c r="A378">
        <v>0</v>
      </c>
      <c r="B378">
        <v>0</v>
      </c>
      <c r="C378">
        <v>0</v>
      </c>
      <c r="D378">
        <v>3758</v>
      </c>
      <c r="E378" t="s">
        <v>5029</v>
      </c>
      <c r="F378" t="s">
        <v>5762</v>
      </c>
      <c r="G378" t="s">
        <v>62</v>
      </c>
      <c r="H378">
        <v>3732528</v>
      </c>
      <c r="I378">
        <v>3733271</v>
      </c>
      <c r="J378" t="s">
        <v>5030</v>
      </c>
      <c r="K378">
        <v>248</v>
      </c>
      <c r="L378" t="s">
        <v>112</v>
      </c>
      <c r="M378">
        <v>4</v>
      </c>
      <c r="N378" t="str">
        <f>HYPERLINK("Gene3758-zp_tree_all.dnd", "Gene3758-tree")</f>
        <v>Gene3758-tree</v>
      </c>
      <c r="O378">
        <v>2</v>
      </c>
      <c r="P378">
        <v>2</v>
      </c>
      <c r="Q378">
        <v>2</v>
      </c>
      <c r="R378">
        <v>2</v>
      </c>
      <c r="S378">
        <v>0.5</v>
      </c>
      <c r="T378" t="s">
        <v>135</v>
      </c>
      <c r="U378" t="s">
        <v>135</v>
      </c>
      <c r="V378" t="s">
        <v>62</v>
      </c>
      <c r="W378" t="s">
        <v>62</v>
      </c>
      <c r="X378">
        <v>0</v>
      </c>
      <c r="Y378">
        <v>0</v>
      </c>
      <c r="Z378">
        <v>8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8</v>
      </c>
      <c r="AK378">
        <v>0</v>
      </c>
      <c r="AL378">
        <v>3</v>
      </c>
      <c r="AM378">
        <v>1</v>
      </c>
      <c r="AN378">
        <v>22</v>
      </c>
      <c r="AO378">
        <v>8</v>
      </c>
      <c r="AP378">
        <v>3</v>
      </c>
      <c r="AQ378">
        <v>0</v>
      </c>
      <c r="AR378" t="s">
        <v>5031</v>
      </c>
      <c r="AS378" t="s">
        <v>64</v>
      </c>
      <c r="AT378">
        <v>0.65200000000000002</v>
      </c>
      <c r="AU378" t="s">
        <v>65</v>
      </c>
      <c r="AV378">
        <v>25</v>
      </c>
      <c r="AW378">
        <v>8</v>
      </c>
      <c r="AX378" t="s">
        <v>5032</v>
      </c>
      <c r="AY378" t="s">
        <v>5033</v>
      </c>
      <c r="AZ378" t="s">
        <v>5034</v>
      </c>
      <c r="BA378">
        <v>8.6889999999999995E-2</v>
      </c>
      <c r="BB378">
        <v>1</v>
      </c>
      <c r="BC378" t="s">
        <v>69</v>
      </c>
      <c r="BD378">
        <v>-0.57499999999999996</v>
      </c>
      <c r="BE378">
        <v>-0.57499999999999996</v>
      </c>
    </row>
    <row r="379" spans="1:57">
      <c r="A379">
        <v>0</v>
      </c>
      <c r="B379">
        <v>0</v>
      </c>
      <c r="C379">
        <v>0</v>
      </c>
      <c r="D379">
        <v>4089</v>
      </c>
      <c r="E379" t="s">
        <v>5483</v>
      </c>
      <c r="F379" t="s">
        <v>5762</v>
      </c>
      <c r="G379" t="s">
        <v>62</v>
      </c>
      <c r="H379">
        <v>4058032</v>
      </c>
      <c r="I379">
        <v>4058778</v>
      </c>
      <c r="J379" t="s">
        <v>5484</v>
      </c>
      <c r="K379">
        <v>249</v>
      </c>
      <c r="L379" t="s">
        <v>59</v>
      </c>
      <c r="M379">
        <v>5</v>
      </c>
      <c r="N379" t="str">
        <f>HYPERLINK("Gene4089-zp_tree_all.dnd", "Gene4089-tree")</f>
        <v>Gene4089-tree</v>
      </c>
      <c r="O379">
        <v>1</v>
      </c>
      <c r="P379">
        <v>4</v>
      </c>
      <c r="Q379">
        <v>1</v>
      </c>
      <c r="R379">
        <v>4</v>
      </c>
      <c r="S379">
        <v>0.8</v>
      </c>
      <c r="T379" t="s">
        <v>61</v>
      </c>
      <c r="U379" t="s">
        <v>60</v>
      </c>
      <c r="V379" t="s">
        <v>62</v>
      </c>
      <c r="W379" t="s">
        <v>62</v>
      </c>
      <c r="X379">
        <v>0</v>
      </c>
      <c r="Y379">
        <v>0</v>
      </c>
      <c r="Z379">
        <v>7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4</v>
      </c>
      <c r="AK379">
        <v>0</v>
      </c>
      <c r="AL379">
        <v>5</v>
      </c>
      <c r="AM379">
        <v>2</v>
      </c>
      <c r="AN379">
        <v>32</v>
      </c>
      <c r="AO379">
        <v>4</v>
      </c>
      <c r="AP379">
        <v>15</v>
      </c>
      <c r="AQ379">
        <v>3</v>
      </c>
      <c r="AR379" t="s">
        <v>5485</v>
      </c>
      <c r="AS379" t="s">
        <v>5486</v>
      </c>
      <c r="AT379">
        <v>0.377</v>
      </c>
      <c r="AU379" t="s">
        <v>65</v>
      </c>
      <c r="AV379">
        <v>47</v>
      </c>
      <c r="AW379">
        <v>7</v>
      </c>
      <c r="AX379" t="s">
        <v>5487</v>
      </c>
      <c r="AY379" t="s">
        <v>5488</v>
      </c>
      <c r="AZ379" t="s">
        <v>5489</v>
      </c>
      <c r="BA379">
        <v>4.3950000000000003E-2</v>
      </c>
      <c r="BB379">
        <v>1</v>
      </c>
      <c r="BC379" t="s">
        <v>69</v>
      </c>
      <c r="BD379">
        <v>-0.13900000000000001</v>
      </c>
      <c r="BE379">
        <v>-0.28999999999999998</v>
      </c>
    </row>
    <row r="380" spans="1:57">
      <c r="A380">
        <v>0</v>
      </c>
      <c r="B380">
        <v>0</v>
      </c>
      <c r="C380">
        <v>0</v>
      </c>
      <c r="D380">
        <v>96</v>
      </c>
      <c r="E380" t="s">
        <v>368</v>
      </c>
      <c r="F380" t="s">
        <v>5762</v>
      </c>
      <c r="G380" t="s">
        <v>57</v>
      </c>
      <c r="H380">
        <v>115269</v>
      </c>
      <c r="I380">
        <v>116015</v>
      </c>
      <c r="J380" t="s">
        <v>369</v>
      </c>
      <c r="K380">
        <v>249</v>
      </c>
      <c r="L380" t="s">
        <v>59</v>
      </c>
      <c r="M380">
        <v>5</v>
      </c>
      <c r="N380" t="str">
        <f>HYPERLINK("Gene96-zp_tree_all.dnd", "Gene96-tree")</f>
        <v>Gene96-tree</v>
      </c>
      <c r="O380">
        <v>4</v>
      </c>
      <c r="P380">
        <v>1</v>
      </c>
      <c r="Q380">
        <v>4</v>
      </c>
      <c r="R380">
        <v>1</v>
      </c>
      <c r="S380">
        <v>0.2</v>
      </c>
      <c r="T380" t="s">
        <v>60</v>
      </c>
      <c r="U380" t="s">
        <v>61</v>
      </c>
      <c r="V380" t="s">
        <v>62</v>
      </c>
      <c r="W380" t="s">
        <v>62</v>
      </c>
      <c r="X380">
        <v>0</v>
      </c>
      <c r="Y380">
        <v>0</v>
      </c>
      <c r="Z380">
        <v>3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2</v>
      </c>
      <c r="AK380">
        <v>0</v>
      </c>
      <c r="AL380">
        <v>5</v>
      </c>
      <c r="AM380">
        <v>2</v>
      </c>
      <c r="AN380">
        <v>22</v>
      </c>
      <c r="AO380">
        <v>2</v>
      </c>
      <c r="AP380">
        <v>22</v>
      </c>
      <c r="AQ380">
        <v>1</v>
      </c>
      <c r="AR380" t="s">
        <v>370</v>
      </c>
      <c r="AS380" t="s">
        <v>371</v>
      </c>
      <c r="AT380">
        <v>0.25700000000000001</v>
      </c>
      <c r="AU380" t="s">
        <v>65</v>
      </c>
      <c r="AV380">
        <v>44</v>
      </c>
      <c r="AW380">
        <v>3</v>
      </c>
      <c r="AX380" t="s">
        <v>372</v>
      </c>
      <c r="AY380" t="s">
        <v>373</v>
      </c>
      <c r="AZ380" t="s">
        <v>374</v>
      </c>
      <c r="BA380">
        <v>1.7840000000000002E-2</v>
      </c>
      <c r="BB380">
        <v>1</v>
      </c>
      <c r="BC380" t="s">
        <v>69</v>
      </c>
      <c r="BD380">
        <v>0.45300000000000001</v>
      </c>
      <c r="BE380">
        <v>0.27900000000000003</v>
      </c>
    </row>
    <row r="381" spans="1:57">
      <c r="A381">
        <v>0</v>
      </c>
      <c r="B381">
        <v>0</v>
      </c>
      <c r="C381">
        <v>0</v>
      </c>
      <c r="D381">
        <v>1654</v>
      </c>
      <c r="E381" t="s">
        <v>2384</v>
      </c>
      <c r="F381" t="s">
        <v>5762</v>
      </c>
      <c r="G381" t="s">
        <v>57</v>
      </c>
      <c r="H381">
        <v>1665710</v>
      </c>
      <c r="I381">
        <v>1666456</v>
      </c>
      <c r="J381" t="s">
        <v>2385</v>
      </c>
      <c r="K381">
        <v>249</v>
      </c>
      <c r="L381" t="s">
        <v>59</v>
      </c>
      <c r="M381">
        <v>5</v>
      </c>
      <c r="N381" t="str">
        <f>HYPERLINK("Gene1654-zp_tree_all.dnd", "Gene1654-tree")</f>
        <v>Gene1654-tree</v>
      </c>
      <c r="O381">
        <v>4</v>
      </c>
      <c r="P381">
        <v>1</v>
      </c>
      <c r="Q381">
        <v>3</v>
      </c>
      <c r="R381">
        <v>1</v>
      </c>
      <c r="S381">
        <v>0.25</v>
      </c>
      <c r="T381" t="s">
        <v>119</v>
      </c>
      <c r="U381" t="s">
        <v>61</v>
      </c>
      <c r="V381" t="s">
        <v>62</v>
      </c>
      <c r="W381" t="s">
        <v>62</v>
      </c>
      <c r="X381">
        <v>0</v>
      </c>
      <c r="Y381">
        <v>0</v>
      </c>
      <c r="Z381">
        <v>2</v>
      </c>
      <c r="AA381">
        <v>0</v>
      </c>
      <c r="AB381">
        <v>0</v>
      </c>
      <c r="AC381">
        <v>0</v>
      </c>
      <c r="AD381">
        <v>0</v>
      </c>
      <c r="AE381">
        <v>1</v>
      </c>
      <c r="AF381">
        <v>0</v>
      </c>
      <c r="AG381">
        <v>0</v>
      </c>
      <c r="AH381">
        <v>0</v>
      </c>
      <c r="AI381">
        <v>0</v>
      </c>
      <c r="AJ381">
        <v>1</v>
      </c>
      <c r="AK381">
        <v>0</v>
      </c>
      <c r="AL381">
        <v>3</v>
      </c>
      <c r="AM381">
        <v>1</v>
      </c>
      <c r="AN381">
        <v>14</v>
      </c>
      <c r="AO381">
        <v>1</v>
      </c>
      <c r="AP381">
        <v>16</v>
      </c>
      <c r="AQ381">
        <v>1</v>
      </c>
      <c r="AR381" t="s">
        <v>2386</v>
      </c>
      <c r="AS381" t="s">
        <v>2387</v>
      </c>
      <c r="AT381">
        <v>0.121</v>
      </c>
      <c r="AU381" t="s">
        <v>65</v>
      </c>
      <c r="AV381">
        <v>30</v>
      </c>
      <c r="AW381">
        <v>2</v>
      </c>
      <c r="AX381" t="s">
        <v>2388</v>
      </c>
      <c r="AY381" t="s">
        <v>2389</v>
      </c>
      <c r="AZ381" t="s">
        <v>545</v>
      </c>
      <c r="BA381">
        <v>1.721E-2</v>
      </c>
      <c r="BB381">
        <v>1</v>
      </c>
      <c r="BC381" t="s">
        <v>69</v>
      </c>
      <c r="BD381">
        <v>0.56299999999999994</v>
      </c>
      <c r="BE381">
        <v>0.56299999999999994</v>
      </c>
    </row>
    <row r="382" spans="1:57">
      <c r="A382">
        <v>0</v>
      </c>
      <c r="B382">
        <v>0</v>
      </c>
      <c r="C382">
        <v>0</v>
      </c>
      <c r="D382">
        <v>1178</v>
      </c>
      <c r="E382" t="s">
        <v>1631</v>
      </c>
      <c r="F382" t="s">
        <v>5762</v>
      </c>
      <c r="G382" t="s">
        <v>57</v>
      </c>
      <c r="H382">
        <v>1217326</v>
      </c>
      <c r="I382">
        <v>1218075</v>
      </c>
      <c r="J382" t="s">
        <v>1632</v>
      </c>
      <c r="K382">
        <v>250</v>
      </c>
      <c r="L382" t="s">
        <v>59</v>
      </c>
      <c r="M382">
        <v>5</v>
      </c>
      <c r="N382" t="str">
        <f>HYPERLINK("Gene1178-zp_tree_all.dnd", "Gene1178-tree")</f>
        <v>Gene1178-tree</v>
      </c>
      <c r="O382">
        <v>4</v>
      </c>
      <c r="P382">
        <v>1</v>
      </c>
      <c r="Q382">
        <v>4</v>
      </c>
      <c r="R382">
        <v>1</v>
      </c>
      <c r="S382">
        <v>0.2</v>
      </c>
      <c r="T382" t="s">
        <v>60</v>
      </c>
      <c r="U382" t="s">
        <v>61</v>
      </c>
      <c r="V382" t="s">
        <v>62</v>
      </c>
      <c r="W382" t="s">
        <v>62</v>
      </c>
      <c r="X382">
        <v>0</v>
      </c>
      <c r="Y382">
        <v>0</v>
      </c>
      <c r="Z382">
        <v>5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4</v>
      </c>
      <c r="AK382">
        <v>0</v>
      </c>
      <c r="AL382">
        <v>5</v>
      </c>
      <c r="AM382">
        <v>2</v>
      </c>
      <c r="AN382">
        <v>20</v>
      </c>
      <c r="AO382">
        <v>4</v>
      </c>
      <c r="AP382">
        <v>24</v>
      </c>
      <c r="AQ382">
        <v>1</v>
      </c>
      <c r="AR382" t="s">
        <v>1633</v>
      </c>
      <c r="AS382" t="s">
        <v>1634</v>
      </c>
      <c r="AT382">
        <v>0.433</v>
      </c>
      <c r="AU382" t="s">
        <v>65</v>
      </c>
      <c r="AV382">
        <v>44</v>
      </c>
      <c r="AW382">
        <v>5</v>
      </c>
      <c r="AX382" t="s">
        <v>1635</v>
      </c>
      <c r="AY382" t="s">
        <v>1636</v>
      </c>
      <c r="AZ382" t="s">
        <v>1637</v>
      </c>
      <c r="BA382">
        <v>2.409E-2</v>
      </c>
      <c r="BB382">
        <v>1</v>
      </c>
      <c r="BC382" t="s">
        <v>69</v>
      </c>
      <c r="BD382">
        <v>0.81299999999999994</v>
      </c>
      <c r="BE382">
        <v>0.67</v>
      </c>
    </row>
    <row r="383" spans="1:57">
      <c r="A383">
        <v>0</v>
      </c>
      <c r="B383">
        <v>0</v>
      </c>
      <c r="C383">
        <v>0</v>
      </c>
      <c r="D383">
        <v>2370</v>
      </c>
      <c r="E383" t="s">
        <v>3080</v>
      </c>
      <c r="F383" t="s">
        <v>5762</v>
      </c>
      <c r="G383" t="s">
        <v>62</v>
      </c>
      <c r="H383">
        <v>2383618</v>
      </c>
      <c r="I383">
        <v>2384370</v>
      </c>
      <c r="J383" t="s">
        <v>3081</v>
      </c>
      <c r="K383">
        <v>251</v>
      </c>
      <c r="L383" t="s">
        <v>59</v>
      </c>
      <c r="M383">
        <v>5</v>
      </c>
      <c r="N383" t="str">
        <f>HYPERLINK("Gene2370-zp_tree_all.dnd", "Gene2370-tree")</f>
        <v>Gene2370-tree</v>
      </c>
      <c r="O383">
        <v>4</v>
      </c>
      <c r="P383">
        <v>1</v>
      </c>
      <c r="Q383">
        <v>4</v>
      </c>
      <c r="R383">
        <v>1</v>
      </c>
      <c r="S383">
        <v>0.2</v>
      </c>
      <c r="T383" t="s">
        <v>60</v>
      </c>
      <c r="U383" t="s">
        <v>61</v>
      </c>
      <c r="V383" t="s">
        <v>62</v>
      </c>
      <c r="W383" t="s">
        <v>62</v>
      </c>
      <c r="X383">
        <v>0</v>
      </c>
      <c r="Y383">
        <v>0</v>
      </c>
      <c r="Z383">
        <v>5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1</v>
      </c>
      <c r="AK383">
        <v>0</v>
      </c>
      <c r="AL383">
        <v>4</v>
      </c>
      <c r="AM383">
        <v>2</v>
      </c>
      <c r="AN383">
        <v>8</v>
      </c>
      <c r="AO383">
        <v>0</v>
      </c>
      <c r="AP383">
        <v>10</v>
      </c>
      <c r="AQ383">
        <v>5</v>
      </c>
      <c r="AR383" t="s">
        <v>64</v>
      </c>
      <c r="AS383" t="s">
        <v>3082</v>
      </c>
      <c r="AT383">
        <v>1.9339999999999999</v>
      </c>
      <c r="AU383" t="s">
        <v>65</v>
      </c>
      <c r="AV383">
        <v>18</v>
      </c>
      <c r="AW383">
        <v>5</v>
      </c>
      <c r="AX383" t="s">
        <v>3083</v>
      </c>
      <c r="AY383" t="s">
        <v>3084</v>
      </c>
      <c r="AZ383" t="s">
        <v>3085</v>
      </c>
      <c r="BA383">
        <v>0.10517</v>
      </c>
      <c r="BB383">
        <v>1</v>
      </c>
      <c r="BC383" t="s">
        <v>69</v>
      </c>
      <c r="BD383">
        <v>1.117</v>
      </c>
      <c r="BE383">
        <v>1.117</v>
      </c>
    </row>
    <row r="384" spans="1:57">
      <c r="A384">
        <v>0</v>
      </c>
      <c r="B384">
        <v>0</v>
      </c>
      <c r="C384">
        <v>0</v>
      </c>
      <c r="D384">
        <v>1495</v>
      </c>
      <c r="E384" t="s">
        <v>1975</v>
      </c>
      <c r="F384" t="s">
        <v>5762</v>
      </c>
      <c r="G384" t="s">
        <v>57</v>
      </c>
      <c r="H384">
        <v>1507578</v>
      </c>
      <c r="I384">
        <v>1508330</v>
      </c>
      <c r="J384" t="s">
        <v>1976</v>
      </c>
      <c r="K384">
        <v>251</v>
      </c>
      <c r="L384" t="s">
        <v>59</v>
      </c>
      <c r="M384">
        <v>5</v>
      </c>
      <c r="N384" t="str">
        <f>HYPERLINK("Gene1495-zp_tree_all.dnd", "Gene1495-tree")</f>
        <v>Gene1495-tree</v>
      </c>
      <c r="O384">
        <v>4</v>
      </c>
      <c r="P384">
        <v>1</v>
      </c>
      <c r="Q384">
        <v>4</v>
      </c>
      <c r="R384">
        <v>1</v>
      </c>
      <c r="S384">
        <v>0.2</v>
      </c>
      <c r="T384" t="s">
        <v>60</v>
      </c>
      <c r="U384" t="s">
        <v>61</v>
      </c>
      <c r="V384" t="s">
        <v>62</v>
      </c>
      <c r="W384" t="s">
        <v>62</v>
      </c>
      <c r="X384">
        <v>0</v>
      </c>
      <c r="Y384">
        <v>0</v>
      </c>
      <c r="Z384">
        <v>6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1</v>
      </c>
      <c r="AK384">
        <v>0</v>
      </c>
      <c r="AL384">
        <v>5</v>
      </c>
      <c r="AM384">
        <v>2</v>
      </c>
      <c r="AN384">
        <v>10</v>
      </c>
      <c r="AO384">
        <v>1</v>
      </c>
      <c r="AP384">
        <v>20</v>
      </c>
      <c r="AQ384">
        <v>5</v>
      </c>
      <c r="AR384" t="s">
        <v>1977</v>
      </c>
      <c r="AS384" t="s">
        <v>1978</v>
      </c>
      <c r="AT384">
        <v>0.372</v>
      </c>
      <c r="AU384" t="s">
        <v>65</v>
      </c>
      <c r="AV384">
        <v>30</v>
      </c>
      <c r="AW384">
        <v>6</v>
      </c>
      <c r="AX384" t="s">
        <v>1979</v>
      </c>
      <c r="AY384" t="s">
        <v>1980</v>
      </c>
      <c r="AZ384" t="s">
        <v>1981</v>
      </c>
      <c r="BA384">
        <v>5.9950000000000003E-2</v>
      </c>
      <c r="BB384">
        <v>1</v>
      </c>
      <c r="BC384" t="s">
        <v>69</v>
      </c>
      <c r="BD384">
        <v>1.139</v>
      </c>
      <c r="BE384">
        <v>0.95599999999999996</v>
      </c>
    </row>
    <row r="385" spans="1:57">
      <c r="A385">
        <v>0</v>
      </c>
      <c r="B385">
        <v>0</v>
      </c>
      <c r="C385">
        <v>0</v>
      </c>
      <c r="D385">
        <v>2417</v>
      </c>
      <c r="E385" t="s">
        <v>3167</v>
      </c>
      <c r="F385" t="s">
        <v>5762</v>
      </c>
      <c r="G385" t="s">
        <v>62</v>
      </c>
      <c r="H385">
        <v>2425834</v>
      </c>
      <c r="I385">
        <v>2426586</v>
      </c>
      <c r="J385" t="s">
        <v>3168</v>
      </c>
      <c r="K385">
        <v>251</v>
      </c>
      <c r="L385" t="s">
        <v>59</v>
      </c>
      <c r="M385">
        <v>5</v>
      </c>
      <c r="N385" t="str">
        <f>HYPERLINK("Gene2417-zp_tree_all.dnd", "Gene2417-tree")</f>
        <v>Gene2417-tree</v>
      </c>
      <c r="O385">
        <v>2</v>
      </c>
      <c r="P385">
        <v>3</v>
      </c>
      <c r="Q385">
        <v>2</v>
      </c>
      <c r="R385">
        <v>3</v>
      </c>
      <c r="S385">
        <v>0.6</v>
      </c>
      <c r="T385" t="s">
        <v>135</v>
      </c>
      <c r="U385" t="s">
        <v>84</v>
      </c>
      <c r="V385" t="s">
        <v>62</v>
      </c>
      <c r="W385" t="s">
        <v>62</v>
      </c>
      <c r="X385">
        <v>0</v>
      </c>
      <c r="Y385">
        <v>0</v>
      </c>
      <c r="Z385">
        <v>7</v>
      </c>
      <c r="AA385">
        <v>0</v>
      </c>
      <c r="AB385">
        <v>0</v>
      </c>
      <c r="AC385">
        <v>0</v>
      </c>
      <c r="AD385">
        <v>0</v>
      </c>
      <c r="AE385">
        <v>1</v>
      </c>
      <c r="AF385">
        <v>0</v>
      </c>
      <c r="AG385">
        <v>0</v>
      </c>
      <c r="AH385">
        <v>0</v>
      </c>
      <c r="AI385">
        <v>0</v>
      </c>
      <c r="AJ385">
        <v>2</v>
      </c>
      <c r="AK385">
        <v>0</v>
      </c>
      <c r="AL385">
        <v>4</v>
      </c>
      <c r="AM385">
        <v>2</v>
      </c>
      <c r="AN385">
        <v>12</v>
      </c>
      <c r="AO385">
        <v>2</v>
      </c>
      <c r="AP385">
        <v>20</v>
      </c>
      <c r="AQ385">
        <v>5</v>
      </c>
      <c r="AR385" t="s">
        <v>3169</v>
      </c>
      <c r="AS385" t="s">
        <v>3170</v>
      </c>
      <c r="AT385">
        <v>0.26800000000000002</v>
      </c>
      <c r="AU385" t="s">
        <v>65</v>
      </c>
      <c r="AV385">
        <v>32</v>
      </c>
      <c r="AW385">
        <v>7</v>
      </c>
      <c r="AX385" t="s">
        <v>3171</v>
      </c>
      <c r="AY385" t="s">
        <v>3172</v>
      </c>
      <c r="AZ385" t="s">
        <v>3173</v>
      </c>
      <c r="BA385">
        <v>5.5329999999999997E-2</v>
      </c>
      <c r="BB385">
        <v>1</v>
      </c>
      <c r="BC385" t="s">
        <v>69</v>
      </c>
      <c r="BD385">
        <v>0.755</v>
      </c>
      <c r="BE385">
        <v>0.755</v>
      </c>
    </row>
    <row r="386" spans="1:57">
      <c r="A386">
        <v>0</v>
      </c>
      <c r="B386">
        <v>0</v>
      </c>
      <c r="C386">
        <v>2</v>
      </c>
      <c r="D386">
        <v>1396</v>
      </c>
      <c r="E386" t="s">
        <v>1836</v>
      </c>
      <c r="F386" t="s">
        <v>5762</v>
      </c>
      <c r="G386" t="s">
        <v>57</v>
      </c>
      <c r="H386">
        <v>1411892</v>
      </c>
      <c r="I386">
        <v>1412644</v>
      </c>
      <c r="J386" t="s">
        <v>1837</v>
      </c>
      <c r="K386">
        <v>251</v>
      </c>
      <c r="L386" t="s">
        <v>59</v>
      </c>
      <c r="M386">
        <v>5</v>
      </c>
      <c r="N386" t="str">
        <f>HYPERLINK("Gene1396-zp_tree_all.dnd", "Gene1396-tree")</f>
        <v>Gene1396-tree</v>
      </c>
      <c r="O386">
        <v>4</v>
      </c>
      <c r="P386">
        <v>1</v>
      </c>
      <c r="Q386">
        <v>4</v>
      </c>
      <c r="R386">
        <v>1</v>
      </c>
      <c r="S386">
        <v>0.2</v>
      </c>
      <c r="T386" t="s">
        <v>60</v>
      </c>
      <c r="U386" t="s">
        <v>61</v>
      </c>
      <c r="V386" t="s">
        <v>62</v>
      </c>
      <c r="W386" t="s">
        <v>62</v>
      </c>
      <c r="X386">
        <v>1</v>
      </c>
      <c r="Y386">
        <v>2</v>
      </c>
      <c r="Z386">
        <v>2</v>
      </c>
      <c r="AA386">
        <v>0.5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2</v>
      </c>
      <c r="AK386">
        <v>0</v>
      </c>
      <c r="AL386">
        <v>4</v>
      </c>
      <c r="AM386">
        <v>1</v>
      </c>
      <c r="AN386">
        <v>8</v>
      </c>
      <c r="AO386">
        <v>2</v>
      </c>
      <c r="AP386">
        <v>21</v>
      </c>
      <c r="AQ386">
        <v>2</v>
      </c>
      <c r="AR386" t="s">
        <v>1838</v>
      </c>
      <c r="AS386" t="s">
        <v>1839</v>
      </c>
      <c r="AT386">
        <v>0.41499999999999998</v>
      </c>
      <c r="AU386" t="s">
        <v>65</v>
      </c>
      <c r="AV386">
        <v>29</v>
      </c>
      <c r="AW386">
        <v>4</v>
      </c>
      <c r="AX386" t="s">
        <v>1840</v>
      </c>
      <c r="AY386" t="s">
        <v>1841</v>
      </c>
      <c r="AZ386" t="s">
        <v>1842</v>
      </c>
      <c r="BA386">
        <v>2.741E-2</v>
      </c>
      <c r="BB386">
        <v>1</v>
      </c>
      <c r="BC386" t="s">
        <v>69</v>
      </c>
      <c r="BD386">
        <v>1.167</v>
      </c>
      <c r="BE386">
        <v>0.66400000000000003</v>
      </c>
    </row>
    <row r="387" spans="1:57">
      <c r="A387">
        <v>0</v>
      </c>
      <c r="B387">
        <v>2</v>
      </c>
      <c r="C387">
        <v>0</v>
      </c>
      <c r="D387">
        <v>3519</v>
      </c>
      <c r="E387" t="s">
        <v>4827</v>
      </c>
      <c r="F387" t="s">
        <v>5762</v>
      </c>
      <c r="G387" t="s">
        <v>62</v>
      </c>
      <c r="H387">
        <v>3479408</v>
      </c>
      <c r="I387">
        <v>3480166</v>
      </c>
      <c r="J387" t="s">
        <v>4828</v>
      </c>
      <c r="K387">
        <v>253</v>
      </c>
      <c r="L387" t="s">
        <v>59</v>
      </c>
      <c r="M387">
        <v>5</v>
      </c>
      <c r="N387" t="str">
        <f>HYPERLINK("Gene3519-zp_tree_all.dnd", "Gene3519-tree")</f>
        <v>Gene3519-tree</v>
      </c>
      <c r="O387">
        <v>2</v>
      </c>
      <c r="P387">
        <v>3</v>
      </c>
      <c r="Q387">
        <v>2</v>
      </c>
      <c r="R387">
        <v>3</v>
      </c>
      <c r="S387">
        <v>0.6</v>
      </c>
      <c r="T387" t="s">
        <v>135</v>
      </c>
      <c r="U387" t="s">
        <v>84</v>
      </c>
      <c r="V387" t="s">
        <v>62</v>
      </c>
      <c r="W387" t="s">
        <v>62</v>
      </c>
      <c r="X387">
        <v>1</v>
      </c>
      <c r="Y387">
        <v>2</v>
      </c>
      <c r="Z387">
        <v>2</v>
      </c>
      <c r="AA387">
        <v>0.5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2</v>
      </c>
      <c r="AH387">
        <v>0</v>
      </c>
      <c r="AI387">
        <v>2</v>
      </c>
      <c r="AJ387">
        <v>1</v>
      </c>
      <c r="AK387">
        <v>0.66666999999999998</v>
      </c>
      <c r="AL387">
        <v>5</v>
      </c>
      <c r="AM387">
        <v>2</v>
      </c>
      <c r="AN387">
        <v>8</v>
      </c>
      <c r="AO387">
        <v>3</v>
      </c>
      <c r="AP387">
        <v>9</v>
      </c>
      <c r="AQ387">
        <v>1</v>
      </c>
      <c r="AR387" t="s">
        <v>4829</v>
      </c>
      <c r="AS387" t="s">
        <v>4830</v>
      </c>
      <c r="AT387">
        <v>0.78600000000000003</v>
      </c>
      <c r="AU387" t="s">
        <v>65</v>
      </c>
      <c r="AV387">
        <v>17</v>
      </c>
      <c r="AW387">
        <v>4</v>
      </c>
      <c r="AX387" t="s">
        <v>4831</v>
      </c>
      <c r="AY387" t="s">
        <v>4832</v>
      </c>
      <c r="AZ387" t="s">
        <v>4833</v>
      </c>
      <c r="BA387">
        <v>5.2920000000000002E-2</v>
      </c>
      <c r="BB387">
        <v>1</v>
      </c>
      <c r="BC387" t="s">
        <v>69</v>
      </c>
      <c r="BD387">
        <v>0.46200000000000002</v>
      </c>
      <c r="BE387">
        <v>0.46200000000000002</v>
      </c>
    </row>
    <row r="388" spans="1:57">
      <c r="A388">
        <v>0</v>
      </c>
      <c r="B388">
        <v>0</v>
      </c>
      <c r="C388">
        <v>0</v>
      </c>
      <c r="D388">
        <v>1637</v>
      </c>
      <c r="E388" t="s">
        <v>2337</v>
      </c>
      <c r="F388" t="s">
        <v>5762</v>
      </c>
      <c r="G388" t="s">
        <v>57</v>
      </c>
      <c r="H388">
        <v>1650384</v>
      </c>
      <c r="I388">
        <v>1651145</v>
      </c>
      <c r="J388" t="s">
        <v>2338</v>
      </c>
      <c r="K388">
        <v>254</v>
      </c>
      <c r="L388" t="s">
        <v>59</v>
      </c>
      <c r="M388">
        <v>5</v>
      </c>
      <c r="N388" t="str">
        <f>HYPERLINK("Gene1637-zp_tree_all.dnd", "Gene1637-tree")</f>
        <v>Gene1637-tree</v>
      </c>
      <c r="O388">
        <v>3</v>
      </c>
      <c r="P388">
        <v>2</v>
      </c>
      <c r="Q388">
        <v>3</v>
      </c>
      <c r="R388">
        <v>2</v>
      </c>
      <c r="S388">
        <v>0.4</v>
      </c>
      <c r="T388" t="s">
        <v>84</v>
      </c>
      <c r="U388" t="s">
        <v>135</v>
      </c>
      <c r="V388" t="s">
        <v>62</v>
      </c>
      <c r="W388" t="s">
        <v>62</v>
      </c>
      <c r="X388">
        <v>0</v>
      </c>
      <c r="Y388">
        <v>0</v>
      </c>
      <c r="Z388">
        <v>11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2</v>
      </c>
      <c r="AK388">
        <v>0</v>
      </c>
      <c r="AL388">
        <v>5</v>
      </c>
      <c r="AM388">
        <v>2</v>
      </c>
      <c r="AN388">
        <v>18</v>
      </c>
      <c r="AO388">
        <v>2</v>
      </c>
      <c r="AP388">
        <v>17</v>
      </c>
      <c r="AQ388">
        <v>10</v>
      </c>
      <c r="AR388" t="s">
        <v>2339</v>
      </c>
      <c r="AS388" t="s">
        <v>2340</v>
      </c>
      <c r="AT388">
        <v>1.3839999999999999</v>
      </c>
      <c r="AU388" t="s">
        <v>65</v>
      </c>
      <c r="AV388">
        <v>35</v>
      </c>
      <c r="AW388">
        <v>12</v>
      </c>
      <c r="AX388" t="s">
        <v>2341</v>
      </c>
      <c r="AY388" t="s">
        <v>2342</v>
      </c>
      <c r="AZ388" t="s">
        <v>2343</v>
      </c>
      <c r="BA388">
        <v>0.10645</v>
      </c>
      <c r="BB388">
        <v>1</v>
      </c>
      <c r="BC388" t="s">
        <v>69</v>
      </c>
      <c r="BD388">
        <v>0.69799999999999995</v>
      </c>
      <c r="BE388">
        <v>0.55800000000000005</v>
      </c>
    </row>
    <row r="389" spans="1:57">
      <c r="A389">
        <v>0</v>
      </c>
      <c r="B389">
        <v>0</v>
      </c>
      <c r="C389">
        <v>2</v>
      </c>
      <c r="D389">
        <v>853</v>
      </c>
      <c r="E389" t="s">
        <v>1290</v>
      </c>
      <c r="F389" t="s">
        <v>5762</v>
      </c>
      <c r="G389" t="s">
        <v>57</v>
      </c>
      <c r="H389">
        <v>891436</v>
      </c>
      <c r="I389">
        <v>892197</v>
      </c>
      <c r="J389" t="s">
        <v>1291</v>
      </c>
      <c r="K389">
        <v>254</v>
      </c>
      <c r="L389" t="s">
        <v>59</v>
      </c>
      <c r="M389">
        <v>5</v>
      </c>
      <c r="N389" t="str">
        <f>HYPERLINK("Gene853-zp_tree_all.dnd", "Gene853-tree")</f>
        <v>Gene853-tree</v>
      </c>
      <c r="O389">
        <v>0</v>
      </c>
      <c r="P389">
        <v>5</v>
      </c>
      <c r="Q389">
        <v>0</v>
      </c>
      <c r="R389">
        <v>4</v>
      </c>
      <c r="S389">
        <v>1</v>
      </c>
      <c r="T389" t="s">
        <v>62</v>
      </c>
      <c r="U389" t="s">
        <v>150</v>
      </c>
      <c r="V389">
        <v>3.1949999999999998</v>
      </c>
      <c r="W389" t="s">
        <v>65</v>
      </c>
      <c r="X389">
        <v>1</v>
      </c>
      <c r="Y389">
        <v>2</v>
      </c>
      <c r="Z389">
        <v>11</v>
      </c>
      <c r="AA389">
        <v>0.15384999999999999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2</v>
      </c>
      <c r="AI389">
        <v>2</v>
      </c>
      <c r="AJ389">
        <v>11</v>
      </c>
      <c r="AK389">
        <v>0.15384999999999999</v>
      </c>
      <c r="AL389">
        <v>4</v>
      </c>
      <c r="AM389">
        <v>1</v>
      </c>
      <c r="AN389">
        <v>30</v>
      </c>
      <c r="AO389">
        <v>8</v>
      </c>
      <c r="AP389">
        <v>11</v>
      </c>
      <c r="AQ389">
        <v>5</v>
      </c>
      <c r="AR389" t="s">
        <v>1292</v>
      </c>
      <c r="AS389" t="s">
        <v>1293</v>
      </c>
      <c r="AT389">
        <v>1.96</v>
      </c>
      <c r="AU389" t="s">
        <v>65</v>
      </c>
      <c r="AV389">
        <v>41</v>
      </c>
      <c r="AW389">
        <v>13</v>
      </c>
      <c r="AX389" t="s">
        <v>1294</v>
      </c>
      <c r="AY389" t="s">
        <v>1295</v>
      </c>
      <c r="AZ389" t="s">
        <v>1296</v>
      </c>
      <c r="BA389">
        <v>8.5970000000000005E-2</v>
      </c>
      <c r="BB389">
        <v>1</v>
      </c>
      <c r="BC389" t="s">
        <v>69</v>
      </c>
      <c r="BD389">
        <v>0.16800000000000001</v>
      </c>
      <c r="BE389">
        <v>-0.19</v>
      </c>
    </row>
    <row r="390" spans="1:57">
      <c r="A390">
        <v>0</v>
      </c>
      <c r="B390">
        <v>0</v>
      </c>
      <c r="C390">
        <v>0</v>
      </c>
      <c r="D390">
        <v>764</v>
      </c>
      <c r="E390" t="s">
        <v>1227</v>
      </c>
      <c r="F390" t="s">
        <v>5762</v>
      </c>
      <c r="G390" t="s">
        <v>57</v>
      </c>
      <c r="H390">
        <v>798469</v>
      </c>
      <c r="I390">
        <v>799230</v>
      </c>
      <c r="J390" t="s">
        <v>1228</v>
      </c>
      <c r="K390">
        <v>254</v>
      </c>
      <c r="L390" t="s">
        <v>59</v>
      </c>
      <c r="M390">
        <v>5</v>
      </c>
      <c r="N390" t="str">
        <f>HYPERLINK("Gene764-zp_tree_all.dnd", "Gene764-tree")</f>
        <v>Gene764-tree</v>
      </c>
      <c r="O390">
        <v>1</v>
      </c>
      <c r="P390">
        <v>4</v>
      </c>
      <c r="Q390">
        <v>1</v>
      </c>
      <c r="R390">
        <v>3</v>
      </c>
      <c r="S390">
        <v>0.75</v>
      </c>
      <c r="T390" t="s">
        <v>61</v>
      </c>
      <c r="U390" t="s">
        <v>119</v>
      </c>
      <c r="V390">
        <v>5</v>
      </c>
      <c r="W390" t="s">
        <v>286</v>
      </c>
      <c r="X390">
        <v>0</v>
      </c>
      <c r="Y390">
        <v>0</v>
      </c>
      <c r="Z390">
        <v>8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7</v>
      </c>
      <c r="AK390">
        <v>0</v>
      </c>
      <c r="AL390">
        <v>4</v>
      </c>
      <c r="AM390">
        <v>1</v>
      </c>
      <c r="AN390">
        <v>31</v>
      </c>
      <c r="AO390">
        <v>7</v>
      </c>
      <c r="AP390">
        <v>4</v>
      </c>
      <c r="AQ390">
        <v>1</v>
      </c>
      <c r="AR390" t="s">
        <v>1229</v>
      </c>
      <c r="AS390" t="s">
        <v>1230</v>
      </c>
      <c r="AT390">
        <v>0.33300000000000002</v>
      </c>
      <c r="AU390" t="s">
        <v>65</v>
      </c>
      <c r="AV390">
        <v>35</v>
      </c>
      <c r="AW390">
        <v>8</v>
      </c>
      <c r="AX390" t="s">
        <v>1231</v>
      </c>
      <c r="AY390" t="s">
        <v>1232</v>
      </c>
      <c r="AZ390" t="s">
        <v>1233</v>
      </c>
      <c r="BA390">
        <v>6.2390000000000001E-2</v>
      </c>
      <c r="BB390">
        <v>1</v>
      </c>
      <c r="BC390" t="s">
        <v>69</v>
      </c>
      <c r="BD390">
        <v>0.58099999999999996</v>
      </c>
      <c r="BE390">
        <v>0.42799999999999999</v>
      </c>
    </row>
    <row r="391" spans="1:57">
      <c r="A391">
        <v>0</v>
      </c>
      <c r="B391">
        <v>0</v>
      </c>
      <c r="C391">
        <v>0</v>
      </c>
      <c r="D391">
        <v>1709</v>
      </c>
      <c r="E391" t="s">
        <v>2527</v>
      </c>
      <c r="F391" t="s">
        <v>5762</v>
      </c>
      <c r="G391" t="s">
        <v>57</v>
      </c>
      <c r="H391">
        <v>1716493</v>
      </c>
      <c r="I391">
        <v>1717254</v>
      </c>
      <c r="J391" t="s">
        <v>2528</v>
      </c>
      <c r="K391">
        <v>254</v>
      </c>
      <c r="L391" t="s">
        <v>59</v>
      </c>
      <c r="M391">
        <v>5</v>
      </c>
      <c r="N391" t="str">
        <f>HYPERLINK("Gene1709-zp_tree_all.dnd", "Gene1709-tree")</f>
        <v>Gene1709-tree</v>
      </c>
      <c r="O391">
        <v>4</v>
      </c>
      <c r="P391">
        <v>1</v>
      </c>
      <c r="Q391">
        <v>3</v>
      </c>
      <c r="R391">
        <v>1</v>
      </c>
      <c r="S391">
        <v>0.25</v>
      </c>
      <c r="T391" t="s">
        <v>119</v>
      </c>
      <c r="U391" t="s">
        <v>61</v>
      </c>
      <c r="V391" t="s">
        <v>62</v>
      </c>
      <c r="W391" t="s">
        <v>62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1</v>
      </c>
      <c r="AK391">
        <v>0</v>
      </c>
      <c r="AL391">
        <v>4</v>
      </c>
      <c r="AM391">
        <v>1</v>
      </c>
      <c r="AN391">
        <v>15</v>
      </c>
      <c r="AO391">
        <v>1</v>
      </c>
      <c r="AP391">
        <v>11</v>
      </c>
      <c r="AQ391">
        <v>0</v>
      </c>
      <c r="AR391" t="s">
        <v>2529</v>
      </c>
      <c r="AS391" t="s">
        <v>64</v>
      </c>
      <c r="AT391">
        <v>0.53900000000000003</v>
      </c>
      <c r="AU391" t="s">
        <v>65</v>
      </c>
      <c r="AV391">
        <v>26</v>
      </c>
      <c r="AW391">
        <v>1</v>
      </c>
      <c r="AX391" t="s">
        <v>2530</v>
      </c>
      <c r="AY391" t="s">
        <v>2531</v>
      </c>
      <c r="AZ391" t="s">
        <v>2532</v>
      </c>
      <c r="BA391">
        <v>8.9499999999999996E-3</v>
      </c>
      <c r="BB391">
        <v>1</v>
      </c>
      <c r="BC391" t="s">
        <v>69</v>
      </c>
      <c r="BD391">
        <v>0.31</v>
      </c>
      <c r="BE391">
        <v>0.31</v>
      </c>
    </row>
    <row r="392" spans="1:57">
      <c r="A392">
        <v>0</v>
      </c>
      <c r="B392">
        <v>0</v>
      </c>
      <c r="C392">
        <v>0</v>
      </c>
      <c r="D392">
        <v>2500</v>
      </c>
      <c r="E392" t="s">
        <v>3277</v>
      </c>
      <c r="F392" t="s">
        <v>5762</v>
      </c>
      <c r="G392" t="s">
        <v>62</v>
      </c>
      <c r="H392">
        <v>2492032</v>
      </c>
      <c r="I392">
        <v>2492796</v>
      </c>
      <c r="J392" t="s">
        <v>3278</v>
      </c>
      <c r="K392">
        <v>255</v>
      </c>
      <c r="L392" t="s">
        <v>59</v>
      </c>
      <c r="M392">
        <v>5</v>
      </c>
      <c r="N392" t="str">
        <f>HYPERLINK("Gene2500-zp_tree_all.dnd", "Gene2500-tree")</f>
        <v>Gene2500-tree</v>
      </c>
      <c r="O392">
        <v>2</v>
      </c>
      <c r="P392">
        <v>3</v>
      </c>
      <c r="Q392">
        <v>2</v>
      </c>
      <c r="R392">
        <v>3</v>
      </c>
      <c r="S392">
        <v>0.6</v>
      </c>
      <c r="T392" t="s">
        <v>135</v>
      </c>
      <c r="U392" t="s">
        <v>84</v>
      </c>
      <c r="V392" t="s">
        <v>62</v>
      </c>
      <c r="W392" t="s">
        <v>62</v>
      </c>
      <c r="X392">
        <v>0</v>
      </c>
      <c r="Y392">
        <v>0</v>
      </c>
      <c r="Z392">
        <v>14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10</v>
      </c>
      <c r="AK392">
        <v>0</v>
      </c>
      <c r="AL392">
        <v>5</v>
      </c>
      <c r="AM392">
        <v>2</v>
      </c>
      <c r="AN392">
        <v>16</v>
      </c>
      <c r="AO392">
        <v>10</v>
      </c>
      <c r="AP392">
        <v>23</v>
      </c>
      <c r="AQ392">
        <v>5</v>
      </c>
      <c r="AR392" t="s">
        <v>3279</v>
      </c>
      <c r="AS392" t="s">
        <v>3280</v>
      </c>
      <c r="AT392">
        <v>1.1659999999999999</v>
      </c>
      <c r="AU392" t="s">
        <v>65</v>
      </c>
      <c r="AV392">
        <v>39</v>
      </c>
      <c r="AW392">
        <v>15</v>
      </c>
      <c r="AX392" t="s">
        <v>3281</v>
      </c>
      <c r="AY392" t="s">
        <v>3282</v>
      </c>
      <c r="AZ392" t="s">
        <v>3283</v>
      </c>
      <c r="BA392">
        <v>8.8459999999999997E-2</v>
      </c>
      <c r="BB392">
        <v>1</v>
      </c>
      <c r="BC392" t="s">
        <v>69</v>
      </c>
      <c r="BD392">
        <v>0.65400000000000003</v>
      </c>
      <c r="BE392">
        <v>0.222</v>
      </c>
    </row>
    <row r="393" spans="1:57">
      <c r="A393">
        <v>0</v>
      </c>
      <c r="B393">
        <v>0</v>
      </c>
      <c r="C393">
        <v>0</v>
      </c>
      <c r="D393">
        <v>3732</v>
      </c>
      <c r="E393" t="s">
        <v>5021</v>
      </c>
      <c r="F393" t="s">
        <v>5762</v>
      </c>
      <c r="G393" t="s">
        <v>62</v>
      </c>
      <c r="H393">
        <v>3708802</v>
      </c>
      <c r="I393">
        <v>3709566</v>
      </c>
      <c r="J393" t="s">
        <v>5022</v>
      </c>
      <c r="K393">
        <v>255</v>
      </c>
      <c r="L393" t="s">
        <v>59</v>
      </c>
      <c r="M393">
        <v>5</v>
      </c>
      <c r="N393" t="str">
        <f>HYPERLINK("Gene3732-zp_tree_all.dnd", "Gene3732-tree")</f>
        <v>Gene3732-tree</v>
      </c>
      <c r="O393">
        <v>3</v>
      </c>
      <c r="P393">
        <v>2</v>
      </c>
      <c r="Q393">
        <v>3</v>
      </c>
      <c r="R393">
        <v>2</v>
      </c>
      <c r="S393">
        <v>0.4</v>
      </c>
      <c r="T393" t="s">
        <v>84</v>
      </c>
      <c r="U393" t="s">
        <v>135</v>
      </c>
      <c r="V393" t="s">
        <v>62</v>
      </c>
      <c r="W393" t="s">
        <v>62</v>
      </c>
      <c r="X393">
        <v>0</v>
      </c>
      <c r="Y393">
        <v>0</v>
      </c>
      <c r="Z393">
        <v>6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3</v>
      </c>
      <c r="AK393">
        <v>0</v>
      </c>
      <c r="AL393">
        <v>5</v>
      </c>
      <c r="AM393">
        <v>2</v>
      </c>
      <c r="AN393">
        <v>29</v>
      </c>
      <c r="AO393">
        <v>3</v>
      </c>
      <c r="AP393">
        <v>23</v>
      </c>
      <c r="AQ393">
        <v>3</v>
      </c>
      <c r="AR393" t="s">
        <v>5023</v>
      </c>
      <c r="AS393" t="s">
        <v>5024</v>
      </c>
      <c r="AT393">
        <v>0.15</v>
      </c>
      <c r="AU393" t="s">
        <v>65</v>
      </c>
      <c r="AV393">
        <v>52</v>
      </c>
      <c r="AW393">
        <v>6</v>
      </c>
      <c r="AX393" t="s">
        <v>5025</v>
      </c>
      <c r="AY393" t="s">
        <v>5026</v>
      </c>
      <c r="AZ393" t="s">
        <v>5027</v>
      </c>
      <c r="BA393">
        <v>3.218E-2</v>
      </c>
      <c r="BB393">
        <v>1</v>
      </c>
      <c r="BC393" t="s">
        <v>69</v>
      </c>
      <c r="BD393">
        <v>0.52600000000000002</v>
      </c>
      <c r="BE393">
        <v>7.2999999999999995E-2</v>
      </c>
    </row>
    <row r="394" spans="1:57">
      <c r="A394">
        <v>0</v>
      </c>
      <c r="B394">
        <v>0</v>
      </c>
      <c r="C394">
        <v>0</v>
      </c>
      <c r="D394">
        <v>3060</v>
      </c>
      <c r="E394" t="s">
        <v>4118</v>
      </c>
      <c r="F394" t="s">
        <v>5762</v>
      </c>
      <c r="G394" t="s">
        <v>62</v>
      </c>
      <c r="H394">
        <v>3010664</v>
      </c>
      <c r="I394">
        <v>3011428</v>
      </c>
      <c r="J394" t="s">
        <v>4119</v>
      </c>
      <c r="K394">
        <v>255</v>
      </c>
      <c r="L394" t="s">
        <v>59</v>
      </c>
      <c r="M394">
        <v>5</v>
      </c>
      <c r="N394" t="str">
        <f>HYPERLINK("Gene3060-zp_tree_all.dnd", "Gene3060-tree")</f>
        <v>Gene3060-tree</v>
      </c>
      <c r="O394">
        <v>3</v>
      </c>
      <c r="P394">
        <v>2</v>
      </c>
      <c r="Q394">
        <v>3</v>
      </c>
      <c r="R394">
        <v>2</v>
      </c>
      <c r="S394">
        <v>0.4</v>
      </c>
      <c r="T394" t="s">
        <v>84</v>
      </c>
      <c r="U394" t="s">
        <v>135</v>
      </c>
      <c r="V394" t="s">
        <v>62</v>
      </c>
      <c r="W394" t="s">
        <v>62</v>
      </c>
      <c r="X394">
        <v>0</v>
      </c>
      <c r="Y394">
        <v>0</v>
      </c>
      <c r="Z394">
        <v>3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2</v>
      </c>
      <c r="AK394">
        <v>0</v>
      </c>
      <c r="AL394">
        <v>5</v>
      </c>
      <c r="AM394">
        <v>2</v>
      </c>
      <c r="AN394">
        <v>25</v>
      </c>
      <c r="AO394">
        <v>2</v>
      </c>
      <c r="AP394">
        <v>15</v>
      </c>
      <c r="AQ394">
        <v>1</v>
      </c>
      <c r="AR394" t="s">
        <v>4120</v>
      </c>
      <c r="AS394" t="s">
        <v>4121</v>
      </c>
      <c r="AT394">
        <v>0.14199999999999999</v>
      </c>
      <c r="AU394" t="s">
        <v>65</v>
      </c>
      <c r="AV394">
        <v>40</v>
      </c>
      <c r="AW394">
        <v>3</v>
      </c>
      <c r="AX394" t="s">
        <v>4122</v>
      </c>
      <c r="AY394" t="s">
        <v>4123</v>
      </c>
      <c r="AZ394" t="s">
        <v>4124</v>
      </c>
      <c r="BA394">
        <v>2.0820000000000002E-2</v>
      </c>
      <c r="BB394">
        <v>1</v>
      </c>
      <c r="BC394" t="s">
        <v>69</v>
      </c>
      <c r="BD394">
        <v>1.4999999999999999E-2</v>
      </c>
      <c r="BE394">
        <v>1.4999999999999999E-2</v>
      </c>
    </row>
    <row r="395" spans="1:57">
      <c r="A395">
        <v>0</v>
      </c>
      <c r="B395">
        <v>0</v>
      </c>
      <c r="C395">
        <v>0</v>
      </c>
      <c r="D395">
        <v>2443</v>
      </c>
      <c r="E395" t="s">
        <v>3213</v>
      </c>
      <c r="F395" t="s">
        <v>5762</v>
      </c>
      <c r="G395" t="s">
        <v>62</v>
      </c>
      <c r="H395">
        <v>2443432</v>
      </c>
      <c r="I395">
        <v>2444196</v>
      </c>
      <c r="J395" t="s">
        <v>3214</v>
      </c>
      <c r="K395">
        <v>255</v>
      </c>
      <c r="L395" t="s">
        <v>59</v>
      </c>
      <c r="M395">
        <v>5</v>
      </c>
      <c r="N395" t="str">
        <f>HYPERLINK("Gene2443-zp_tree_all.dnd", "Gene2443-tree")</f>
        <v>Gene2443-tree</v>
      </c>
      <c r="O395">
        <v>4</v>
      </c>
      <c r="P395">
        <v>1</v>
      </c>
      <c r="Q395">
        <v>4</v>
      </c>
      <c r="R395">
        <v>1</v>
      </c>
      <c r="S395">
        <v>0.2</v>
      </c>
      <c r="T395" t="s">
        <v>60</v>
      </c>
      <c r="U395" t="s">
        <v>61</v>
      </c>
      <c r="V395" t="s">
        <v>62</v>
      </c>
      <c r="W395" t="s">
        <v>62</v>
      </c>
      <c r="X395">
        <v>0</v>
      </c>
      <c r="Y395">
        <v>0</v>
      </c>
      <c r="Z395">
        <v>2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2</v>
      </c>
      <c r="AK395">
        <v>0</v>
      </c>
      <c r="AL395">
        <v>4</v>
      </c>
      <c r="AM395">
        <v>2</v>
      </c>
      <c r="AN395">
        <v>10</v>
      </c>
      <c r="AO395">
        <v>2</v>
      </c>
      <c r="AP395">
        <v>24</v>
      </c>
      <c r="AQ395">
        <v>0</v>
      </c>
      <c r="AR395" t="s">
        <v>3215</v>
      </c>
      <c r="AS395" t="s">
        <v>64</v>
      </c>
      <c r="AT395">
        <v>0.57999999999999996</v>
      </c>
      <c r="AU395" t="s">
        <v>65</v>
      </c>
      <c r="AV395">
        <v>34</v>
      </c>
      <c r="AW395">
        <v>2</v>
      </c>
      <c r="AX395" t="s">
        <v>3216</v>
      </c>
      <c r="AY395" t="s">
        <v>3217</v>
      </c>
      <c r="AZ395" t="s">
        <v>3218</v>
      </c>
      <c r="BA395">
        <v>1.1259999999999999E-2</v>
      </c>
      <c r="BB395">
        <v>1</v>
      </c>
      <c r="BC395" t="s">
        <v>69</v>
      </c>
      <c r="BD395">
        <v>1.0469999999999999</v>
      </c>
      <c r="BE395">
        <v>0.58799999999999997</v>
      </c>
    </row>
    <row r="396" spans="1:57">
      <c r="A396">
        <v>0</v>
      </c>
      <c r="B396">
        <v>0</v>
      </c>
      <c r="C396">
        <v>0</v>
      </c>
      <c r="D396">
        <v>2348</v>
      </c>
      <c r="E396" t="s">
        <v>3031</v>
      </c>
      <c r="F396" t="s">
        <v>5762</v>
      </c>
      <c r="G396" t="s">
        <v>62</v>
      </c>
      <c r="H396">
        <v>2363114</v>
      </c>
      <c r="I396">
        <v>2363878</v>
      </c>
      <c r="J396" t="s">
        <v>3032</v>
      </c>
      <c r="K396">
        <v>255</v>
      </c>
      <c r="L396" t="s">
        <v>112</v>
      </c>
      <c r="M396">
        <v>4</v>
      </c>
      <c r="N396" t="str">
        <f>HYPERLINK("Gene2348-zp_tree_all.dnd", "Gene2348-tree")</f>
        <v>Gene2348-tree</v>
      </c>
      <c r="O396">
        <v>3</v>
      </c>
      <c r="P396">
        <v>1</v>
      </c>
      <c r="Q396">
        <v>3</v>
      </c>
      <c r="R396">
        <v>1</v>
      </c>
      <c r="S396">
        <v>0.25</v>
      </c>
      <c r="T396" t="s">
        <v>84</v>
      </c>
      <c r="U396" t="s">
        <v>61</v>
      </c>
      <c r="V396" t="s">
        <v>62</v>
      </c>
      <c r="W396" t="s">
        <v>62</v>
      </c>
      <c r="X396">
        <v>0</v>
      </c>
      <c r="Y396">
        <v>0</v>
      </c>
      <c r="Z396">
        <v>1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1</v>
      </c>
      <c r="AK396">
        <v>0</v>
      </c>
      <c r="AL396">
        <v>4</v>
      </c>
      <c r="AM396">
        <v>1</v>
      </c>
      <c r="AN396">
        <v>42</v>
      </c>
      <c r="AO396">
        <v>1</v>
      </c>
      <c r="AP396">
        <v>4</v>
      </c>
      <c r="AQ396">
        <v>0</v>
      </c>
      <c r="AR396" t="s">
        <v>3033</v>
      </c>
      <c r="AS396" t="s">
        <v>64</v>
      </c>
      <c r="AT396">
        <v>0.441</v>
      </c>
      <c r="AU396" t="s">
        <v>65</v>
      </c>
      <c r="AV396">
        <v>46</v>
      </c>
      <c r="AW396">
        <v>1</v>
      </c>
      <c r="AX396" t="s">
        <v>3034</v>
      </c>
      <c r="AY396" t="s">
        <v>3035</v>
      </c>
      <c r="AZ396" t="s">
        <v>3036</v>
      </c>
      <c r="BA396">
        <v>7.3200000000000001E-3</v>
      </c>
      <c r="BB396">
        <v>1</v>
      </c>
      <c r="BC396" t="s">
        <v>69</v>
      </c>
      <c r="BD396">
        <v>-0.59599999999999997</v>
      </c>
      <c r="BE396">
        <v>-0.59599999999999997</v>
      </c>
    </row>
    <row r="397" spans="1:57">
      <c r="A397">
        <v>0</v>
      </c>
      <c r="B397">
        <v>0</v>
      </c>
      <c r="C397">
        <v>0</v>
      </c>
      <c r="D397">
        <v>2647</v>
      </c>
      <c r="E397" t="s">
        <v>3534</v>
      </c>
      <c r="F397" t="s">
        <v>5762</v>
      </c>
      <c r="G397" t="s">
        <v>62</v>
      </c>
      <c r="H397">
        <v>2623035</v>
      </c>
      <c r="I397">
        <v>2623802</v>
      </c>
      <c r="J397" t="s">
        <v>3535</v>
      </c>
      <c r="K397">
        <v>256</v>
      </c>
      <c r="L397" t="s">
        <v>59</v>
      </c>
      <c r="M397">
        <v>5</v>
      </c>
      <c r="N397" t="str">
        <f>HYPERLINK("Gene2647-zp_tree_all.dnd", "Gene2647-tree")</f>
        <v>Gene2647-tree</v>
      </c>
      <c r="O397">
        <v>2</v>
      </c>
      <c r="P397">
        <v>3</v>
      </c>
      <c r="Q397">
        <v>2</v>
      </c>
      <c r="R397">
        <v>3</v>
      </c>
      <c r="S397">
        <v>0.6</v>
      </c>
      <c r="T397" t="s">
        <v>135</v>
      </c>
      <c r="U397" t="s">
        <v>84</v>
      </c>
      <c r="V397" t="s">
        <v>62</v>
      </c>
      <c r="W397" t="s">
        <v>62</v>
      </c>
      <c r="X397">
        <v>0</v>
      </c>
      <c r="Y397">
        <v>0</v>
      </c>
      <c r="Z397">
        <v>18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6</v>
      </c>
      <c r="AK397">
        <v>0</v>
      </c>
      <c r="AL397">
        <v>5</v>
      </c>
      <c r="AM397">
        <v>2</v>
      </c>
      <c r="AN397">
        <v>15</v>
      </c>
      <c r="AO397">
        <v>6</v>
      </c>
      <c r="AP397">
        <v>12</v>
      </c>
      <c r="AQ397">
        <v>12</v>
      </c>
      <c r="AR397" t="s">
        <v>3536</v>
      </c>
      <c r="AS397" t="s">
        <v>3537</v>
      </c>
      <c r="AT397">
        <v>0.48299999999999998</v>
      </c>
      <c r="AU397" t="s">
        <v>65</v>
      </c>
      <c r="AV397">
        <v>27</v>
      </c>
      <c r="AW397">
        <v>18</v>
      </c>
      <c r="AX397" t="s">
        <v>3538</v>
      </c>
      <c r="AY397" t="s">
        <v>3539</v>
      </c>
      <c r="AZ397" t="s">
        <v>3540</v>
      </c>
      <c r="BA397">
        <v>0.19442000000000001</v>
      </c>
      <c r="BB397">
        <v>1</v>
      </c>
      <c r="BC397" t="s">
        <v>69</v>
      </c>
      <c r="BD397">
        <v>0.41899999999999998</v>
      </c>
      <c r="BE397">
        <v>0.41899999999999998</v>
      </c>
    </row>
    <row r="398" spans="1:57">
      <c r="A398">
        <v>0</v>
      </c>
      <c r="B398">
        <v>0</v>
      </c>
      <c r="C398">
        <v>0</v>
      </c>
      <c r="D398">
        <v>1614</v>
      </c>
      <c r="E398" t="s">
        <v>2291</v>
      </c>
      <c r="F398" t="s">
        <v>5762</v>
      </c>
      <c r="G398" t="s">
        <v>57</v>
      </c>
      <c r="H398">
        <v>1626948</v>
      </c>
      <c r="I398">
        <v>1627715</v>
      </c>
      <c r="J398" t="s">
        <v>2292</v>
      </c>
      <c r="K398">
        <v>256</v>
      </c>
      <c r="L398" t="s">
        <v>83</v>
      </c>
      <c r="M398">
        <v>4</v>
      </c>
      <c r="N398" t="str">
        <f>HYPERLINK("Gene1614-zp_tree_all.dnd", "Gene1614-tree")</f>
        <v>Gene1614-tree</v>
      </c>
      <c r="O398">
        <v>0</v>
      </c>
      <c r="P398">
        <v>4</v>
      </c>
      <c r="Q398">
        <v>0</v>
      </c>
      <c r="R398">
        <v>4</v>
      </c>
      <c r="S398">
        <v>1</v>
      </c>
      <c r="T398" t="s">
        <v>62</v>
      </c>
      <c r="U398" t="s">
        <v>60</v>
      </c>
      <c r="V398" t="s">
        <v>62</v>
      </c>
      <c r="W398" t="s">
        <v>62</v>
      </c>
      <c r="X398">
        <v>0</v>
      </c>
      <c r="Y398">
        <v>0</v>
      </c>
      <c r="Z398">
        <v>10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9</v>
      </c>
      <c r="AK398">
        <v>0</v>
      </c>
      <c r="AL398">
        <v>4</v>
      </c>
      <c r="AM398">
        <v>1</v>
      </c>
      <c r="AN398">
        <v>24</v>
      </c>
      <c r="AO398">
        <v>9</v>
      </c>
      <c r="AP398">
        <v>3</v>
      </c>
      <c r="AQ398">
        <v>1</v>
      </c>
      <c r="AR398" t="s">
        <v>2293</v>
      </c>
      <c r="AS398" t="s">
        <v>2294</v>
      </c>
      <c r="AT398">
        <v>3.6999999999999998E-2</v>
      </c>
      <c r="AU398" t="s">
        <v>65</v>
      </c>
      <c r="AV398">
        <v>27</v>
      </c>
      <c r="AW398">
        <v>10</v>
      </c>
      <c r="AX398" t="s">
        <v>2295</v>
      </c>
      <c r="AY398" t="s">
        <v>2296</v>
      </c>
      <c r="AZ398" t="s">
        <v>2297</v>
      </c>
      <c r="BA398">
        <v>0.10544000000000001</v>
      </c>
      <c r="BB398">
        <v>1</v>
      </c>
      <c r="BC398" t="s">
        <v>69</v>
      </c>
      <c r="BD398">
        <v>-0.52200000000000002</v>
      </c>
      <c r="BE398">
        <v>-0.52200000000000002</v>
      </c>
    </row>
    <row r="399" spans="1:57">
      <c r="A399">
        <v>0</v>
      </c>
      <c r="B399">
        <v>2</v>
      </c>
      <c r="C399">
        <v>2</v>
      </c>
      <c r="D399">
        <v>3927</v>
      </c>
      <c r="E399" t="s">
        <v>5285</v>
      </c>
      <c r="F399" t="s">
        <v>5762</v>
      </c>
      <c r="G399" t="s">
        <v>62</v>
      </c>
      <c r="H399">
        <v>3892354</v>
      </c>
      <c r="I399">
        <v>3893121</v>
      </c>
      <c r="J399" t="s">
        <v>5286</v>
      </c>
      <c r="K399">
        <v>256</v>
      </c>
      <c r="L399" t="s">
        <v>59</v>
      </c>
      <c r="M399">
        <v>5</v>
      </c>
      <c r="N399" t="str">
        <f>HYPERLINK("Gene3927-zp_tree_all.dnd", "Gene3927-tree")</f>
        <v>Gene3927-tree</v>
      </c>
      <c r="O399">
        <v>2</v>
      </c>
      <c r="P399">
        <v>3</v>
      </c>
      <c r="Q399">
        <v>2</v>
      </c>
      <c r="R399">
        <v>3</v>
      </c>
      <c r="S399">
        <v>0.6</v>
      </c>
      <c r="T399" t="s">
        <v>135</v>
      </c>
      <c r="U399" t="s">
        <v>84</v>
      </c>
      <c r="V399" t="s">
        <v>62</v>
      </c>
      <c r="W399" t="s">
        <v>62</v>
      </c>
      <c r="X399">
        <v>2</v>
      </c>
      <c r="Y399">
        <v>4</v>
      </c>
      <c r="Z399">
        <v>11</v>
      </c>
      <c r="AA399">
        <v>0.26667000000000002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11</v>
      </c>
      <c r="AK399">
        <v>0</v>
      </c>
      <c r="AL399">
        <v>5</v>
      </c>
      <c r="AM399">
        <v>2</v>
      </c>
      <c r="AN399">
        <v>25</v>
      </c>
      <c r="AO399">
        <v>11</v>
      </c>
      <c r="AP399">
        <v>17</v>
      </c>
      <c r="AQ399">
        <v>4</v>
      </c>
      <c r="AR399" t="s">
        <v>5287</v>
      </c>
      <c r="AS399" t="s">
        <v>5288</v>
      </c>
      <c r="AT399">
        <v>0.45800000000000002</v>
      </c>
      <c r="AU399" t="s">
        <v>65</v>
      </c>
      <c r="AV399">
        <v>42</v>
      </c>
      <c r="AW399">
        <v>15</v>
      </c>
      <c r="AX399" t="s">
        <v>5289</v>
      </c>
      <c r="AY399" t="s">
        <v>5290</v>
      </c>
      <c r="AZ399" t="s">
        <v>5291</v>
      </c>
      <c r="BA399">
        <v>8.5139999999999993E-2</v>
      </c>
      <c r="BB399">
        <v>1</v>
      </c>
      <c r="BC399" t="s">
        <v>69</v>
      </c>
      <c r="BD399">
        <v>7.6999999999999999E-2</v>
      </c>
      <c r="BE399">
        <v>-0.36799999999999999</v>
      </c>
    </row>
    <row r="400" spans="1:57">
      <c r="A400">
        <v>0</v>
      </c>
      <c r="B400">
        <v>0</v>
      </c>
      <c r="C400">
        <v>0</v>
      </c>
      <c r="D400">
        <v>4105</v>
      </c>
      <c r="E400" t="s">
        <v>5536</v>
      </c>
      <c r="F400" t="s">
        <v>5762</v>
      </c>
      <c r="G400" t="s">
        <v>62</v>
      </c>
      <c r="H400">
        <v>4070396</v>
      </c>
      <c r="I400">
        <v>4071166</v>
      </c>
      <c r="J400" t="s">
        <v>5537</v>
      </c>
      <c r="K400">
        <v>257</v>
      </c>
      <c r="L400" t="s">
        <v>83</v>
      </c>
      <c r="M400">
        <v>4</v>
      </c>
      <c r="N400" t="str">
        <f>HYPERLINK("Gene4105-zp_tree_all.dnd", "Gene4105-tree")</f>
        <v>Gene4105-tree</v>
      </c>
      <c r="O400">
        <v>2</v>
      </c>
      <c r="P400">
        <v>2</v>
      </c>
      <c r="Q400">
        <v>2</v>
      </c>
      <c r="R400">
        <v>2</v>
      </c>
      <c r="S400">
        <v>0.5</v>
      </c>
      <c r="T400" t="s">
        <v>135</v>
      </c>
      <c r="U400" t="s">
        <v>135</v>
      </c>
      <c r="V400" t="s">
        <v>62</v>
      </c>
      <c r="W400" t="s">
        <v>62</v>
      </c>
      <c r="X400">
        <v>0</v>
      </c>
      <c r="Y400">
        <v>0</v>
      </c>
      <c r="Z400">
        <v>7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2</v>
      </c>
      <c r="AK400">
        <v>0</v>
      </c>
      <c r="AL400">
        <v>4</v>
      </c>
      <c r="AM400">
        <v>1</v>
      </c>
      <c r="AN400">
        <v>24</v>
      </c>
      <c r="AO400">
        <v>2</v>
      </c>
      <c r="AP400">
        <v>7</v>
      </c>
      <c r="AQ400">
        <v>5</v>
      </c>
      <c r="AR400" t="s">
        <v>5538</v>
      </c>
      <c r="AS400" t="s">
        <v>5539</v>
      </c>
      <c r="AT400">
        <v>13.005000000000001</v>
      </c>
      <c r="AU400" t="s">
        <v>65</v>
      </c>
      <c r="AV400">
        <v>31</v>
      </c>
      <c r="AW400">
        <v>7</v>
      </c>
      <c r="AX400" t="s">
        <v>5540</v>
      </c>
      <c r="AY400" t="s">
        <v>5541</v>
      </c>
      <c r="AZ400" t="s">
        <v>5542</v>
      </c>
      <c r="BA400">
        <v>8.2189999999999999E-2</v>
      </c>
      <c r="BB400">
        <v>1</v>
      </c>
      <c r="BC400" t="s">
        <v>69</v>
      </c>
      <c r="BD400">
        <v>0.626</v>
      </c>
      <c r="BE400">
        <v>0.626</v>
      </c>
    </row>
    <row r="401" spans="1:57">
      <c r="A401">
        <v>0</v>
      </c>
      <c r="B401">
        <v>2</v>
      </c>
      <c r="C401">
        <v>0</v>
      </c>
      <c r="D401">
        <v>413</v>
      </c>
      <c r="E401" t="s">
        <v>863</v>
      </c>
      <c r="F401" t="s">
        <v>5762</v>
      </c>
      <c r="G401" t="s">
        <v>57</v>
      </c>
      <c r="H401">
        <v>457023</v>
      </c>
      <c r="I401">
        <v>457793</v>
      </c>
      <c r="J401" t="s">
        <v>864</v>
      </c>
      <c r="K401">
        <v>257</v>
      </c>
      <c r="L401" t="s">
        <v>83</v>
      </c>
      <c r="M401">
        <v>4</v>
      </c>
      <c r="N401" t="str">
        <f>HYPERLINK("Gene413-zp_tree_all.dnd", "Gene413-tree")</f>
        <v>Gene413-tree</v>
      </c>
      <c r="O401">
        <v>0</v>
      </c>
      <c r="P401">
        <v>4</v>
      </c>
      <c r="Q401">
        <v>0</v>
      </c>
      <c r="R401">
        <v>4</v>
      </c>
      <c r="S401">
        <v>1</v>
      </c>
      <c r="T401" t="s">
        <v>62</v>
      </c>
      <c r="U401" t="s">
        <v>60</v>
      </c>
      <c r="V401" t="s">
        <v>62</v>
      </c>
      <c r="W401" t="s">
        <v>62</v>
      </c>
      <c r="X401">
        <v>1</v>
      </c>
      <c r="Y401">
        <v>2</v>
      </c>
      <c r="Z401">
        <v>9</v>
      </c>
      <c r="AA401">
        <v>0.18182000000000001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2</v>
      </c>
      <c r="AH401">
        <v>0</v>
      </c>
      <c r="AI401">
        <v>2</v>
      </c>
      <c r="AJ401">
        <v>7</v>
      </c>
      <c r="AK401">
        <v>0.22222</v>
      </c>
      <c r="AL401">
        <v>4</v>
      </c>
      <c r="AM401">
        <v>1</v>
      </c>
      <c r="AN401">
        <v>40</v>
      </c>
      <c r="AO401">
        <v>9</v>
      </c>
      <c r="AP401">
        <v>0</v>
      </c>
      <c r="AQ401">
        <v>2</v>
      </c>
      <c r="AR401" t="s">
        <v>865</v>
      </c>
      <c r="AS401" t="s">
        <v>64</v>
      </c>
      <c r="AT401">
        <v>1.0029999999999999</v>
      </c>
      <c r="AU401" t="s">
        <v>65</v>
      </c>
      <c r="AV401">
        <v>40</v>
      </c>
      <c r="AW401">
        <v>11</v>
      </c>
      <c r="AX401" t="s">
        <v>866</v>
      </c>
      <c r="AY401" t="s">
        <v>867</v>
      </c>
      <c r="AZ401" t="s">
        <v>868</v>
      </c>
      <c r="BA401">
        <v>8.1049999999999997E-2</v>
      </c>
      <c r="BB401">
        <v>1</v>
      </c>
      <c r="BC401" t="s">
        <v>69</v>
      </c>
      <c r="BD401">
        <v>-0.39300000000000002</v>
      </c>
      <c r="BE401">
        <v>-0.59599999999999997</v>
      </c>
    </row>
    <row r="402" spans="1:57">
      <c r="A402">
        <v>0</v>
      </c>
      <c r="B402">
        <v>2</v>
      </c>
      <c r="C402">
        <v>0</v>
      </c>
      <c r="D402">
        <v>1622</v>
      </c>
      <c r="E402" t="s">
        <v>2304</v>
      </c>
      <c r="F402" t="s">
        <v>5762</v>
      </c>
      <c r="G402" t="s">
        <v>57</v>
      </c>
      <c r="H402">
        <v>1634061</v>
      </c>
      <c r="I402">
        <v>1634831</v>
      </c>
      <c r="J402" t="s">
        <v>2305</v>
      </c>
      <c r="K402">
        <v>257</v>
      </c>
      <c r="L402" t="s">
        <v>59</v>
      </c>
      <c r="M402">
        <v>5</v>
      </c>
      <c r="N402" t="str">
        <f>HYPERLINK("Gene1622-zp_tree_all.dnd", "Gene1622-tree")</f>
        <v>Gene1622-tree</v>
      </c>
      <c r="O402">
        <v>0</v>
      </c>
      <c r="P402">
        <v>5</v>
      </c>
      <c r="Q402">
        <v>0</v>
      </c>
      <c r="R402">
        <v>5</v>
      </c>
      <c r="S402">
        <v>1</v>
      </c>
      <c r="T402" t="s">
        <v>62</v>
      </c>
      <c r="U402" t="s">
        <v>98</v>
      </c>
      <c r="V402" t="s">
        <v>62</v>
      </c>
      <c r="W402" t="s">
        <v>62</v>
      </c>
      <c r="X402">
        <v>1</v>
      </c>
      <c r="Y402">
        <v>2</v>
      </c>
      <c r="Z402">
        <v>9</v>
      </c>
      <c r="AA402">
        <v>0.18182000000000001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2</v>
      </c>
      <c r="AH402">
        <v>0</v>
      </c>
      <c r="AI402">
        <v>2</v>
      </c>
      <c r="AJ402">
        <v>6</v>
      </c>
      <c r="AK402">
        <v>0.25</v>
      </c>
      <c r="AL402">
        <v>5</v>
      </c>
      <c r="AM402">
        <v>2</v>
      </c>
      <c r="AN402">
        <v>35</v>
      </c>
      <c r="AO402">
        <v>9</v>
      </c>
      <c r="AP402">
        <v>11</v>
      </c>
      <c r="AQ402">
        <v>3</v>
      </c>
      <c r="AR402" t="s">
        <v>2306</v>
      </c>
      <c r="AS402" t="s">
        <v>2307</v>
      </c>
      <c r="AT402">
        <v>0.48099999999999998</v>
      </c>
      <c r="AU402" t="s">
        <v>65</v>
      </c>
      <c r="AV402">
        <v>46</v>
      </c>
      <c r="AW402">
        <v>12</v>
      </c>
      <c r="AX402" t="s">
        <v>2308</v>
      </c>
      <c r="AY402" t="s">
        <v>2309</v>
      </c>
      <c r="AZ402" t="s">
        <v>2310</v>
      </c>
      <c r="BA402">
        <v>7.6600000000000001E-2</v>
      </c>
      <c r="BB402">
        <v>1</v>
      </c>
      <c r="BC402" t="s">
        <v>69</v>
      </c>
      <c r="BD402">
        <v>-0.11700000000000001</v>
      </c>
      <c r="BE402">
        <v>-0.39500000000000002</v>
      </c>
    </row>
    <row r="403" spans="1:57">
      <c r="A403">
        <v>0</v>
      </c>
      <c r="B403">
        <v>0</v>
      </c>
      <c r="C403">
        <v>2</v>
      </c>
      <c r="D403">
        <v>1602</v>
      </c>
      <c r="E403" t="s">
        <v>2268</v>
      </c>
      <c r="F403" t="s">
        <v>5762</v>
      </c>
      <c r="G403" t="s">
        <v>57</v>
      </c>
      <c r="H403">
        <v>1611654</v>
      </c>
      <c r="I403">
        <v>1612424</v>
      </c>
      <c r="J403" t="s">
        <v>2269</v>
      </c>
      <c r="K403">
        <v>257</v>
      </c>
      <c r="L403" t="s">
        <v>59</v>
      </c>
      <c r="M403">
        <v>5</v>
      </c>
      <c r="N403" t="str">
        <f>HYPERLINK("Gene1602-zp_tree_all.dnd", "Gene1602-tree")</f>
        <v>Gene1602-tree</v>
      </c>
      <c r="O403">
        <v>1</v>
      </c>
      <c r="P403">
        <v>4</v>
      </c>
      <c r="Q403">
        <v>1</v>
      </c>
      <c r="R403">
        <v>4</v>
      </c>
      <c r="S403">
        <v>0.8</v>
      </c>
      <c r="T403" t="s">
        <v>61</v>
      </c>
      <c r="U403" t="s">
        <v>60</v>
      </c>
      <c r="V403" t="s">
        <v>62</v>
      </c>
      <c r="W403" t="s">
        <v>62</v>
      </c>
      <c r="X403">
        <v>1</v>
      </c>
      <c r="Y403">
        <v>2</v>
      </c>
      <c r="Z403">
        <v>10</v>
      </c>
      <c r="AA403">
        <v>0.16667000000000001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2</v>
      </c>
      <c r="AI403">
        <v>2</v>
      </c>
      <c r="AJ403">
        <v>7</v>
      </c>
      <c r="AK403">
        <v>0.22222</v>
      </c>
      <c r="AL403">
        <v>5</v>
      </c>
      <c r="AM403">
        <v>2</v>
      </c>
      <c r="AN403">
        <v>39</v>
      </c>
      <c r="AO403">
        <v>9</v>
      </c>
      <c r="AP403">
        <v>16</v>
      </c>
      <c r="AQ403">
        <v>3</v>
      </c>
      <c r="AR403" t="s">
        <v>2270</v>
      </c>
      <c r="AS403" t="s">
        <v>2271</v>
      </c>
      <c r="AT403">
        <v>0.25600000000000001</v>
      </c>
      <c r="AU403" t="s">
        <v>65</v>
      </c>
      <c r="AV403">
        <v>55</v>
      </c>
      <c r="AW403">
        <v>12</v>
      </c>
      <c r="AX403" t="s">
        <v>2272</v>
      </c>
      <c r="AY403" t="s">
        <v>2273</v>
      </c>
      <c r="AZ403" t="s">
        <v>2274</v>
      </c>
      <c r="BA403">
        <v>5.9339999999999997E-2</v>
      </c>
      <c r="BB403">
        <v>1</v>
      </c>
      <c r="BC403" t="s">
        <v>69</v>
      </c>
      <c r="BD403">
        <v>5.0000000000000001E-3</v>
      </c>
      <c r="BE403">
        <v>-0.22700000000000001</v>
      </c>
    </row>
    <row r="404" spans="1:57">
      <c r="A404">
        <v>0</v>
      </c>
      <c r="B404">
        <v>2</v>
      </c>
      <c r="C404">
        <v>0</v>
      </c>
      <c r="D404">
        <v>293</v>
      </c>
      <c r="E404" t="s">
        <v>717</v>
      </c>
      <c r="F404" t="s">
        <v>5762</v>
      </c>
      <c r="G404" t="s">
        <v>57</v>
      </c>
      <c r="H404">
        <v>314025</v>
      </c>
      <c r="I404">
        <v>314795</v>
      </c>
      <c r="J404" t="s">
        <v>718</v>
      </c>
      <c r="K404">
        <v>257</v>
      </c>
      <c r="L404" t="s">
        <v>83</v>
      </c>
      <c r="M404">
        <v>4</v>
      </c>
      <c r="N404" t="str">
        <f>HYPERLINK("Gene293-zp_tree_all.dnd", "Gene293-tree")</f>
        <v>Gene293-tree</v>
      </c>
      <c r="O404">
        <v>2</v>
      </c>
      <c r="P404">
        <v>2</v>
      </c>
      <c r="Q404">
        <v>2</v>
      </c>
      <c r="R404">
        <v>2</v>
      </c>
      <c r="S404">
        <v>0.5</v>
      </c>
      <c r="T404" t="s">
        <v>135</v>
      </c>
      <c r="U404" t="s">
        <v>135</v>
      </c>
      <c r="V404" t="s">
        <v>62</v>
      </c>
      <c r="W404" t="s">
        <v>62</v>
      </c>
      <c r="X404">
        <v>1</v>
      </c>
      <c r="Y404">
        <v>2</v>
      </c>
      <c r="Z404">
        <v>6</v>
      </c>
      <c r="AA404">
        <v>0.25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2</v>
      </c>
      <c r="AH404">
        <v>0</v>
      </c>
      <c r="AI404">
        <v>2</v>
      </c>
      <c r="AJ404">
        <v>6</v>
      </c>
      <c r="AK404">
        <v>0.25</v>
      </c>
      <c r="AL404">
        <v>4</v>
      </c>
      <c r="AM404">
        <v>1</v>
      </c>
      <c r="AN404">
        <v>35</v>
      </c>
      <c r="AO404">
        <v>8</v>
      </c>
      <c r="AP404">
        <v>4</v>
      </c>
      <c r="AQ404">
        <v>0</v>
      </c>
      <c r="AR404" t="s">
        <v>719</v>
      </c>
      <c r="AS404" t="s">
        <v>64</v>
      </c>
      <c r="AT404">
        <v>0.54200000000000004</v>
      </c>
      <c r="AU404" t="s">
        <v>65</v>
      </c>
      <c r="AV404">
        <v>39</v>
      </c>
      <c r="AW404">
        <v>8</v>
      </c>
      <c r="AX404" t="s">
        <v>720</v>
      </c>
      <c r="AY404" t="s">
        <v>721</v>
      </c>
      <c r="AZ404" t="s">
        <v>722</v>
      </c>
      <c r="BA404">
        <v>4.9639999999999997E-2</v>
      </c>
      <c r="BB404">
        <v>1</v>
      </c>
      <c r="BC404" t="s">
        <v>69</v>
      </c>
      <c r="BD404">
        <v>-0.36099999999999999</v>
      </c>
      <c r="BE404">
        <v>-0.57699999999999996</v>
      </c>
    </row>
    <row r="405" spans="1:57">
      <c r="A405">
        <v>0</v>
      </c>
      <c r="B405">
        <v>0</v>
      </c>
      <c r="C405">
        <v>0</v>
      </c>
      <c r="D405">
        <v>3174</v>
      </c>
      <c r="E405" t="s">
        <v>4321</v>
      </c>
      <c r="F405" t="s">
        <v>5762</v>
      </c>
      <c r="G405" t="s">
        <v>62</v>
      </c>
      <c r="H405">
        <v>3131449</v>
      </c>
      <c r="I405">
        <v>3132219</v>
      </c>
      <c r="J405" t="s">
        <v>4322</v>
      </c>
      <c r="K405">
        <v>257</v>
      </c>
      <c r="L405" t="s">
        <v>83</v>
      </c>
      <c r="M405">
        <v>4</v>
      </c>
      <c r="N405" t="str">
        <f>HYPERLINK("Gene3174-zp_tree_all.dnd", "Gene3174-tree")</f>
        <v>Gene3174-tree</v>
      </c>
      <c r="O405">
        <v>1</v>
      </c>
      <c r="P405">
        <v>3</v>
      </c>
      <c r="Q405">
        <v>1</v>
      </c>
      <c r="R405">
        <v>3</v>
      </c>
      <c r="S405">
        <v>0.75</v>
      </c>
      <c r="T405" t="s">
        <v>61</v>
      </c>
      <c r="U405" t="s">
        <v>84</v>
      </c>
      <c r="V405" t="s">
        <v>62</v>
      </c>
      <c r="W405" t="s">
        <v>62</v>
      </c>
      <c r="X405">
        <v>0</v>
      </c>
      <c r="Y405">
        <v>0</v>
      </c>
      <c r="Z405">
        <v>8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7</v>
      </c>
      <c r="AK405">
        <v>0</v>
      </c>
      <c r="AL405">
        <v>4</v>
      </c>
      <c r="AM405">
        <v>1</v>
      </c>
      <c r="AN405">
        <v>46</v>
      </c>
      <c r="AO405">
        <v>7</v>
      </c>
      <c r="AP405">
        <v>0</v>
      </c>
      <c r="AQ405">
        <v>1</v>
      </c>
      <c r="AR405" t="s">
        <v>4323</v>
      </c>
      <c r="AS405" t="s">
        <v>64</v>
      </c>
      <c r="AT405">
        <v>1.004</v>
      </c>
      <c r="AU405" t="s">
        <v>65</v>
      </c>
      <c r="AV405">
        <v>46</v>
      </c>
      <c r="AW405">
        <v>8</v>
      </c>
      <c r="AX405" t="s">
        <v>4324</v>
      </c>
      <c r="AY405" t="s">
        <v>4325</v>
      </c>
      <c r="AZ405" t="s">
        <v>4326</v>
      </c>
      <c r="BA405">
        <v>4.9369999999999997E-2</v>
      </c>
      <c r="BB405">
        <v>1</v>
      </c>
      <c r="BC405" t="s">
        <v>69</v>
      </c>
      <c r="BD405">
        <v>-0.61799999999999999</v>
      </c>
      <c r="BE405">
        <v>-0.61799999999999999</v>
      </c>
    </row>
    <row r="406" spans="1:57">
      <c r="A406">
        <v>0</v>
      </c>
      <c r="B406">
        <v>0</v>
      </c>
      <c r="C406">
        <v>0</v>
      </c>
      <c r="D406">
        <v>2970</v>
      </c>
      <c r="E406" t="s">
        <v>3942</v>
      </c>
      <c r="F406" t="s">
        <v>5762</v>
      </c>
      <c r="G406" t="s">
        <v>62</v>
      </c>
      <c r="H406">
        <v>2916381</v>
      </c>
      <c r="I406">
        <v>2917151</v>
      </c>
      <c r="J406" t="s">
        <v>3943</v>
      </c>
      <c r="K406">
        <v>257</v>
      </c>
      <c r="L406" t="s">
        <v>59</v>
      </c>
      <c r="M406">
        <v>5</v>
      </c>
      <c r="N406" t="str">
        <f>HYPERLINK("Gene2970-zp_tree_all.dnd", "Gene2970-tree")</f>
        <v>Gene2970-tree</v>
      </c>
      <c r="O406">
        <v>3</v>
      </c>
      <c r="P406">
        <v>2</v>
      </c>
      <c r="Q406">
        <v>3</v>
      </c>
      <c r="R406">
        <v>2</v>
      </c>
      <c r="S406">
        <v>0.4</v>
      </c>
      <c r="T406" t="s">
        <v>84</v>
      </c>
      <c r="U406" t="s">
        <v>135</v>
      </c>
      <c r="V406" t="s">
        <v>62</v>
      </c>
      <c r="W406" t="s">
        <v>62</v>
      </c>
      <c r="X406">
        <v>0</v>
      </c>
      <c r="Y406">
        <v>0</v>
      </c>
      <c r="Z406">
        <v>5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2</v>
      </c>
      <c r="AK406">
        <v>0</v>
      </c>
      <c r="AL406">
        <v>5</v>
      </c>
      <c r="AM406">
        <v>2</v>
      </c>
      <c r="AN406">
        <v>20</v>
      </c>
      <c r="AO406">
        <v>2</v>
      </c>
      <c r="AP406">
        <v>24</v>
      </c>
      <c r="AQ406">
        <v>3</v>
      </c>
      <c r="AR406" t="s">
        <v>3944</v>
      </c>
      <c r="AS406" t="s">
        <v>3945</v>
      </c>
      <c r="AT406">
        <v>9.6000000000000002E-2</v>
      </c>
      <c r="AU406" t="s">
        <v>65</v>
      </c>
      <c r="AV406">
        <v>44</v>
      </c>
      <c r="AW406">
        <v>5</v>
      </c>
      <c r="AX406" t="s">
        <v>3946</v>
      </c>
      <c r="AY406" t="s">
        <v>3947</v>
      </c>
      <c r="AZ406" t="s">
        <v>3948</v>
      </c>
      <c r="BA406">
        <v>3.0880000000000001E-2</v>
      </c>
      <c r="BB406">
        <v>1</v>
      </c>
      <c r="BC406" t="s">
        <v>69</v>
      </c>
      <c r="BD406">
        <v>0.82599999999999996</v>
      </c>
      <c r="BE406">
        <v>0.65500000000000003</v>
      </c>
    </row>
    <row r="407" spans="1:57">
      <c r="A407">
        <v>0</v>
      </c>
      <c r="B407">
        <v>0</v>
      </c>
      <c r="C407">
        <v>0</v>
      </c>
      <c r="D407">
        <v>70</v>
      </c>
      <c r="E407" t="s">
        <v>269</v>
      </c>
      <c r="F407" t="s">
        <v>5762</v>
      </c>
      <c r="G407" t="s">
        <v>57</v>
      </c>
      <c r="H407">
        <v>79092</v>
      </c>
      <c r="I407">
        <v>79865</v>
      </c>
      <c r="J407" t="s">
        <v>270</v>
      </c>
      <c r="K407">
        <v>258</v>
      </c>
      <c r="L407" t="s">
        <v>59</v>
      </c>
      <c r="M407">
        <v>5</v>
      </c>
      <c r="N407" t="str">
        <f>HYPERLINK("Gene70-zp_tree_all.dnd", "Gene70-tree")</f>
        <v>Gene70-tree</v>
      </c>
      <c r="O407">
        <v>4</v>
      </c>
      <c r="P407">
        <v>1</v>
      </c>
      <c r="Q407">
        <v>4</v>
      </c>
      <c r="R407">
        <v>1</v>
      </c>
      <c r="S407">
        <v>0.2</v>
      </c>
      <c r="T407" t="s">
        <v>60</v>
      </c>
      <c r="U407" t="s">
        <v>61</v>
      </c>
      <c r="V407" t="s">
        <v>62</v>
      </c>
      <c r="W407" t="s">
        <v>62</v>
      </c>
      <c r="X407">
        <v>0</v>
      </c>
      <c r="Y407">
        <v>0</v>
      </c>
      <c r="Z407">
        <v>2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1</v>
      </c>
      <c r="AK407">
        <v>0</v>
      </c>
      <c r="AL407">
        <v>5</v>
      </c>
      <c r="AM407">
        <v>2</v>
      </c>
      <c r="AN407">
        <v>18</v>
      </c>
      <c r="AO407">
        <v>1</v>
      </c>
      <c r="AP407">
        <v>24</v>
      </c>
      <c r="AQ407">
        <v>1</v>
      </c>
      <c r="AR407" t="s">
        <v>271</v>
      </c>
      <c r="AS407" t="s">
        <v>272</v>
      </c>
      <c r="AT407">
        <v>0.14399999999999999</v>
      </c>
      <c r="AU407" t="s">
        <v>65</v>
      </c>
      <c r="AV407">
        <v>42</v>
      </c>
      <c r="AW407">
        <v>2</v>
      </c>
      <c r="AX407" t="s">
        <v>273</v>
      </c>
      <c r="AY407" t="s">
        <v>274</v>
      </c>
      <c r="AZ407" t="s">
        <v>275</v>
      </c>
      <c r="BA407">
        <v>1.3089999999999999E-2</v>
      </c>
      <c r="BB407">
        <v>1</v>
      </c>
      <c r="BC407" t="s">
        <v>69</v>
      </c>
      <c r="BD407">
        <v>0.84899999999999998</v>
      </c>
      <c r="BE407">
        <v>0.65800000000000003</v>
      </c>
    </row>
    <row r="408" spans="1:57">
      <c r="A408">
        <v>0</v>
      </c>
      <c r="B408">
        <v>0</v>
      </c>
      <c r="C408">
        <v>0</v>
      </c>
      <c r="D408">
        <v>1678</v>
      </c>
      <c r="E408" t="s">
        <v>2449</v>
      </c>
      <c r="F408" t="s">
        <v>5762</v>
      </c>
      <c r="G408" t="s">
        <v>57</v>
      </c>
      <c r="H408">
        <v>1690119</v>
      </c>
      <c r="I408">
        <v>1690895</v>
      </c>
      <c r="J408" t="s">
        <v>2450</v>
      </c>
      <c r="K408">
        <v>259</v>
      </c>
      <c r="L408" t="s">
        <v>59</v>
      </c>
      <c r="M408">
        <v>5</v>
      </c>
      <c r="N408" t="str">
        <f>HYPERLINK("Gene1678-zp_tree_all.dnd", "Gene1678-tree")</f>
        <v>Gene1678-tree</v>
      </c>
      <c r="O408">
        <v>5</v>
      </c>
      <c r="P408">
        <v>0</v>
      </c>
      <c r="Q408">
        <v>5</v>
      </c>
      <c r="R408">
        <v>0</v>
      </c>
      <c r="S408">
        <v>0</v>
      </c>
      <c r="T408" t="s">
        <v>98</v>
      </c>
      <c r="U408" t="s">
        <v>62</v>
      </c>
      <c r="V408" t="s">
        <v>62</v>
      </c>
      <c r="W408" t="s">
        <v>62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4</v>
      </c>
      <c r="AM408">
        <v>2</v>
      </c>
      <c r="AN408">
        <v>15</v>
      </c>
      <c r="AO408">
        <v>0</v>
      </c>
      <c r="AP408">
        <v>33</v>
      </c>
      <c r="AQ408">
        <v>0</v>
      </c>
      <c r="AR408" t="s">
        <v>64</v>
      </c>
      <c r="AS408" t="s">
        <v>64</v>
      </c>
      <c r="AT408">
        <v>0</v>
      </c>
      <c r="AU408" t="s">
        <v>65</v>
      </c>
      <c r="AV408">
        <v>48</v>
      </c>
      <c r="AW408">
        <v>0</v>
      </c>
      <c r="AX408" t="s">
        <v>2451</v>
      </c>
      <c r="AY408" t="s">
        <v>2452</v>
      </c>
      <c r="AZ408" t="s">
        <v>64</v>
      </c>
      <c r="BA408">
        <v>0</v>
      </c>
      <c r="BB408">
        <v>1</v>
      </c>
      <c r="BC408" t="s">
        <v>69</v>
      </c>
      <c r="BD408">
        <v>1.0309999999999999</v>
      </c>
      <c r="BE408">
        <v>0.86</v>
      </c>
    </row>
    <row r="409" spans="1:57">
      <c r="A409">
        <v>0</v>
      </c>
      <c r="B409">
        <v>0</v>
      </c>
      <c r="C409">
        <v>2</v>
      </c>
      <c r="D409">
        <v>1715</v>
      </c>
      <c r="E409" t="s">
        <v>2555</v>
      </c>
      <c r="F409" t="s">
        <v>5762</v>
      </c>
      <c r="G409" t="s">
        <v>57</v>
      </c>
      <c r="H409">
        <v>1721214</v>
      </c>
      <c r="I409">
        <v>1721993</v>
      </c>
      <c r="J409" t="s">
        <v>2556</v>
      </c>
      <c r="K409">
        <v>260</v>
      </c>
      <c r="L409" t="s">
        <v>59</v>
      </c>
      <c r="M409">
        <v>5</v>
      </c>
      <c r="N409" t="str">
        <f>HYPERLINK("Gene1715-zp_tree_all.dnd", "Gene1715-tree")</f>
        <v>Gene1715-tree</v>
      </c>
      <c r="O409">
        <v>3</v>
      </c>
      <c r="P409">
        <v>2</v>
      </c>
      <c r="Q409">
        <v>3</v>
      </c>
      <c r="R409">
        <v>2</v>
      </c>
      <c r="S409">
        <v>0.4</v>
      </c>
      <c r="T409" t="s">
        <v>84</v>
      </c>
      <c r="U409" t="s">
        <v>135</v>
      </c>
      <c r="V409" t="s">
        <v>62</v>
      </c>
      <c r="W409" t="s">
        <v>62</v>
      </c>
      <c r="X409">
        <v>1</v>
      </c>
      <c r="Y409">
        <v>2</v>
      </c>
      <c r="Z409">
        <v>6</v>
      </c>
      <c r="AA409">
        <v>0.25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3</v>
      </c>
      <c r="AK409">
        <v>0</v>
      </c>
      <c r="AL409">
        <v>5</v>
      </c>
      <c r="AM409">
        <v>1</v>
      </c>
      <c r="AN409">
        <v>11</v>
      </c>
      <c r="AO409">
        <v>3</v>
      </c>
      <c r="AP409">
        <v>19</v>
      </c>
      <c r="AQ409">
        <v>5</v>
      </c>
      <c r="AR409" t="s">
        <v>2557</v>
      </c>
      <c r="AS409" t="s">
        <v>2558</v>
      </c>
      <c r="AT409">
        <v>6.6000000000000003E-2</v>
      </c>
      <c r="AU409" t="s">
        <v>65</v>
      </c>
      <c r="AV409">
        <v>30</v>
      </c>
      <c r="AW409">
        <v>8</v>
      </c>
      <c r="AX409" t="s">
        <v>2559</v>
      </c>
      <c r="AY409" t="s">
        <v>2560</v>
      </c>
      <c r="AZ409" t="s">
        <v>2561</v>
      </c>
      <c r="BA409">
        <v>6.6970000000000002E-2</v>
      </c>
      <c r="BB409">
        <v>1</v>
      </c>
      <c r="BC409" t="s">
        <v>69</v>
      </c>
      <c r="BD409">
        <v>0.72499999999999998</v>
      </c>
      <c r="BE409">
        <v>0.72499999999999998</v>
      </c>
    </row>
    <row r="410" spans="1:57">
      <c r="A410">
        <v>0</v>
      </c>
      <c r="B410">
        <v>0</v>
      </c>
      <c r="C410">
        <v>0</v>
      </c>
      <c r="D410">
        <v>1594</v>
      </c>
      <c r="E410" t="s">
        <v>2230</v>
      </c>
      <c r="F410" t="s">
        <v>5762</v>
      </c>
      <c r="G410" t="s">
        <v>57</v>
      </c>
      <c r="H410">
        <v>1605630</v>
      </c>
      <c r="I410">
        <v>1606409</v>
      </c>
      <c r="J410" t="s">
        <v>2231</v>
      </c>
      <c r="K410">
        <v>260</v>
      </c>
      <c r="L410" t="s">
        <v>59</v>
      </c>
      <c r="M410">
        <v>5</v>
      </c>
      <c r="N410" t="str">
        <f>HYPERLINK("Gene1594-zp_tree_all.dnd", "Gene1594-tree")</f>
        <v>Gene1594-tree</v>
      </c>
      <c r="O410">
        <v>5</v>
      </c>
      <c r="P410">
        <v>0</v>
      </c>
      <c r="Q410">
        <v>5</v>
      </c>
      <c r="R410">
        <v>0</v>
      </c>
      <c r="S410">
        <v>0</v>
      </c>
      <c r="T410" t="s">
        <v>98</v>
      </c>
      <c r="U410" t="s">
        <v>62</v>
      </c>
      <c r="V410" t="s">
        <v>62</v>
      </c>
      <c r="W410" t="s">
        <v>62</v>
      </c>
      <c r="X410">
        <v>0</v>
      </c>
      <c r="Y410">
        <v>0</v>
      </c>
      <c r="Z410">
        <v>1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5</v>
      </c>
      <c r="AM410">
        <v>2</v>
      </c>
      <c r="AN410">
        <v>14</v>
      </c>
      <c r="AO410">
        <v>0</v>
      </c>
      <c r="AP410">
        <v>15</v>
      </c>
      <c r="AQ410">
        <v>1</v>
      </c>
      <c r="AR410" t="s">
        <v>64</v>
      </c>
      <c r="AS410" t="s">
        <v>2232</v>
      </c>
      <c r="AT410">
        <v>0.91</v>
      </c>
      <c r="AU410" t="s">
        <v>65</v>
      </c>
      <c r="AV410">
        <v>29</v>
      </c>
      <c r="AW410">
        <v>1</v>
      </c>
      <c r="AX410" t="s">
        <v>2233</v>
      </c>
      <c r="AY410" t="s">
        <v>2234</v>
      </c>
      <c r="AZ410" t="s">
        <v>2235</v>
      </c>
      <c r="BA410">
        <v>1.03E-2</v>
      </c>
      <c r="BB410">
        <v>1</v>
      </c>
      <c r="BC410" t="s">
        <v>69</v>
      </c>
      <c r="BD410">
        <v>0.41499999999999998</v>
      </c>
      <c r="BE410">
        <v>0.41499999999999998</v>
      </c>
    </row>
    <row r="411" spans="1:57">
      <c r="A411">
        <v>0</v>
      </c>
      <c r="B411">
        <v>2</v>
      </c>
      <c r="C411">
        <v>0</v>
      </c>
      <c r="D411">
        <v>4256</v>
      </c>
      <c r="E411" t="s">
        <v>5739</v>
      </c>
      <c r="F411" t="s">
        <v>5762</v>
      </c>
      <c r="G411" t="s">
        <v>62</v>
      </c>
      <c r="H411">
        <v>4213826</v>
      </c>
      <c r="I411">
        <v>4214608</v>
      </c>
      <c r="J411" t="s">
        <v>5740</v>
      </c>
      <c r="K411">
        <v>261</v>
      </c>
      <c r="L411" t="s">
        <v>59</v>
      </c>
      <c r="M411">
        <v>5</v>
      </c>
      <c r="N411" t="str">
        <f>HYPERLINK("Gene4256-zp_tree_all.dnd", "Gene4256-tree")</f>
        <v>Gene4256-tree</v>
      </c>
      <c r="O411">
        <v>4</v>
      </c>
      <c r="P411">
        <v>1</v>
      </c>
      <c r="Q411">
        <v>4</v>
      </c>
      <c r="R411">
        <v>1</v>
      </c>
      <c r="S411">
        <v>0.2</v>
      </c>
      <c r="T411" t="s">
        <v>60</v>
      </c>
      <c r="U411" t="s">
        <v>61</v>
      </c>
      <c r="V411" t="s">
        <v>62</v>
      </c>
      <c r="W411" t="s">
        <v>62</v>
      </c>
      <c r="X411">
        <v>1</v>
      </c>
      <c r="Y411">
        <v>2</v>
      </c>
      <c r="Z411">
        <v>2</v>
      </c>
      <c r="AA411">
        <v>0.5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2</v>
      </c>
      <c r="AK411">
        <v>0</v>
      </c>
      <c r="AL411">
        <v>5</v>
      </c>
      <c r="AM411">
        <v>2</v>
      </c>
      <c r="AN411">
        <v>13</v>
      </c>
      <c r="AO411">
        <v>2</v>
      </c>
      <c r="AP411">
        <v>16</v>
      </c>
      <c r="AQ411">
        <v>2</v>
      </c>
      <c r="AR411" t="s">
        <v>5741</v>
      </c>
      <c r="AS411" t="s">
        <v>5742</v>
      </c>
      <c r="AT411">
        <v>0.111</v>
      </c>
      <c r="AU411" t="s">
        <v>65</v>
      </c>
      <c r="AV411">
        <v>29</v>
      </c>
      <c r="AW411">
        <v>4</v>
      </c>
      <c r="AX411" t="s">
        <v>5743</v>
      </c>
      <c r="AY411" t="s">
        <v>5744</v>
      </c>
      <c r="AZ411" t="s">
        <v>5745</v>
      </c>
      <c r="BA411">
        <v>2.7179999999999999E-2</v>
      </c>
      <c r="BB411">
        <v>1</v>
      </c>
      <c r="BC411" t="s">
        <v>69</v>
      </c>
      <c r="BD411">
        <v>0.50700000000000001</v>
      </c>
      <c r="BE411">
        <v>0.50700000000000001</v>
      </c>
    </row>
    <row r="412" spans="1:57">
      <c r="A412">
        <v>0</v>
      </c>
      <c r="B412">
        <v>0</v>
      </c>
      <c r="C412">
        <v>0</v>
      </c>
      <c r="D412">
        <v>3391</v>
      </c>
      <c r="E412" t="s">
        <v>4635</v>
      </c>
      <c r="F412" t="s">
        <v>5762</v>
      </c>
      <c r="G412" t="s">
        <v>62</v>
      </c>
      <c r="H412">
        <v>3359998</v>
      </c>
      <c r="I412">
        <v>3360780</v>
      </c>
      <c r="J412" t="s">
        <v>4636</v>
      </c>
      <c r="K412">
        <v>261</v>
      </c>
      <c r="L412" t="s">
        <v>59</v>
      </c>
      <c r="M412">
        <v>5</v>
      </c>
      <c r="N412" t="str">
        <f>HYPERLINK("Gene3391-zp_tree_all.dnd", "Gene3391-tree")</f>
        <v>Gene3391-tree</v>
      </c>
      <c r="O412">
        <v>3</v>
      </c>
      <c r="P412">
        <v>2</v>
      </c>
      <c r="Q412">
        <v>3</v>
      </c>
      <c r="R412">
        <v>2</v>
      </c>
      <c r="S412">
        <v>0.4</v>
      </c>
      <c r="T412" t="s">
        <v>84</v>
      </c>
      <c r="U412" t="s">
        <v>135</v>
      </c>
      <c r="V412" t="s">
        <v>62</v>
      </c>
      <c r="W412" t="s">
        <v>62</v>
      </c>
      <c r="X412">
        <v>0</v>
      </c>
      <c r="Y412">
        <v>0</v>
      </c>
      <c r="Z412">
        <v>2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2</v>
      </c>
      <c r="AK412">
        <v>0</v>
      </c>
      <c r="AL412">
        <v>4</v>
      </c>
      <c r="AM412">
        <v>2</v>
      </c>
      <c r="AN412">
        <v>15</v>
      </c>
      <c r="AO412">
        <v>2</v>
      </c>
      <c r="AP412">
        <v>16</v>
      </c>
      <c r="AQ412">
        <v>0</v>
      </c>
      <c r="AR412" t="s">
        <v>4637</v>
      </c>
      <c r="AS412" t="s">
        <v>64</v>
      </c>
      <c r="AT412">
        <v>1.1910000000000001</v>
      </c>
      <c r="AU412" t="s">
        <v>65</v>
      </c>
      <c r="AV412">
        <v>31</v>
      </c>
      <c r="AW412">
        <v>2</v>
      </c>
      <c r="AX412" t="s">
        <v>4638</v>
      </c>
      <c r="AY412" t="s">
        <v>4639</v>
      </c>
      <c r="AZ412" t="s">
        <v>4526</v>
      </c>
      <c r="BA412">
        <v>1.4019999999999999E-2</v>
      </c>
      <c r="BB412">
        <v>1</v>
      </c>
      <c r="BC412" t="s">
        <v>69</v>
      </c>
      <c r="BD412">
        <v>0.51900000000000002</v>
      </c>
      <c r="BE412">
        <v>0</v>
      </c>
    </row>
    <row r="413" spans="1:57">
      <c r="A413">
        <v>0</v>
      </c>
      <c r="B413">
        <v>0</v>
      </c>
      <c r="C413">
        <v>0</v>
      </c>
      <c r="D413">
        <v>3806</v>
      </c>
      <c r="E413" t="s">
        <v>5087</v>
      </c>
      <c r="F413" t="s">
        <v>5762</v>
      </c>
      <c r="G413" t="s">
        <v>62</v>
      </c>
      <c r="H413">
        <v>3773369</v>
      </c>
      <c r="I413">
        <v>3774154</v>
      </c>
      <c r="J413" t="s">
        <v>5088</v>
      </c>
      <c r="K413">
        <v>262</v>
      </c>
      <c r="L413" t="s">
        <v>83</v>
      </c>
      <c r="M413">
        <v>4</v>
      </c>
      <c r="N413" t="str">
        <f>HYPERLINK("Gene3806-zp_tree_all.dnd", "Gene3806-tree")</f>
        <v>Gene3806-tree</v>
      </c>
      <c r="O413">
        <v>1</v>
      </c>
      <c r="P413">
        <v>3</v>
      </c>
      <c r="Q413">
        <v>1</v>
      </c>
      <c r="R413">
        <v>3</v>
      </c>
      <c r="S413">
        <v>0.75</v>
      </c>
      <c r="T413" t="s">
        <v>61</v>
      </c>
      <c r="U413" t="s">
        <v>84</v>
      </c>
      <c r="V413" t="s">
        <v>62</v>
      </c>
      <c r="W413" t="s">
        <v>62</v>
      </c>
      <c r="X413">
        <v>0</v>
      </c>
      <c r="Y413">
        <v>0</v>
      </c>
      <c r="Z413">
        <v>5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5</v>
      </c>
      <c r="AK413">
        <v>0</v>
      </c>
      <c r="AL413">
        <v>3</v>
      </c>
      <c r="AM413">
        <v>1</v>
      </c>
      <c r="AN413">
        <v>36</v>
      </c>
      <c r="AO413">
        <v>4</v>
      </c>
      <c r="AP413">
        <v>1</v>
      </c>
      <c r="AQ413">
        <v>1</v>
      </c>
      <c r="AR413" t="s">
        <v>5089</v>
      </c>
      <c r="AS413" t="s">
        <v>5090</v>
      </c>
      <c r="AT413">
        <v>6.77</v>
      </c>
      <c r="AU413" t="s">
        <v>65</v>
      </c>
      <c r="AV413">
        <v>37</v>
      </c>
      <c r="AW413">
        <v>5</v>
      </c>
      <c r="AX413" t="s">
        <v>5091</v>
      </c>
      <c r="AY413" t="s">
        <v>5092</v>
      </c>
      <c r="AZ413" t="s">
        <v>5093</v>
      </c>
      <c r="BA413">
        <v>3.7879999999999997E-2</v>
      </c>
      <c r="BB413">
        <v>1</v>
      </c>
      <c r="BC413" t="s">
        <v>69</v>
      </c>
      <c r="BD413">
        <v>-0.55600000000000005</v>
      </c>
      <c r="BE413">
        <v>-0.78800000000000003</v>
      </c>
    </row>
    <row r="414" spans="1:57">
      <c r="A414">
        <v>0</v>
      </c>
      <c r="B414">
        <v>0</v>
      </c>
      <c r="C414">
        <v>0</v>
      </c>
      <c r="D414">
        <v>482</v>
      </c>
      <c r="E414" t="s">
        <v>964</v>
      </c>
      <c r="F414" t="s">
        <v>5762</v>
      </c>
      <c r="G414" t="s">
        <v>57</v>
      </c>
      <c r="H414">
        <v>522862</v>
      </c>
      <c r="I414">
        <v>523647</v>
      </c>
      <c r="J414" t="s">
        <v>965</v>
      </c>
      <c r="K414">
        <v>262</v>
      </c>
      <c r="L414" t="s">
        <v>83</v>
      </c>
      <c r="M414">
        <v>4</v>
      </c>
      <c r="N414" t="str">
        <f>HYPERLINK("Gene482-zp_tree_all.dnd", "Gene482-tree")</f>
        <v>Gene482-tree</v>
      </c>
      <c r="O414">
        <v>3</v>
      </c>
      <c r="P414">
        <v>1</v>
      </c>
      <c r="Q414">
        <v>3</v>
      </c>
      <c r="R414">
        <v>1</v>
      </c>
      <c r="S414">
        <v>0.25</v>
      </c>
      <c r="T414" t="s">
        <v>84</v>
      </c>
      <c r="U414" t="s">
        <v>61</v>
      </c>
      <c r="V414" t="s">
        <v>62</v>
      </c>
      <c r="W414" t="s">
        <v>62</v>
      </c>
      <c r="X414">
        <v>0</v>
      </c>
      <c r="Y414">
        <v>0</v>
      </c>
      <c r="Z414">
        <v>4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4</v>
      </c>
      <c r="AK414">
        <v>0</v>
      </c>
      <c r="AL414">
        <v>4</v>
      </c>
      <c r="AM414">
        <v>1</v>
      </c>
      <c r="AN414">
        <v>29</v>
      </c>
      <c r="AO414">
        <v>4</v>
      </c>
      <c r="AP414">
        <v>6</v>
      </c>
      <c r="AQ414">
        <v>0</v>
      </c>
      <c r="AR414" t="s">
        <v>966</v>
      </c>
      <c r="AS414" t="s">
        <v>64</v>
      </c>
      <c r="AT414">
        <v>0.39400000000000002</v>
      </c>
      <c r="AU414" t="s">
        <v>65</v>
      </c>
      <c r="AV414">
        <v>35</v>
      </c>
      <c r="AW414">
        <v>4</v>
      </c>
      <c r="AX414" t="s">
        <v>967</v>
      </c>
      <c r="AY414" t="s">
        <v>968</v>
      </c>
      <c r="AZ414" t="s">
        <v>969</v>
      </c>
      <c r="BA414">
        <v>2.7539999999999999E-2</v>
      </c>
      <c r="BB414">
        <v>1</v>
      </c>
      <c r="BC414" t="s">
        <v>69</v>
      </c>
      <c r="BD414">
        <v>-0.377</v>
      </c>
      <c r="BE414">
        <v>-0.377</v>
      </c>
    </row>
    <row r="415" spans="1:57">
      <c r="A415">
        <v>0</v>
      </c>
      <c r="B415">
        <v>0</v>
      </c>
      <c r="C415">
        <v>0</v>
      </c>
      <c r="D415">
        <v>1585</v>
      </c>
      <c r="E415" t="s">
        <v>2205</v>
      </c>
      <c r="F415" t="s">
        <v>5762</v>
      </c>
      <c r="G415" t="s">
        <v>57</v>
      </c>
      <c r="H415">
        <v>1593704</v>
      </c>
      <c r="I415">
        <v>1594492</v>
      </c>
      <c r="J415" t="s">
        <v>235</v>
      </c>
      <c r="K415">
        <v>263</v>
      </c>
      <c r="L415" t="s">
        <v>59</v>
      </c>
      <c r="M415">
        <v>5</v>
      </c>
      <c r="N415" t="str">
        <f>HYPERLINK("Gene1585-zp_tree_all.dnd", "Gene1585-tree")</f>
        <v>Gene1585-tree</v>
      </c>
      <c r="O415">
        <v>4</v>
      </c>
      <c r="P415">
        <v>1</v>
      </c>
      <c r="Q415">
        <v>4</v>
      </c>
      <c r="R415">
        <v>1</v>
      </c>
      <c r="S415">
        <v>0.2</v>
      </c>
      <c r="T415" t="s">
        <v>60</v>
      </c>
      <c r="U415" t="s">
        <v>61</v>
      </c>
      <c r="V415" t="s">
        <v>62</v>
      </c>
      <c r="W415" t="s">
        <v>62</v>
      </c>
      <c r="X415">
        <v>0</v>
      </c>
      <c r="Y415">
        <v>0</v>
      </c>
      <c r="Z415">
        <v>4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1</v>
      </c>
      <c r="AK415">
        <v>0</v>
      </c>
      <c r="AL415">
        <v>5</v>
      </c>
      <c r="AM415">
        <v>2</v>
      </c>
      <c r="AN415">
        <v>18</v>
      </c>
      <c r="AO415">
        <v>1</v>
      </c>
      <c r="AP415">
        <v>26</v>
      </c>
      <c r="AQ415">
        <v>3</v>
      </c>
      <c r="AR415" t="s">
        <v>2206</v>
      </c>
      <c r="AS415" t="s">
        <v>2207</v>
      </c>
      <c r="AT415">
        <v>0.28599999999999998</v>
      </c>
      <c r="AU415" t="s">
        <v>65</v>
      </c>
      <c r="AV415">
        <v>44</v>
      </c>
      <c r="AW415">
        <v>4</v>
      </c>
      <c r="AX415" t="s">
        <v>2208</v>
      </c>
      <c r="AY415" t="s">
        <v>2209</v>
      </c>
      <c r="AZ415" t="s">
        <v>2210</v>
      </c>
      <c r="BA415">
        <v>2.3460000000000002E-2</v>
      </c>
      <c r="BB415">
        <v>1</v>
      </c>
      <c r="BC415" t="s">
        <v>69</v>
      </c>
      <c r="BD415">
        <v>0.94199999999999995</v>
      </c>
      <c r="BE415">
        <v>0.48799999999999999</v>
      </c>
    </row>
    <row r="416" spans="1:57">
      <c r="A416">
        <v>0</v>
      </c>
      <c r="B416">
        <v>0</v>
      </c>
      <c r="C416">
        <v>0</v>
      </c>
      <c r="D416">
        <v>3486</v>
      </c>
      <c r="E416" t="s">
        <v>4762</v>
      </c>
      <c r="F416" t="s">
        <v>5762</v>
      </c>
      <c r="G416" t="s">
        <v>62</v>
      </c>
      <c r="H416">
        <v>3449735</v>
      </c>
      <c r="I416">
        <v>3450526</v>
      </c>
      <c r="J416" t="s">
        <v>4763</v>
      </c>
      <c r="K416">
        <v>264</v>
      </c>
      <c r="L416" t="s">
        <v>59</v>
      </c>
      <c r="M416">
        <v>5</v>
      </c>
      <c r="N416" t="str">
        <f>HYPERLINK("Gene3486-zp_tree_all.dnd", "Gene3486-tree")</f>
        <v>Gene3486-tree</v>
      </c>
      <c r="O416">
        <v>3</v>
      </c>
      <c r="P416">
        <v>2</v>
      </c>
      <c r="Q416">
        <v>3</v>
      </c>
      <c r="R416">
        <v>2</v>
      </c>
      <c r="S416">
        <v>0.4</v>
      </c>
      <c r="T416" t="s">
        <v>84</v>
      </c>
      <c r="U416" t="s">
        <v>135</v>
      </c>
      <c r="V416" t="s">
        <v>62</v>
      </c>
      <c r="W416" t="s">
        <v>62</v>
      </c>
      <c r="X416">
        <v>0</v>
      </c>
      <c r="Y416">
        <v>0</v>
      </c>
      <c r="Z416">
        <v>8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5</v>
      </c>
      <c r="AK416">
        <v>0</v>
      </c>
      <c r="AL416">
        <v>5</v>
      </c>
      <c r="AM416">
        <v>2</v>
      </c>
      <c r="AN416">
        <v>41</v>
      </c>
      <c r="AO416">
        <v>5</v>
      </c>
      <c r="AP416">
        <v>11</v>
      </c>
      <c r="AQ416">
        <v>3</v>
      </c>
      <c r="AR416" t="s">
        <v>4764</v>
      </c>
      <c r="AS416" t="s">
        <v>4765</v>
      </c>
      <c r="AT416">
        <v>0.44600000000000001</v>
      </c>
      <c r="AU416" t="s">
        <v>65</v>
      </c>
      <c r="AV416">
        <v>52</v>
      </c>
      <c r="AW416">
        <v>8</v>
      </c>
      <c r="AX416" t="s">
        <v>4766</v>
      </c>
      <c r="AY416" t="s">
        <v>4767</v>
      </c>
      <c r="AZ416" t="s">
        <v>4768</v>
      </c>
      <c r="BA416">
        <v>4.8059999999999999E-2</v>
      </c>
      <c r="BB416">
        <v>1</v>
      </c>
      <c r="BC416" t="s">
        <v>69</v>
      </c>
      <c r="BD416">
        <v>-0.34799999999999998</v>
      </c>
      <c r="BE416">
        <v>-0.59699999999999998</v>
      </c>
    </row>
    <row r="417" spans="1:57">
      <c r="A417">
        <v>0</v>
      </c>
      <c r="B417">
        <v>0</v>
      </c>
      <c r="C417">
        <v>0</v>
      </c>
      <c r="D417">
        <v>1199</v>
      </c>
      <c r="E417" t="s">
        <v>1695</v>
      </c>
      <c r="F417" t="s">
        <v>5762</v>
      </c>
      <c r="G417" t="s">
        <v>57</v>
      </c>
      <c r="H417">
        <v>1237660</v>
      </c>
      <c r="I417">
        <v>1238457</v>
      </c>
      <c r="J417" t="s">
        <v>1696</v>
      </c>
      <c r="K417">
        <v>266</v>
      </c>
      <c r="L417" t="s">
        <v>83</v>
      </c>
      <c r="M417">
        <v>4</v>
      </c>
      <c r="N417" t="str">
        <f>HYPERLINK("Gene1199-zp_tree_all.dnd", "Gene1199-tree")</f>
        <v>Gene1199-tree</v>
      </c>
      <c r="O417">
        <v>3</v>
      </c>
      <c r="P417">
        <v>1</v>
      </c>
      <c r="Q417">
        <v>3</v>
      </c>
      <c r="R417">
        <v>1</v>
      </c>
      <c r="S417">
        <v>0.25</v>
      </c>
      <c r="T417" t="s">
        <v>84</v>
      </c>
      <c r="U417" t="s">
        <v>61</v>
      </c>
      <c r="V417" t="s">
        <v>62</v>
      </c>
      <c r="W417" t="s">
        <v>62</v>
      </c>
      <c r="X417">
        <v>0</v>
      </c>
      <c r="Y417">
        <v>0</v>
      </c>
      <c r="Z417">
        <v>1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1</v>
      </c>
      <c r="AK417">
        <v>0</v>
      </c>
      <c r="AL417">
        <v>4</v>
      </c>
      <c r="AM417">
        <v>0</v>
      </c>
      <c r="AN417">
        <v>44</v>
      </c>
      <c r="AO417">
        <v>1</v>
      </c>
      <c r="AP417">
        <v>0</v>
      </c>
      <c r="AQ417">
        <v>0</v>
      </c>
      <c r="AR417" t="s">
        <v>1697</v>
      </c>
      <c r="AS417" t="s">
        <v>64</v>
      </c>
      <c r="AT417">
        <v>0.41199999999999998</v>
      </c>
      <c r="AU417" t="s">
        <v>65</v>
      </c>
      <c r="AV417">
        <v>44</v>
      </c>
      <c r="AW417">
        <v>1</v>
      </c>
      <c r="AX417" t="s">
        <v>1698</v>
      </c>
      <c r="AY417" t="s">
        <v>1699</v>
      </c>
      <c r="AZ417" t="s">
        <v>1700</v>
      </c>
      <c r="BA417">
        <v>5.9500000000000004E-3</v>
      </c>
      <c r="BB417">
        <v>1</v>
      </c>
      <c r="BC417" t="s">
        <v>69</v>
      </c>
      <c r="BD417">
        <v>-0.86599999999999999</v>
      </c>
      <c r="BE417">
        <v>-0.86599999999999999</v>
      </c>
    </row>
    <row r="418" spans="1:57">
      <c r="A418">
        <v>0</v>
      </c>
      <c r="B418">
        <v>0</v>
      </c>
      <c r="C418">
        <v>0</v>
      </c>
      <c r="D418">
        <v>2357</v>
      </c>
      <c r="E418" t="s">
        <v>3047</v>
      </c>
      <c r="F418" t="s">
        <v>5762</v>
      </c>
      <c r="G418" t="s">
        <v>62</v>
      </c>
      <c r="H418">
        <v>2371511</v>
      </c>
      <c r="I418">
        <v>2372311</v>
      </c>
      <c r="J418" t="s">
        <v>3048</v>
      </c>
      <c r="K418">
        <v>267</v>
      </c>
      <c r="L418" t="s">
        <v>83</v>
      </c>
      <c r="M418">
        <v>4</v>
      </c>
      <c r="N418" t="str">
        <f>HYPERLINK("Gene2357-zp_tree_all.dnd", "Gene2357-tree")</f>
        <v>Gene2357-tree</v>
      </c>
      <c r="O418">
        <v>1</v>
      </c>
      <c r="P418">
        <v>3</v>
      </c>
      <c r="Q418">
        <v>1</v>
      </c>
      <c r="R418">
        <v>3</v>
      </c>
      <c r="S418">
        <v>0.75</v>
      </c>
      <c r="T418" t="s">
        <v>61</v>
      </c>
      <c r="U418" t="s">
        <v>84</v>
      </c>
      <c r="V418" t="s">
        <v>62</v>
      </c>
      <c r="W418" t="s">
        <v>62</v>
      </c>
      <c r="X418">
        <v>0</v>
      </c>
      <c r="Y418">
        <v>0</v>
      </c>
      <c r="Z418">
        <v>16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14</v>
      </c>
      <c r="AK418">
        <v>0</v>
      </c>
      <c r="AL418">
        <v>4</v>
      </c>
      <c r="AM418">
        <v>1</v>
      </c>
      <c r="AN418">
        <v>29</v>
      </c>
      <c r="AO418">
        <v>15</v>
      </c>
      <c r="AP418">
        <v>3</v>
      </c>
      <c r="AQ418">
        <v>3</v>
      </c>
      <c r="AR418" t="s">
        <v>3049</v>
      </c>
      <c r="AS418" t="s">
        <v>3050</v>
      </c>
      <c r="AT418">
        <v>0.69099999999999995</v>
      </c>
      <c r="AU418" t="s">
        <v>65</v>
      </c>
      <c r="AV418">
        <v>32</v>
      </c>
      <c r="AW418">
        <v>18</v>
      </c>
      <c r="AX418" t="s">
        <v>3051</v>
      </c>
      <c r="AY418" t="s">
        <v>3052</v>
      </c>
      <c r="AZ418" t="s">
        <v>3053</v>
      </c>
      <c r="BA418">
        <v>0.16905999999999999</v>
      </c>
      <c r="BB418">
        <v>1</v>
      </c>
      <c r="BC418" t="s">
        <v>69</v>
      </c>
      <c r="BD418">
        <v>-0.48599999999999999</v>
      </c>
      <c r="BE418">
        <v>-0.48599999999999999</v>
      </c>
    </row>
    <row r="419" spans="1:57">
      <c r="A419">
        <v>0</v>
      </c>
      <c r="B419">
        <v>0</v>
      </c>
      <c r="C419">
        <v>0</v>
      </c>
      <c r="D419">
        <v>2524</v>
      </c>
      <c r="E419" t="s">
        <v>3295</v>
      </c>
      <c r="F419" t="s">
        <v>5762</v>
      </c>
      <c r="G419" t="s">
        <v>62</v>
      </c>
      <c r="H419">
        <v>2518026</v>
      </c>
      <c r="I419">
        <v>2518826</v>
      </c>
      <c r="J419" t="s">
        <v>3296</v>
      </c>
      <c r="K419">
        <v>267</v>
      </c>
      <c r="L419" t="s">
        <v>59</v>
      </c>
      <c r="M419">
        <v>5</v>
      </c>
      <c r="N419" t="str">
        <f>HYPERLINK("Gene2524-zp_tree_all.dnd", "Gene2524-tree")</f>
        <v>Gene2524-tree</v>
      </c>
      <c r="O419">
        <v>5</v>
      </c>
      <c r="P419">
        <v>0</v>
      </c>
      <c r="Q419">
        <v>5</v>
      </c>
      <c r="R419">
        <v>0</v>
      </c>
      <c r="S419">
        <v>0</v>
      </c>
      <c r="T419" t="s">
        <v>98</v>
      </c>
      <c r="U419" t="s">
        <v>62</v>
      </c>
      <c r="V419" t="s">
        <v>62</v>
      </c>
      <c r="W419" t="s">
        <v>62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2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5</v>
      </c>
      <c r="AM419">
        <v>2</v>
      </c>
      <c r="AN419">
        <v>30</v>
      </c>
      <c r="AO419">
        <v>0</v>
      </c>
      <c r="AP419">
        <v>19</v>
      </c>
      <c r="AQ419">
        <v>2</v>
      </c>
      <c r="AR419" t="s">
        <v>64</v>
      </c>
      <c r="AS419" t="s">
        <v>3297</v>
      </c>
      <c r="AT419">
        <v>1.143</v>
      </c>
      <c r="AU419" t="s">
        <v>65</v>
      </c>
      <c r="AV419">
        <v>49</v>
      </c>
      <c r="AW419">
        <v>2</v>
      </c>
      <c r="AX419" t="s">
        <v>3298</v>
      </c>
      <c r="AY419" t="s">
        <v>3299</v>
      </c>
      <c r="AZ419" t="s">
        <v>3300</v>
      </c>
      <c r="BA419">
        <v>1.448E-2</v>
      </c>
      <c r="BB419">
        <v>1</v>
      </c>
      <c r="BC419" t="s">
        <v>69</v>
      </c>
      <c r="BD419">
        <v>0.45300000000000001</v>
      </c>
      <c r="BE419">
        <v>0</v>
      </c>
    </row>
    <row r="420" spans="1:57">
      <c r="A420">
        <v>0</v>
      </c>
      <c r="B420">
        <v>0</v>
      </c>
      <c r="C420">
        <v>0</v>
      </c>
      <c r="D420">
        <v>2915</v>
      </c>
      <c r="E420" t="s">
        <v>3813</v>
      </c>
      <c r="F420" t="s">
        <v>5762</v>
      </c>
      <c r="G420" t="s">
        <v>62</v>
      </c>
      <c r="H420">
        <v>2857779</v>
      </c>
      <c r="I420">
        <v>2858582</v>
      </c>
      <c r="J420" t="s">
        <v>3814</v>
      </c>
      <c r="K420">
        <v>268</v>
      </c>
      <c r="L420" t="s">
        <v>59</v>
      </c>
      <c r="M420">
        <v>5</v>
      </c>
      <c r="N420" t="str">
        <f>HYPERLINK("Gene2915-zp_tree_all.dnd", "Gene2915-tree")</f>
        <v>Gene2915-tree</v>
      </c>
      <c r="O420">
        <v>3</v>
      </c>
      <c r="P420">
        <v>2</v>
      </c>
      <c r="Q420">
        <v>3</v>
      </c>
      <c r="R420">
        <v>2</v>
      </c>
      <c r="S420">
        <v>0.4</v>
      </c>
      <c r="T420" t="s">
        <v>84</v>
      </c>
      <c r="U420" t="s">
        <v>135</v>
      </c>
      <c r="V420" t="s">
        <v>62</v>
      </c>
      <c r="W420" t="s">
        <v>62</v>
      </c>
      <c r="X420">
        <v>0</v>
      </c>
      <c r="Y420">
        <v>0</v>
      </c>
      <c r="Z420">
        <v>6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4</v>
      </c>
      <c r="AK420">
        <v>0</v>
      </c>
      <c r="AL420">
        <v>5</v>
      </c>
      <c r="AM420">
        <v>2</v>
      </c>
      <c r="AN420">
        <v>31</v>
      </c>
      <c r="AO420">
        <v>4</v>
      </c>
      <c r="AP420">
        <v>16</v>
      </c>
      <c r="AQ420">
        <v>2</v>
      </c>
      <c r="AR420" t="s">
        <v>3815</v>
      </c>
      <c r="AS420" t="s">
        <v>3816</v>
      </c>
      <c r="AT420">
        <v>3.9E-2</v>
      </c>
      <c r="AU420" t="s">
        <v>65</v>
      </c>
      <c r="AV420">
        <v>47</v>
      </c>
      <c r="AW420">
        <v>6</v>
      </c>
      <c r="AX420" t="s">
        <v>3817</v>
      </c>
      <c r="AY420" t="s">
        <v>3818</v>
      </c>
      <c r="AZ420" t="s">
        <v>3819</v>
      </c>
      <c r="BA420">
        <v>3.7769999999999998E-2</v>
      </c>
      <c r="BB420">
        <v>1</v>
      </c>
      <c r="BC420" t="s">
        <v>69</v>
      </c>
      <c r="BD420">
        <v>0.41599999999999998</v>
      </c>
      <c r="BE420">
        <v>0.109</v>
      </c>
    </row>
    <row r="421" spans="1:57">
      <c r="A421">
        <v>0</v>
      </c>
      <c r="B421">
        <v>0</v>
      </c>
      <c r="C421">
        <v>0</v>
      </c>
      <c r="D421">
        <v>1716</v>
      </c>
      <c r="E421" t="s">
        <v>2562</v>
      </c>
      <c r="F421" t="s">
        <v>5762</v>
      </c>
      <c r="G421" t="s">
        <v>57</v>
      </c>
      <c r="H421">
        <v>1722000</v>
      </c>
      <c r="I421">
        <v>1722806</v>
      </c>
      <c r="J421" t="s">
        <v>2563</v>
      </c>
      <c r="K421">
        <v>269</v>
      </c>
      <c r="L421" t="s">
        <v>59</v>
      </c>
      <c r="M421">
        <v>5</v>
      </c>
      <c r="N421" t="str">
        <f>HYPERLINK("Gene1716-zp_tree_all.dnd", "Gene1716-tree")</f>
        <v>Gene1716-tree</v>
      </c>
      <c r="O421">
        <v>2</v>
      </c>
      <c r="P421">
        <v>3</v>
      </c>
      <c r="Q421">
        <v>2</v>
      </c>
      <c r="R421">
        <v>3</v>
      </c>
      <c r="S421">
        <v>0.6</v>
      </c>
      <c r="T421" t="s">
        <v>135</v>
      </c>
      <c r="U421" t="s">
        <v>84</v>
      </c>
      <c r="V421" t="s">
        <v>62</v>
      </c>
      <c r="W421" t="s">
        <v>62</v>
      </c>
      <c r="X421">
        <v>0</v>
      </c>
      <c r="Y421">
        <v>0</v>
      </c>
      <c r="Z421">
        <v>9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4</v>
      </c>
      <c r="AK421">
        <v>0</v>
      </c>
      <c r="AL421">
        <v>5</v>
      </c>
      <c r="AM421">
        <v>2</v>
      </c>
      <c r="AN421">
        <v>18</v>
      </c>
      <c r="AO421">
        <v>4</v>
      </c>
      <c r="AP421">
        <v>19</v>
      </c>
      <c r="AQ421">
        <v>5</v>
      </c>
      <c r="AR421" t="s">
        <v>2564</v>
      </c>
      <c r="AS421" t="s">
        <v>2565</v>
      </c>
      <c r="AT421">
        <v>0.10100000000000001</v>
      </c>
      <c r="AU421" t="s">
        <v>65</v>
      </c>
      <c r="AV421">
        <v>37</v>
      </c>
      <c r="AW421">
        <v>9</v>
      </c>
      <c r="AX421" t="s">
        <v>2566</v>
      </c>
      <c r="AY421" t="s">
        <v>2567</v>
      </c>
      <c r="AZ421" t="s">
        <v>2568</v>
      </c>
      <c r="BA421">
        <v>7.671E-2</v>
      </c>
      <c r="BB421">
        <v>1</v>
      </c>
      <c r="BC421" t="s">
        <v>69</v>
      </c>
      <c r="BD421">
        <v>0.79900000000000004</v>
      </c>
      <c r="BE421">
        <v>0.314</v>
      </c>
    </row>
    <row r="422" spans="1:57">
      <c r="A422">
        <v>0</v>
      </c>
      <c r="B422">
        <v>0</v>
      </c>
      <c r="C422">
        <v>0</v>
      </c>
      <c r="D422">
        <v>3772</v>
      </c>
      <c r="E422" t="s">
        <v>5051</v>
      </c>
      <c r="F422" t="s">
        <v>5762</v>
      </c>
      <c r="G422" t="s">
        <v>62</v>
      </c>
      <c r="H422">
        <v>3745439</v>
      </c>
      <c r="I422">
        <v>3746245</v>
      </c>
      <c r="J422" t="s">
        <v>5052</v>
      </c>
      <c r="K422">
        <v>269</v>
      </c>
      <c r="L422" t="s">
        <v>83</v>
      </c>
      <c r="M422">
        <v>4</v>
      </c>
      <c r="N422" t="str">
        <f>HYPERLINK("Gene3772-zp_tree_all.dnd", "Gene3772-tree")</f>
        <v>Gene3772-tree</v>
      </c>
      <c r="O422">
        <v>2</v>
      </c>
      <c r="P422">
        <v>2</v>
      </c>
      <c r="Q422">
        <v>2</v>
      </c>
      <c r="R422">
        <v>2</v>
      </c>
      <c r="S422">
        <v>0.5</v>
      </c>
      <c r="T422" t="s">
        <v>135</v>
      </c>
      <c r="U422" t="s">
        <v>135</v>
      </c>
      <c r="V422" t="s">
        <v>62</v>
      </c>
      <c r="W422" t="s">
        <v>62</v>
      </c>
      <c r="X422">
        <v>0</v>
      </c>
      <c r="Y422">
        <v>0</v>
      </c>
      <c r="Z422">
        <v>5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5</v>
      </c>
      <c r="AK422">
        <v>0</v>
      </c>
      <c r="AL422">
        <v>3</v>
      </c>
      <c r="AM422">
        <v>1</v>
      </c>
      <c r="AN422">
        <v>35</v>
      </c>
      <c r="AO422">
        <v>5</v>
      </c>
      <c r="AP422">
        <v>1</v>
      </c>
      <c r="AQ422">
        <v>0</v>
      </c>
      <c r="AR422" t="s">
        <v>5053</v>
      </c>
      <c r="AS422" t="s">
        <v>64</v>
      </c>
      <c r="AT422">
        <v>0.74</v>
      </c>
      <c r="AU422" t="s">
        <v>65</v>
      </c>
      <c r="AV422">
        <v>36</v>
      </c>
      <c r="AW422">
        <v>5</v>
      </c>
      <c r="AX422" t="s">
        <v>5054</v>
      </c>
      <c r="AY422" t="s">
        <v>5055</v>
      </c>
      <c r="AZ422" t="s">
        <v>5056</v>
      </c>
      <c r="BA422">
        <v>3.7109999999999997E-2</v>
      </c>
      <c r="BB422">
        <v>1</v>
      </c>
      <c r="BC422" t="s">
        <v>69</v>
      </c>
      <c r="BD422">
        <v>-0.70699999999999996</v>
      </c>
      <c r="BE422">
        <v>-0.94399999999999995</v>
      </c>
    </row>
    <row r="423" spans="1:57">
      <c r="A423">
        <v>0</v>
      </c>
      <c r="B423">
        <v>0</v>
      </c>
      <c r="C423">
        <v>0</v>
      </c>
      <c r="D423">
        <v>3100</v>
      </c>
      <c r="E423" t="s">
        <v>4206</v>
      </c>
      <c r="F423" t="s">
        <v>5762</v>
      </c>
      <c r="G423" t="s">
        <v>62</v>
      </c>
      <c r="H423">
        <v>3053367</v>
      </c>
      <c r="I423">
        <v>3054173</v>
      </c>
      <c r="J423" t="s">
        <v>4207</v>
      </c>
      <c r="K423">
        <v>269</v>
      </c>
      <c r="L423" t="s">
        <v>59</v>
      </c>
      <c r="M423">
        <v>5</v>
      </c>
      <c r="N423" t="str">
        <f>HYPERLINK("Gene3100-zp_tree_all.dnd", "Gene3100-tree")</f>
        <v>Gene3100-tree</v>
      </c>
      <c r="O423">
        <v>5</v>
      </c>
      <c r="P423">
        <v>0</v>
      </c>
      <c r="Q423">
        <v>5</v>
      </c>
      <c r="R423">
        <v>0</v>
      </c>
      <c r="S423">
        <v>0</v>
      </c>
      <c r="T423" t="s">
        <v>98</v>
      </c>
      <c r="U423" t="s">
        <v>62</v>
      </c>
      <c r="V423" t="s">
        <v>62</v>
      </c>
      <c r="W423" t="s">
        <v>62</v>
      </c>
      <c r="X423">
        <v>0</v>
      </c>
      <c r="Y423">
        <v>0</v>
      </c>
      <c r="Z423">
        <v>3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5</v>
      </c>
      <c r="AM423">
        <v>2</v>
      </c>
      <c r="AN423">
        <v>20</v>
      </c>
      <c r="AO423">
        <v>0</v>
      </c>
      <c r="AP423">
        <v>25</v>
      </c>
      <c r="AQ423">
        <v>3</v>
      </c>
      <c r="AR423" t="s">
        <v>64</v>
      </c>
      <c r="AS423" t="s">
        <v>4208</v>
      </c>
      <c r="AT423">
        <v>0.82</v>
      </c>
      <c r="AU423" t="s">
        <v>65</v>
      </c>
      <c r="AV423">
        <v>45</v>
      </c>
      <c r="AW423">
        <v>3</v>
      </c>
      <c r="AX423" t="s">
        <v>4209</v>
      </c>
      <c r="AY423" t="s">
        <v>4210</v>
      </c>
      <c r="AZ423" t="s">
        <v>4211</v>
      </c>
      <c r="BA423">
        <v>2.1260000000000001E-2</v>
      </c>
      <c r="BB423">
        <v>1</v>
      </c>
      <c r="BC423" t="s">
        <v>69</v>
      </c>
      <c r="BD423">
        <v>0.94199999999999995</v>
      </c>
      <c r="BE423">
        <v>0.628</v>
      </c>
    </row>
    <row r="424" spans="1:57">
      <c r="A424">
        <v>0</v>
      </c>
      <c r="B424">
        <v>2</v>
      </c>
      <c r="C424">
        <v>0</v>
      </c>
      <c r="D424">
        <v>4096</v>
      </c>
      <c r="E424" t="s">
        <v>5496</v>
      </c>
      <c r="F424" t="s">
        <v>5762</v>
      </c>
      <c r="G424" t="s">
        <v>62</v>
      </c>
      <c r="H424">
        <v>4063687</v>
      </c>
      <c r="I424">
        <v>4064496</v>
      </c>
      <c r="J424" t="s">
        <v>5497</v>
      </c>
      <c r="K424">
        <v>270</v>
      </c>
      <c r="L424" t="s">
        <v>59</v>
      </c>
      <c r="M424">
        <v>5</v>
      </c>
      <c r="N424" t="str">
        <f>HYPERLINK("Gene4096-zp_tree_all.dnd", "Gene4096-tree")</f>
        <v>Gene4096-tree</v>
      </c>
      <c r="O424">
        <v>1</v>
      </c>
      <c r="P424">
        <v>4</v>
      </c>
      <c r="Q424">
        <v>1</v>
      </c>
      <c r="R424">
        <v>4</v>
      </c>
      <c r="S424">
        <v>0.8</v>
      </c>
      <c r="T424" t="s">
        <v>61</v>
      </c>
      <c r="U424" t="s">
        <v>60</v>
      </c>
      <c r="V424" t="s">
        <v>62</v>
      </c>
      <c r="W424" t="s">
        <v>62</v>
      </c>
      <c r="X424">
        <v>1</v>
      </c>
      <c r="Y424">
        <v>2</v>
      </c>
      <c r="Z424">
        <v>10</v>
      </c>
      <c r="AA424">
        <v>0.16667000000000001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6</v>
      </c>
      <c r="AK424">
        <v>0</v>
      </c>
      <c r="AL424">
        <v>5</v>
      </c>
      <c r="AM424">
        <v>2</v>
      </c>
      <c r="AN424">
        <v>39</v>
      </c>
      <c r="AO424">
        <v>6</v>
      </c>
      <c r="AP424">
        <v>18</v>
      </c>
      <c r="AQ424">
        <v>6</v>
      </c>
      <c r="AR424" t="s">
        <v>5498</v>
      </c>
      <c r="AS424" t="s">
        <v>5499</v>
      </c>
      <c r="AT424">
        <v>0.81699999999999995</v>
      </c>
      <c r="AU424" t="s">
        <v>65</v>
      </c>
      <c r="AV424">
        <v>57</v>
      </c>
      <c r="AW424">
        <v>12</v>
      </c>
      <c r="AX424" t="s">
        <v>5500</v>
      </c>
      <c r="AY424" t="s">
        <v>5501</v>
      </c>
      <c r="AZ424" t="s">
        <v>5502</v>
      </c>
      <c r="BA424">
        <v>6.0729999999999999E-2</v>
      </c>
      <c r="BB424">
        <v>1</v>
      </c>
      <c r="BC424" t="s">
        <v>69</v>
      </c>
      <c r="BD424">
        <v>0.16300000000000001</v>
      </c>
      <c r="BE424">
        <v>-9.1999999999999998E-2</v>
      </c>
    </row>
    <row r="425" spans="1:57">
      <c r="A425">
        <v>0</v>
      </c>
      <c r="B425">
        <v>0</v>
      </c>
      <c r="C425">
        <v>0</v>
      </c>
      <c r="D425">
        <v>2626</v>
      </c>
      <c r="E425" t="s">
        <v>3484</v>
      </c>
      <c r="F425" t="s">
        <v>5762</v>
      </c>
      <c r="G425" t="s">
        <v>62</v>
      </c>
      <c r="H425">
        <v>2604124</v>
      </c>
      <c r="I425">
        <v>2604933</v>
      </c>
      <c r="J425" t="s">
        <v>3485</v>
      </c>
      <c r="K425">
        <v>270</v>
      </c>
      <c r="L425" t="s">
        <v>59</v>
      </c>
      <c r="M425">
        <v>5</v>
      </c>
      <c r="N425" t="str">
        <f>HYPERLINK("Gene2626-zp_tree_all.dnd", "Gene2626-tree")</f>
        <v>Gene2626-tree</v>
      </c>
      <c r="O425">
        <v>5</v>
      </c>
      <c r="P425">
        <v>0</v>
      </c>
      <c r="Q425">
        <v>5</v>
      </c>
      <c r="R425">
        <v>0</v>
      </c>
      <c r="S425">
        <v>0</v>
      </c>
      <c r="T425" t="s">
        <v>98</v>
      </c>
      <c r="U425" t="s">
        <v>62</v>
      </c>
      <c r="V425" t="s">
        <v>62</v>
      </c>
      <c r="W425" t="s">
        <v>62</v>
      </c>
      <c r="X425">
        <v>0</v>
      </c>
      <c r="Y425">
        <v>0</v>
      </c>
      <c r="Z425">
        <v>1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4</v>
      </c>
      <c r="AM425">
        <v>2</v>
      </c>
      <c r="AN425">
        <v>17</v>
      </c>
      <c r="AO425">
        <v>0</v>
      </c>
      <c r="AP425">
        <v>30</v>
      </c>
      <c r="AQ425">
        <v>1</v>
      </c>
      <c r="AR425" t="s">
        <v>64</v>
      </c>
      <c r="AS425" t="s">
        <v>3486</v>
      </c>
      <c r="AT425">
        <v>0.79800000000000004</v>
      </c>
      <c r="AU425" t="s">
        <v>65</v>
      </c>
      <c r="AV425">
        <v>47</v>
      </c>
      <c r="AW425">
        <v>1</v>
      </c>
      <c r="AX425" t="s">
        <v>3487</v>
      </c>
      <c r="AY425" t="s">
        <v>3488</v>
      </c>
      <c r="AZ425" t="s">
        <v>2190</v>
      </c>
      <c r="BA425">
        <v>6.4900000000000001E-3</v>
      </c>
      <c r="BB425">
        <v>1</v>
      </c>
      <c r="BC425" t="s">
        <v>69</v>
      </c>
      <c r="BD425">
        <v>0.96299999999999997</v>
      </c>
      <c r="BE425">
        <v>0.65500000000000003</v>
      </c>
    </row>
    <row r="426" spans="1:57">
      <c r="A426">
        <v>0</v>
      </c>
      <c r="B426">
        <v>0</v>
      </c>
      <c r="C426">
        <v>0</v>
      </c>
      <c r="D426">
        <v>3196</v>
      </c>
      <c r="E426" t="s">
        <v>4358</v>
      </c>
      <c r="F426" t="s">
        <v>5762</v>
      </c>
      <c r="G426" t="s">
        <v>62</v>
      </c>
      <c r="H426">
        <v>3148904</v>
      </c>
      <c r="I426">
        <v>3149716</v>
      </c>
      <c r="J426" t="s">
        <v>4359</v>
      </c>
      <c r="K426">
        <v>271</v>
      </c>
      <c r="L426" t="s">
        <v>112</v>
      </c>
      <c r="M426">
        <v>4</v>
      </c>
      <c r="N426" t="str">
        <f>HYPERLINK("Gene3196-zp_tree_all.dnd", "Gene3196-tree")</f>
        <v>Gene3196-tree</v>
      </c>
      <c r="O426">
        <v>4</v>
      </c>
      <c r="P426">
        <v>0</v>
      </c>
      <c r="Q426">
        <v>4</v>
      </c>
      <c r="R426">
        <v>0</v>
      </c>
      <c r="S426">
        <v>0</v>
      </c>
      <c r="T426" t="s">
        <v>60</v>
      </c>
      <c r="U426" t="s">
        <v>62</v>
      </c>
      <c r="V426" t="s">
        <v>62</v>
      </c>
      <c r="W426" t="s">
        <v>62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4</v>
      </c>
      <c r="AM426">
        <v>1</v>
      </c>
      <c r="AN426">
        <v>41</v>
      </c>
      <c r="AO426">
        <v>0</v>
      </c>
      <c r="AP426">
        <v>1</v>
      </c>
      <c r="AQ426">
        <v>0</v>
      </c>
      <c r="AR426" t="s">
        <v>64</v>
      </c>
      <c r="AS426" t="s">
        <v>64</v>
      </c>
      <c r="AT426">
        <v>0</v>
      </c>
      <c r="AU426" t="s">
        <v>65</v>
      </c>
      <c r="AV426">
        <v>42</v>
      </c>
      <c r="AW426">
        <v>0</v>
      </c>
      <c r="AX426" t="s">
        <v>4360</v>
      </c>
      <c r="AY426" t="s">
        <v>4361</v>
      </c>
      <c r="AZ426" t="s">
        <v>64</v>
      </c>
      <c r="BA426">
        <v>0</v>
      </c>
      <c r="BB426">
        <v>1</v>
      </c>
      <c r="BC426" t="s">
        <v>69</v>
      </c>
      <c r="BD426">
        <v>-0.627</v>
      </c>
      <c r="BE426">
        <v>-0.627</v>
      </c>
    </row>
    <row r="427" spans="1:57">
      <c r="A427">
        <v>0</v>
      </c>
      <c r="B427">
        <v>0</v>
      </c>
      <c r="C427">
        <v>0</v>
      </c>
      <c r="D427">
        <v>2043</v>
      </c>
      <c r="E427" t="s">
        <v>2884</v>
      </c>
      <c r="F427" t="s">
        <v>5762</v>
      </c>
      <c r="G427" t="s">
        <v>62</v>
      </c>
      <c r="H427">
        <v>2134569</v>
      </c>
      <c r="I427">
        <v>2135387</v>
      </c>
      <c r="J427" t="s">
        <v>2885</v>
      </c>
      <c r="K427">
        <v>273</v>
      </c>
      <c r="L427" t="s">
        <v>59</v>
      </c>
      <c r="M427">
        <v>5</v>
      </c>
      <c r="N427" t="str">
        <f>HYPERLINK("Gene2043-zp_tree_all.dnd", "Gene2043-tree")</f>
        <v>Gene2043-tree</v>
      </c>
      <c r="O427">
        <v>0</v>
      </c>
      <c r="P427">
        <v>5</v>
      </c>
      <c r="Q427">
        <v>0</v>
      </c>
      <c r="R427">
        <v>5</v>
      </c>
      <c r="S427">
        <v>1</v>
      </c>
      <c r="T427" t="s">
        <v>62</v>
      </c>
      <c r="U427" t="s">
        <v>98</v>
      </c>
      <c r="V427" t="s">
        <v>62</v>
      </c>
      <c r="W427" t="s">
        <v>62</v>
      </c>
      <c r="X427">
        <v>0</v>
      </c>
      <c r="Y427">
        <v>0</v>
      </c>
      <c r="Z427">
        <v>13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6</v>
      </c>
      <c r="AK427">
        <v>0</v>
      </c>
      <c r="AL427">
        <v>4</v>
      </c>
      <c r="AM427">
        <v>2</v>
      </c>
      <c r="AN427">
        <v>24</v>
      </c>
      <c r="AO427">
        <v>6</v>
      </c>
      <c r="AP427">
        <v>22</v>
      </c>
      <c r="AQ427">
        <v>7</v>
      </c>
      <c r="AR427" t="s">
        <v>2886</v>
      </c>
      <c r="AS427" t="s">
        <v>2887</v>
      </c>
      <c r="AT427">
        <v>0.40300000000000002</v>
      </c>
      <c r="AU427" t="s">
        <v>65</v>
      </c>
      <c r="AV427">
        <v>46</v>
      </c>
      <c r="AW427">
        <v>13</v>
      </c>
      <c r="AX427" t="s">
        <v>2888</v>
      </c>
      <c r="AY427" t="s">
        <v>2889</v>
      </c>
      <c r="AZ427" t="s">
        <v>2890</v>
      </c>
      <c r="BA427">
        <v>7.2690000000000005E-2</v>
      </c>
      <c r="BB427">
        <v>1</v>
      </c>
      <c r="BC427" t="s">
        <v>69</v>
      </c>
      <c r="BD427">
        <v>0.45300000000000001</v>
      </c>
      <c r="BE427">
        <v>0.23200000000000001</v>
      </c>
    </row>
    <row r="428" spans="1:57">
      <c r="A428">
        <v>0</v>
      </c>
      <c r="B428">
        <v>0</v>
      </c>
      <c r="C428">
        <v>0</v>
      </c>
      <c r="D428">
        <v>176</v>
      </c>
      <c r="E428" t="s">
        <v>625</v>
      </c>
      <c r="F428" t="s">
        <v>5762</v>
      </c>
      <c r="G428" t="s">
        <v>57</v>
      </c>
      <c r="H428">
        <v>196213</v>
      </c>
      <c r="I428">
        <v>197031</v>
      </c>
      <c r="J428" t="s">
        <v>626</v>
      </c>
      <c r="K428">
        <v>273</v>
      </c>
      <c r="L428" t="s">
        <v>59</v>
      </c>
      <c r="M428">
        <v>5</v>
      </c>
      <c r="N428" t="str">
        <f>HYPERLINK("Gene176-zp_tree_all.dnd", "Gene176-tree")</f>
        <v>Gene176-tree</v>
      </c>
      <c r="O428">
        <v>5</v>
      </c>
      <c r="P428">
        <v>0</v>
      </c>
      <c r="Q428">
        <v>5</v>
      </c>
      <c r="R428">
        <v>0</v>
      </c>
      <c r="S428">
        <v>0</v>
      </c>
      <c r="T428" t="s">
        <v>98</v>
      </c>
      <c r="U428" t="s">
        <v>62</v>
      </c>
      <c r="V428" t="s">
        <v>62</v>
      </c>
      <c r="W428" t="s">
        <v>62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5</v>
      </c>
      <c r="AM428">
        <v>2</v>
      </c>
      <c r="AN428">
        <v>19</v>
      </c>
      <c r="AO428">
        <v>0</v>
      </c>
      <c r="AP428">
        <v>26</v>
      </c>
      <c r="AQ428">
        <v>0</v>
      </c>
      <c r="AR428" t="s">
        <v>64</v>
      </c>
      <c r="AS428" t="s">
        <v>64</v>
      </c>
      <c r="AT428">
        <v>0</v>
      </c>
      <c r="AU428" t="s">
        <v>65</v>
      </c>
      <c r="AV428">
        <v>45</v>
      </c>
      <c r="AW428">
        <v>0</v>
      </c>
      <c r="AX428" t="s">
        <v>627</v>
      </c>
      <c r="AY428" t="s">
        <v>628</v>
      </c>
      <c r="AZ428" t="s">
        <v>629</v>
      </c>
      <c r="BA428">
        <v>2.5400000000000002E-3</v>
      </c>
      <c r="BB428">
        <v>1</v>
      </c>
      <c r="BC428" t="s">
        <v>69</v>
      </c>
      <c r="BD428">
        <v>0.88700000000000001</v>
      </c>
      <c r="BE428">
        <v>0.58099999999999996</v>
      </c>
    </row>
    <row r="429" spans="1:57">
      <c r="A429">
        <v>0</v>
      </c>
      <c r="B429">
        <v>0</v>
      </c>
      <c r="C429">
        <v>0</v>
      </c>
      <c r="D429">
        <v>3394</v>
      </c>
      <c r="E429" t="s">
        <v>4642</v>
      </c>
      <c r="F429" t="s">
        <v>5762</v>
      </c>
      <c r="G429" t="s">
        <v>62</v>
      </c>
      <c r="H429">
        <v>3361770</v>
      </c>
      <c r="I429">
        <v>3362591</v>
      </c>
      <c r="J429" t="s">
        <v>4643</v>
      </c>
      <c r="K429">
        <v>274</v>
      </c>
      <c r="L429" t="s">
        <v>59</v>
      </c>
      <c r="M429">
        <v>5</v>
      </c>
      <c r="N429" t="str">
        <f>HYPERLINK("Gene3394-zp_tree_all.dnd", "Gene3394-tree")</f>
        <v>Gene3394-tree</v>
      </c>
      <c r="O429">
        <v>4</v>
      </c>
      <c r="P429">
        <v>1</v>
      </c>
      <c r="Q429">
        <v>4</v>
      </c>
      <c r="R429">
        <v>1</v>
      </c>
      <c r="S429">
        <v>0.2</v>
      </c>
      <c r="T429" t="s">
        <v>60</v>
      </c>
      <c r="U429" t="s">
        <v>61</v>
      </c>
      <c r="V429" t="s">
        <v>62</v>
      </c>
      <c r="W429" t="s">
        <v>62</v>
      </c>
      <c r="X429">
        <v>0</v>
      </c>
      <c r="Y429">
        <v>0</v>
      </c>
      <c r="Z429">
        <v>5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1</v>
      </c>
      <c r="AK429">
        <v>0</v>
      </c>
      <c r="AL429">
        <v>5</v>
      </c>
      <c r="AM429">
        <v>2</v>
      </c>
      <c r="AN429">
        <v>13</v>
      </c>
      <c r="AO429">
        <v>1</v>
      </c>
      <c r="AP429">
        <v>19</v>
      </c>
      <c r="AQ429">
        <v>4</v>
      </c>
      <c r="AR429" t="s">
        <v>4644</v>
      </c>
      <c r="AS429" t="s">
        <v>4645</v>
      </c>
      <c r="AT429">
        <v>0.41899999999999998</v>
      </c>
      <c r="AU429" t="s">
        <v>65</v>
      </c>
      <c r="AV429">
        <v>32</v>
      </c>
      <c r="AW429">
        <v>5</v>
      </c>
      <c r="AX429" t="s">
        <v>4646</v>
      </c>
      <c r="AY429" t="s">
        <v>4647</v>
      </c>
      <c r="AZ429" t="s">
        <v>4648</v>
      </c>
      <c r="BA429">
        <v>4.7550000000000002E-2</v>
      </c>
      <c r="BB429">
        <v>1</v>
      </c>
      <c r="BC429" t="s">
        <v>69</v>
      </c>
      <c r="BD429">
        <v>1.0469999999999999</v>
      </c>
      <c r="BE429">
        <v>0.86399999999999999</v>
      </c>
    </row>
    <row r="430" spans="1:57">
      <c r="A430">
        <v>0</v>
      </c>
      <c r="B430">
        <v>0</v>
      </c>
      <c r="C430">
        <v>0</v>
      </c>
      <c r="D430">
        <v>963</v>
      </c>
      <c r="E430" t="s">
        <v>1414</v>
      </c>
      <c r="F430" t="s">
        <v>5762</v>
      </c>
      <c r="G430" t="s">
        <v>57</v>
      </c>
      <c r="H430">
        <v>1002501</v>
      </c>
      <c r="I430">
        <v>1003322</v>
      </c>
      <c r="J430" t="s">
        <v>1415</v>
      </c>
      <c r="K430">
        <v>274</v>
      </c>
      <c r="L430" t="s">
        <v>83</v>
      </c>
      <c r="M430">
        <v>4</v>
      </c>
      <c r="N430" t="str">
        <f>HYPERLINK("Gene963-zp_tree_all.dnd", "Gene963-tree")</f>
        <v>Gene963-tree</v>
      </c>
      <c r="O430">
        <v>3</v>
      </c>
      <c r="P430">
        <v>1</v>
      </c>
      <c r="Q430">
        <v>3</v>
      </c>
      <c r="R430">
        <v>1</v>
      </c>
      <c r="S430">
        <v>0.25</v>
      </c>
      <c r="T430" t="s">
        <v>84</v>
      </c>
      <c r="U430" t="s">
        <v>61</v>
      </c>
      <c r="V430" t="s">
        <v>62</v>
      </c>
      <c r="W430" t="s">
        <v>62</v>
      </c>
      <c r="X430">
        <v>0</v>
      </c>
      <c r="Y430">
        <v>0</v>
      </c>
      <c r="Z430">
        <v>2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2</v>
      </c>
      <c r="AK430">
        <v>0</v>
      </c>
      <c r="AL430">
        <v>4</v>
      </c>
      <c r="AM430">
        <v>1</v>
      </c>
      <c r="AN430">
        <v>45</v>
      </c>
      <c r="AO430">
        <v>2</v>
      </c>
      <c r="AP430">
        <v>5</v>
      </c>
      <c r="AQ430">
        <v>0</v>
      </c>
      <c r="AR430" t="s">
        <v>1416</v>
      </c>
      <c r="AS430" t="s">
        <v>64</v>
      </c>
      <c r="AT430">
        <v>0.498</v>
      </c>
      <c r="AU430" t="s">
        <v>65</v>
      </c>
      <c r="AV430">
        <v>50</v>
      </c>
      <c r="AW430">
        <v>2</v>
      </c>
      <c r="AX430" t="s">
        <v>1417</v>
      </c>
      <c r="AY430" t="s">
        <v>1418</v>
      </c>
      <c r="AZ430" t="s">
        <v>1419</v>
      </c>
      <c r="BA430">
        <v>1.2319999999999999E-2</v>
      </c>
      <c r="BB430">
        <v>1</v>
      </c>
      <c r="BC430" t="s">
        <v>69</v>
      </c>
      <c r="BD430">
        <v>-0.28299999999999997</v>
      </c>
      <c r="BE430">
        <v>-0.86699999999999999</v>
      </c>
    </row>
    <row r="431" spans="1:57">
      <c r="A431">
        <v>0</v>
      </c>
      <c r="B431">
        <v>0</v>
      </c>
      <c r="C431">
        <v>2</v>
      </c>
      <c r="D431">
        <v>1306</v>
      </c>
      <c r="E431" t="s">
        <v>1780</v>
      </c>
      <c r="F431" t="s">
        <v>5762</v>
      </c>
      <c r="G431" t="s">
        <v>57</v>
      </c>
      <c r="H431">
        <v>1328702</v>
      </c>
      <c r="I431">
        <v>1329526</v>
      </c>
      <c r="J431" t="s">
        <v>1781</v>
      </c>
      <c r="K431">
        <v>275</v>
      </c>
      <c r="L431" t="s">
        <v>59</v>
      </c>
      <c r="M431">
        <v>5</v>
      </c>
      <c r="N431" t="str">
        <f>HYPERLINK("Gene1306-zp_tree_all.dnd", "Gene1306-tree")</f>
        <v>Gene1306-tree</v>
      </c>
      <c r="O431">
        <v>1</v>
      </c>
      <c r="P431">
        <v>4</v>
      </c>
      <c r="Q431">
        <v>1</v>
      </c>
      <c r="R431">
        <v>4</v>
      </c>
      <c r="S431">
        <v>0.8</v>
      </c>
      <c r="T431" t="s">
        <v>61</v>
      </c>
      <c r="U431" t="s">
        <v>60</v>
      </c>
      <c r="V431" t="s">
        <v>62</v>
      </c>
      <c r="W431" t="s">
        <v>62</v>
      </c>
      <c r="X431">
        <v>1</v>
      </c>
      <c r="Y431">
        <v>2</v>
      </c>
      <c r="Z431">
        <v>8</v>
      </c>
      <c r="AA431">
        <v>0.2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6</v>
      </c>
      <c r="AK431">
        <v>0</v>
      </c>
      <c r="AL431">
        <v>5</v>
      </c>
      <c r="AM431">
        <v>2</v>
      </c>
      <c r="AN431">
        <v>13</v>
      </c>
      <c r="AO431">
        <v>6</v>
      </c>
      <c r="AP431">
        <v>25</v>
      </c>
      <c r="AQ431">
        <v>4</v>
      </c>
      <c r="AR431" t="s">
        <v>1782</v>
      </c>
      <c r="AS431" t="s">
        <v>1783</v>
      </c>
      <c r="AT431">
        <v>1.1839999999999999</v>
      </c>
      <c r="AU431" t="s">
        <v>65</v>
      </c>
      <c r="AV431">
        <v>38</v>
      </c>
      <c r="AW431">
        <v>10</v>
      </c>
      <c r="AX431" t="s">
        <v>1784</v>
      </c>
      <c r="AY431" t="s">
        <v>1785</v>
      </c>
      <c r="AZ431" t="s">
        <v>1786</v>
      </c>
      <c r="BA431">
        <v>6.2979999999999994E-2</v>
      </c>
      <c r="BB431">
        <v>1</v>
      </c>
      <c r="BC431" t="s">
        <v>69</v>
      </c>
      <c r="BD431">
        <v>0.75800000000000001</v>
      </c>
      <c r="BE431">
        <v>0.58699999999999997</v>
      </c>
    </row>
    <row r="432" spans="1:57">
      <c r="A432">
        <v>0</v>
      </c>
      <c r="B432">
        <v>0</v>
      </c>
      <c r="C432">
        <v>0</v>
      </c>
      <c r="D432">
        <v>3417</v>
      </c>
      <c r="E432" t="s">
        <v>4694</v>
      </c>
      <c r="F432" t="s">
        <v>5762</v>
      </c>
      <c r="G432" t="s">
        <v>62</v>
      </c>
      <c r="H432">
        <v>3379115</v>
      </c>
      <c r="I432">
        <v>3379939</v>
      </c>
      <c r="J432" t="s">
        <v>4695</v>
      </c>
      <c r="K432">
        <v>275</v>
      </c>
      <c r="L432" t="s">
        <v>59</v>
      </c>
      <c r="M432">
        <v>5</v>
      </c>
      <c r="N432" t="str">
        <f>HYPERLINK("Gene3417-zp_tree_all.dnd", "Gene3417-tree")</f>
        <v>Gene3417-tree</v>
      </c>
      <c r="O432">
        <v>3</v>
      </c>
      <c r="P432">
        <v>2</v>
      </c>
      <c r="Q432">
        <v>3</v>
      </c>
      <c r="R432">
        <v>2</v>
      </c>
      <c r="S432">
        <v>0.4</v>
      </c>
      <c r="T432" t="s">
        <v>84</v>
      </c>
      <c r="U432" t="s">
        <v>135</v>
      </c>
      <c r="V432" t="s">
        <v>62</v>
      </c>
      <c r="W432" t="s">
        <v>62</v>
      </c>
      <c r="X432">
        <v>0</v>
      </c>
      <c r="Y432">
        <v>0</v>
      </c>
      <c r="Z432">
        <v>3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2</v>
      </c>
      <c r="AK432">
        <v>0</v>
      </c>
      <c r="AL432">
        <v>4</v>
      </c>
      <c r="AM432">
        <v>2</v>
      </c>
      <c r="AN432">
        <v>19</v>
      </c>
      <c r="AO432">
        <v>2</v>
      </c>
      <c r="AP432">
        <v>25</v>
      </c>
      <c r="AQ432">
        <v>1</v>
      </c>
      <c r="AR432" t="s">
        <v>4696</v>
      </c>
      <c r="AS432" t="s">
        <v>4697</v>
      </c>
      <c r="AT432">
        <v>0.72499999999999998</v>
      </c>
      <c r="AU432" t="s">
        <v>65</v>
      </c>
      <c r="AV432">
        <v>44</v>
      </c>
      <c r="AW432">
        <v>3</v>
      </c>
      <c r="AX432" t="s">
        <v>4698</v>
      </c>
      <c r="AY432" t="s">
        <v>4699</v>
      </c>
      <c r="AZ432" t="s">
        <v>4700</v>
      </c>
      <c r="BA432">
        <v>2.1389999999999999E-2</v>
      </c>
      <c r="BB432">
        <v>1</v>
      </c>
      <c r="BC432" t="s">
        <v>69</v>
      </c>
      <c r="BD432">
        <v>0.83599999999999997</v>
      </c>
      <c r="BE432">
        <v>-0.06</v>
      </c>
    </row>
    <row r="433" spans="1:57">
      <c r="A433">
        <v>0</v>
      </c>
      <c r="B433">
        <v>0</v>
      </c>
      <c r="C433">
        <v>0</v>
      </c>
      <c r="D433">
        <v>32</v>
      </c>
      <c r="E433" t="s">
        <v>141</v>
      </c>
      <c r="F433" t="s">
        <v>5762</v>
      </c>
      <c r="G433" t="s">
        <v>57</v>
      </c>
      <c r="H433">
        <v>41657</v>
      </c>
      <c r="I433">
        <v>42481</v>
      </c>
      <c r="J433" t="s">
        <v>142</v>
      </c>
      <c r="K433">
        <v>275</v>
      </c>
      <c r="L433" t="s">
        <v>59</v>
      </c>
      <c r="M433">
        <v>5</v>
      </c>
      <c r="N433" t="str">
        <f>HYPERLINK("Gene32-zp_tree_all.dnd", "Gene32-tree")</f>
        <v>Gene32-tree</v>
      </c>
      <c r="O433">
        <v>3</v>
      </c>
      <c r="P433">
        <v>2</v>
      </c>
      <c r="Q433">
        <v>3</v>
      </c>
      <c r="R433">
        <v>2</v>
      </c>
      <c r="S433">
        <v>0.4</v>
      </c>
      <c r="T433" t="s">
        <v>84</v>
      </c>
      <c r="U433" t="s">
        <v>135</v>
      </c>
      <c r="V433" t="s">
        <v>62</v>
      </c>
      <c r="W433" t="s">
        <v>62</v>
      </c>
      <c r="X433">
        <v>0</v>
      </c>
      <c r="Y433">
        <v>0</v>
      </c>
      <c r="Z433">
        <v>3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2</v>
      </c>
      <c r="AK433">
        <v>0</v>
      </c>
      <c r="AL433">
        <v>4</v>
      </c>
      <c r="AM433">
        <v>2</v>
      </c>
      <c r="AN433">
        <v>19</v>
      </c>
      <c r="AO433">
        <v>2</v>
      </c>
      <c r="AP433">
        <v>20</v>
      </c>
      <c r="AQ433">
        <v>1</v>
      </c>
      <c r="AR433" t="s">
        <v>143</v>
      </c>
      <c r="AS433" t="s">
        <v>144</v>
      </c>
      <c r="AT433">
        <v>0.55200000000000005</v>
      </c>
      <c r="AU433" t="s">
        <v>65</v>
      </c>
      <c r="AV433">
        <v>39</v>
      </c>
      <c r="AW433">
        <v>3</v>
      </c>
      <c r="AX433" t="s">
        <v>145</v>
      </c>
      <c r="AY433" t="s">
        <v>146</v>
      </c>
      <c r="AZ433" t="s">
        <v>147</v>
      </c>
      <c r="BA433">
        <v>1.9390000000000001E-2</v>
      </c>
      <c r="BB433">
        <v>1</v>
      </c>
      <c r="BC433" t="s">
        <v>69</v>
      </c>
      <c r="BD433">
        <v>0.63400000000000001</v>
      </c>
      <c r="BE433">
        <v>0.27300000000000002</v>
      </c>
    </row>
    <row r="434" spans="1:57">
      <c r="A434">
        <v>0</v>
      </c>
      <c r="B434">
        <v>0</v>
      </c>
      <c r="C434">
        <v>0</v>
      </c>
      <c r="D434">
        <v>3943</v>
      </c>
      <c r="E434" t="s">
        <v>5299</v>
      </c>
      <c r="F434" t="s">
        <v>5762</v>
      </c>
      <c r="G434" t="s">
        <v>62</v>
      </c>
      <c r="H434">
        <v>3906145</v>
      </c>
      <c r="I434">
        <v>3906972</v>
      </c>
      <c r="J434" t="s">
        <v>5300</v>
      </c>
      <c r="K434">
        <v>276</v>
      </c>
      <c r="L434" t="s">
        <v>1779</v>
      </c>
      <c r="M434">
        <v>4</v>
      </c>
      <c r="N434" t="str">
        <f>HYPERLINK("Gene3943-zp_tree_all.dnd", "Gene3943-tree")</f>
        <v>Gene3943-tree</v>
      </c>
      <c r="O434">
        <v>1</v>
      </c>
      <c r="P434">
        <v>3</v>
      </c>
      <c r="Q434">
        <v>1</v>
      </c>
      <c r="R434">
        <v>3</v>
      </c>
      <c r="S434">
        <v>0.75</v>
      </c>
      <c r="T434" t="s">
        <v>61</v>
      </c>
      <c r="U434" t="s">
        <v>84</v>
      </c>
      <c r="V434" t="s">
        <v>62</v>
      </c>
      <c r="W434" t="s">
        <v>62</v>
      </c>
      <c r="X434">
        <v>0</v>
      </c>
      <c r="Y434">
        <v>0</v>
      </c>
      <c r="Z434">
        <v>6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4</v>
      </c>
      <c r="AK434">
        <v>0</v>
      </c>
      <c r="AL434">
        <v>3</v>
      </c>
      <c r="AM434">
        <v>1</v>
      </c>
      <c r="AN434">
        <v>14</v>
      </c>
      <c r="AO434">
        <v>4</v>
      </c>
      <c r="AP434">
        <v>11</v>
      </c>
      <c r="AQ434">
        <v>2</v>
      </c>
      <c r="AR434" t="s">
        <v>5301</v>
      </c>
      <c r="AS434" t="s">
        <v>5302</v>
      </c>
      <c r="AT434">
        <v>0.46</v>
      </c>
      <c r="AU434" t="s">
        <v>65</v>
      </c>
      <c r="AV434">
        <v>25</v>
      </c>
      <c r="AW434">
        <v>6</v>
      </c>
      <c r="AX434" t="s">
        <v>5303</v>
      </c>
      <c r="AY434" t="s">
        <v>5304</v>
      </c>
      <c r="AZ434" t="s">
        <v>5305</v>
      </c>
      <c r="BA434">
        <v>6.0699999999999997E-2</v>
      </c>
      <c r="BB434">
        <v>1</v>
      </c>
      <c r="BC434" t="s">
        <v>69</v>
      </c>
      <c r="BD434">
        <v>0.61299999999999999</v>
      </c>
      <c r="BE434">
        <v>0.29699999999999999</v>
      </c>
    </row>
    <row r="435" spans="1:57">
      <c r="A435">
        <v>0</v>
      </c>
      <c r="B435">
        <v>0</v>
      </c>
      <c r="C435">
        <v>2</v>
      </c>
      <c r="D435">
        <v>3467</v>
      </c>
      <c r="E435" t="s">
        <v>4737</v>
      </c>
      <c r="F435" t="s">
        <v>5762</v>
      </c>
      <c r="G435" t="s">
        <v>62</v>
      </c>
      <c r="H435">
        <v>3426752</v>
      </c>
      <c r="I435">
        <v>3427579</v>
      </c>
      <c r="J435" t="s">
        <v>4738</v>
      </c>
      <c r="K435">
        <v>276</v>
      </c>
      <c r="L435" t="s">
        <v>83</v>
      </c>
      <c r="M435">
        <v>4</v>
      </c>
      <c r="N435" t="str">
        <f>HYPERLINK("Gene3467-zp_tree_all.dnd", "Gene3467-tree")</f>
        <v>Gene3467-tree</v>
      </c>
      <c r="O435">
        <v>1</v>
      </c>
      <c r="P435">
        <v>3</v>
      </c>
      <c r="Q435">
        <v>1</v>
      </c>
      <c r="R435">
        <v>3</v>
      </c>
      <c r="S435">
        <v>0.75</v>
      </c>
      <c r="T435" t="s">
        <v>61</v>
      </c>
      <c r="U435" t="s">
        <v>84</v>
      </c>
      <c r="V435" t="s">
        <v>62</v>
      </c>
      <c r="W435" t="s">
        <v>62</v>
      </c>
      <c r="X435">
        <v>1</v>
      </c>
      <c r="Y435">
        <v>2</v>
      </c>
      <c r="Z435">
        <v>4</v>
      </c>
      <c r="AA435">
        <v>0.33333000000000002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2</v>
      </c>
      <c r="AI435">
        <v>2</v>
      </c>
      <c r="AJ435">
        <v>4</v>
      </c>
      <c r="AK435">
        <v>0.33333000000000002</v>
      </c>
      <c r="AL435">
        <v>4</v>
      </c>
      <c r="AM435">
        <v>1</v>
      </c>
      <c r="AN435">
        <v>36</v>
      </c>
      <c r="AO435">
        <v>6</v>
      </c>
      <c r="AP435">
        <v>3</v>
      </c>
      <c r="AQ435">
        <v>0</v>
      </c>
      <c r="AR435" t="s">
        <v>4739</v>
      </c>
      <c r="AS435" t="s">
        <v>64</v>
      </c>
      <c r="AT435">
        <v>1.3839999999999999</v>
      </c>
      <c r="AU435" t="s">
        <v>65</v>
      </c>
      <c r="AV435">
        <v>39</v>
      </c>
      <c r="AW435">
        <v>6</v>
      </c>
      <c r="AX435" t="s">
        <v>4740</v>
      </c>
      <c r="AY435" t="s">
        <v>4741</v>
      </c>
      <c r="AZ435" t="s">
        <v>4742</v>
      </c>
      <c r="BA435">
        <v>3.705E-2</v>
      </c>
      <c r="BB435">
        <v>1</v>
      </c>
      <c r="BC435" t="s">
        <v>69</v>
      </c>
      <c r="BD435">
        <v>-0.505</v>
      </c>
      <c r="BE435">
        <v>-0.72199999999999998</v>
      </c>
    </row>
    <row r="436" spans="1:57">
      <c r="A436">
        <v>0</v>
      </c>
      <c r="B436">
        <v>0</v>
      </c>
      <c r="C436">
        <v>0</v>
      </c>
      <c r="D436">
        <v>3886</v>
      </c>
      <c r="E436" t="s">
        <v>5248</v>
      </c>
      <c r="F436" t="s">
        <v>5762</v>
      </c>
      <c r="G436" t="s">
        <v>62</v>
      </c>
      <c r="H436">
        <v>3848789</v>
      </c>
      <c r="I436">
        <v>3849616</v>
      </c>
      <c r="J436" t="s">
        <v>5249</v>
      </c>
      <c r="K436">
        <v>276</v>
      </c>
      <c r="L436" t="s">
        <v>112</v>
      </c>
      <c r="M436">
        <v>4</v>
      </c>
      <c r="N436" t="str">
        <f>HYPERLINK("Gene3886-zp_tree_all.dnd", "Gene3886-tree")</f>
        <v>Gene3886-tree</v>
      </c>
      <c r="O436">
        <v>3</v>
      </c>
      <c r="P436">
        <v>1</v>
      </c>
      <c r="Q436">
        <v>3</v>
      </c>
      <c r="R436">
        <v>1</v>
      </c>
      <c r="S436">
        <v>0.25</v>
      </c>
      <c r="T436" t="s">
        <v>84</v>
      </c>
      <c r="U436" t="s">
        <v>61</v>
      </c>
      <c r="V436" t="s">
        <v>62</v>
      </c>
      <c r="W436" t="s">
        <v>62</v>
      </c>
      <c r="X436">
        <v>0</v>
      </c>
      <c r="Y436">
        <v>0</v>
      </c>
      <c r="Z436">
        <v>2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2</v>
      </c>
      <c r="AK436">
        <v>0</v>
      </c>
      <c r="AL436">
        <v>4</v>
      </c>
      <c r="AM436">
        <v>1</v>
      </c>
      <c r="AN436">
        <v>40</v>
      </c>
      <c r="AO436">
        <v>2</v>
      </c>
      <c r="AP436">
        <v>5</v>
      </c>
      <c r="AQ436">
        <v>0</v>
      </c>
      <c r="AR436" t="s">
        <v>5250</v>
      </c>
      <c r="AS436" t="s">
        <v>64</v>
      </c>
      <c r="AT436">
        <v>0.54200000000000004</v>
      </c>
      <c r="AU436" t="s">
        <v>65</v>
      </c>
      <c r="AV436">
        <v>45</v>
      </c>
      <c r="AW436">
        <v>2</v>
      </c>
      <c r="AX436" t="s">
        <v>5251</v>
      </c>
      <c r="AY436" t="s">
        <v>5252</v>
      </c>
      <c r="AZ436" t="s">
        <v>5253</v>
      </c>
      <c r="BA436">
        <v>1.1639999999999999E-2</v>
      </c>
      <c r="BB436">
        <v>1</v>
      </c>
      <c r="BC436" t="s">
        <v>69</v>
      </c>
      <c r="BD436">
        <v>4.1000000000000002E-2</v>
      </c>
      <c r="BE436">
        <v>-0.63900000000000001</v>
      </c>
    </row>
    <row r="437" spans="1:57">
      <c r="A437">
        <v>0</v>
      </c>
      <c r="B437">
        <v>0</v>
      </c>
      <c r="C437">
        <v>0</v>
      </c>
      <c r="D437">
        <v>2933</v>
      </c>
      <c r="E437" t="s">
        <v>3859</v>
      </c>
      <c r="F437" t="s">
        <v>5762</v>
      </c>
      <c r="G437" t="s">
        <v>62</v>
      </c>
      <c r="H437">
        <v>2876931</v>
      </c>
      <c r="I437">
        <v>2877758</v>
      </c>
      <c r="J437" t="s">
        <v>3860</v>
      </c>
      <c r="K437">
        <v>276</v>
      </c>
      <c r="L437" t="s">
        <v>59</v>
      </c>
      <c r="M437">
        <v>5</v>
      </c>
      <c r="N437" t="str">
        <f>HYPERLINK("Gene2933-zp_tree_all.dnd", "Gene2933-tree")</f>
        <v>Gene2933-tree</v>
      </c>
      <c r="O437">
        <v>5</v>
      </c>
      <c r="P437">
        <v>0</v>
      </c>
      <c r="Q437">
        <v>5</v>
      </c>
      <c r="R437">
        <v>0</v>
      </c>
      <c r="S437">
        <v>0</v>
      </c>
      <c r="T437" t="s">
        <v>98</v>
      </c>
      <c r="U437" t="s">
        <v>62</v>
      </c>
      <c r="V437" t="s">
        <v>62</v>
      </c>
      <c r="W437" t="s">
        <v>62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5</v>
      </c>
      <c r="AM437">
        <v>2</v>
      </c>
      <c r="AN437">
        <v>20</v>
      </c>
      <c r="AO437">
        <v>0</v>
      </c>
      <c r="AP437">
        <v>23</v>
      </c>
      <c r="AQ437">
        <v>0</v>
      </c>
      <c r="AR437" t="s">
        <v>64</v>
      </c>
      <c r="AS437" t="s">
        <v>64</v>
      </c>
      <c r="AT437">
        <v>0</v>
      </c>
      <c r="AU437" t="s">
        <v>65</v>
      </c>
      <c r="AV437">
        <v>43</v>
      </c>
      <c r="AW437">
        <v>0</v>
      </c>
      <c r="AX437" t="s">
        <v>3861</v>
      </c>
      <c r="AY437" t="s">
        <v>3862</v>
      </c>
      <c r="AZ437" t="s">
        <v>64</v>
      </c>
      <c r="BA437">
        <v>0</v>
      </c>
      <c r="BB437">
        <v>1</v>
      </c>
      <c r="BC437" t="s">
        <v>69</v>
      </c>
      <c r="BD437">
        <v>0.78300000000000003</v>
      </c>
      <c r="BE437">
        <v>0.627</v>
      </c>
    </row>
    <row r="438" spans="1:57">
      <c r="A438">
        <v>0</v>
      </c>
      <c r="B438">
        <v>0</v>
      </c>
      <c r="C438">
        <v>0</v>
      </c>
      <c r="D438">
        <v>2337</v>
      </c>
      <c r="E438" t="s">
        <v>3010</v>
      </c>
      <c r="F438" t="s">
        <v>5762</v>
      </c>
      <c r="G438" t="s">
        <v>62</v>
      </c>
      <c r="H438">
        <v>2353842</v>
      </c>
      <c r="I438">
        <v>2354672</v>
      </c>
      <c r="J438" t="s">
        <v>3011</v>
      </c>
      <c r="K438">
        <v>277</v>
      </c>
      <c r="L438" t="s">
        <v>59</v>
      </c>
      <c r="M438">
        <v>5</v>
      </c>
      <c r="N438" t="str">
        <f>HYPERLINK("Gene2337-zp_tree_all.dnd", "Gene2337-tree")</f>
        <v>Gene2337-tree</v>
      </c>
      <c r="O438">
        <v>3</v>
      </c>
      <c r="P438">
        <v>2</v>
      </c>
      <c r="Q438">
        <v>3</v>
      </c>
      <c r="R438">
        <v>2</v>
      </c>
      <c r="S438">
        <v>0.4</v>
      </c>
      <c r="T438" t="s">
        <v>84</v>
      </c>
      <c r="U438" t="s">
        <v>135</v>
      </c>
      <c r="V438" t="s">
        <v>62</v>
      </c>
      <c r="W438" t="s">
        <v>62</v>
      </c>
      <c r="X438">
        <v>0</v>
      </c>
      <c r="Y438">
        <v>0</v>
      </c>
      <c r="Z438">
        <v>6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4</v>
      </c>
      <c r="AK438">
        <v>0</v>
      </c>
      <c r="AL438">
        <v>5</v>
      </c>
      <c r="AM438">
        <v>2</v>
      </c>
      <c r="AN438">
        <v>19</v>
      </c>
      <c r="AO438">
        <v>4</v>
      </c>
      <c r="AP438">
        <v>26</v>
      </c>
      <c r="AQ438">
        <v>3</v>
      </c>
      <c r="AR438" t="s">
        <v>3012</v>
      </c>
      <c r="AS438" t="s">
        <v>3013</v>
      </c>
      <c r="AT438">
        <v>0.38100000000000001</v>
      </c>
      <c r="AU438" t="s">
        <v>65</v>
      </c>
      <c r="AV438">
        <v>45</v>
      </c>
      <c r="AW438">
        <v>7</v>
      </c>
      <c r="AX438" t="s">
        <v>3014</v>
      </c>
      <c r="AY438" t="s">
        <v>3015</v>
      </c>
      <c r="AZ438" t="s">
        <v>3016</v>
      </c>
      <c r="BA438">
        <v>4.2139999999999997E-2</v>
      </c>
      <c r="BB438">
        <v>1</v>
      </c>
      <c r="BC438" t="s">
        <v>69</v>
      </c>
      <c r="BD438">
        <v>0.73099999999999998</v>
      </c>
      <c r="BE438">
        <v>0.60299999999999998</v>
      </c>
    </row>
    <row r="439" spans="1:57">
      <c r="A439">
        <v>0</v>
      </c>
      <c r="B439">
        <v>0</v>
      </c>
      <c r="C439">
        <v>0</v>
      </c>
      <c r="D439">
        <v>119</v>
      </c>
      <c r="E439" t="s">
        <v>479</v>
      </c>
      <c r="F439" t="s">
        <v>5762</v>
      </c>
      <c r="G439" t="s">
        <v>57</v>
      </c>
      <c r="H439">
        <v>137311</v>
      </c>
      <c r="I439">
        <v>138141</v>
      </c>
      <c r="J439" t="s">
        <v>480</v>
      </c>
      <c r="K439">
        <v>277</v>
      </c>
      <c r="L439" t="s">
        <v>59</v>
      </c>
      <c r="M439">
        <v>5</v>
      </c>
      <c r="N439" t="str">
        <f>HYPERLINK("Gene119-zp_tree_all.dnd", "Gene119-tree")</f>
        <v>Gene119-tree</v>
      </c>
      <c r="O439">
        <v>5</v>
      </c>
      <c r="P439">
        <v>0</v>
      </c>
      <c r="Q439">
        <v>4</v>
      </c>
      <c r="R439">
        <v>0</v>
      </c>
      <c r="S439">
        <v>0</v>
      </c>
      <c r="T439" t="s">
        <v>150</v>
      </c>
      <c r="U439" t="s">
        <v>62</v>
      </c>
      <c r="V439" t="s">
        <v>62</v>
      </c>
      <c r="W439" t="s">
        <v>62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3</v>
      </c>
      <c r="AM439">
        <v>1</v>
      </c>
      <c r="AN439">
        <v>5</v>
      </c>
      <c r="AO439">
        <v>0</v>
      </c>
      <c r="AP439">
        <v>8</v>
      </c>
      <c r="AQ439">
        <v>0</v>
      </c>
      <c r="AR439" t="s">
        <v>64</v>
      </c>
      <c r="AS439" t="s">
        <v>64</v>
      </c>
      <c r="AT439">
        <v>0</v>
      </c>
      <c r="AU439" t="s">
        <v>65</v>
      </c>
      <c r="AV439">
        <v>13</v>
      </c>
      <c r="AW439">
        <v>0</v>
      </c>
      <c r="AX439" t="s">
        <v>481</v>
      </c>
      <c r="AY439" t="s">
        <v>482</v>
      </c>
      <c r="AZ439" t="s">
        <v>64</v>
      </c>
      <c r="BA439">
        <v>0</v>
      </c>
      <c r="BB439">
        <v>1</v>
      </c>
      <c r="BC439" t="s">
        <v>69</v>
      </c>
      <c r="BD439">
        <v>1.0549999999999999</v>
      </c>
      <c r="BE439">
        <v>0.55200000000000005</v>
      </c>
    </row>
    <row r="440" spans="1:57">
      <c r="A440">
        <v>0</v>
      </c>
      <c r="B440">
        <v>0</v>
      </c>
      <c r="C440">
        <v>2</v>
      </c>
      <c r="D440">
        <v>1598</v>
      </c>
      <c r="E440" t="s">
        <v>2242</v>
      </c>
      <c r="F440" t="s">
        <v>5762</v>
      </c>
      <c r="G440" t="s">
        <v>57</v>
      </c>
      <c r="H440">
        <v>1609327</v>
      </c>
      <c r="I440">
        <v>1610160</v>
      </c>
      <c r="J440" t="s">
        <v>2243</v>
      </c>
      <c r="K440">
        <v>278</v>
      </c>
      <c r="L440" t="s">
        <v>83</v>
      </c>
      <c r="M440">
        <v>4</v>
      </c>
      <c r="N440" t="str">
        <f>HYPERLINK("Gene1598-zp_tree_all.dnd", "Gene1598-tree")</f>
        <v>Gene1598-tree</v>
      </c>
      <c r="O440">
        <v>0</v>
      </c>
      <c r="P440">
        <v>4</v>
      </c>
      <c r="Q440">
        <v>0</v>
      </c>
      <c r="R440">
        <v>4</v>
      </c>
      <c r="S440">
        <v>1</v>
      </c>
      <c r="T440" t="s">
        <v>62</v>
      </c>
      <c r="U440" t="s">
        <v>60</v>
      </c>
      <c r="V440" t="s">
        <v>62</v>
      </c>
      <c r="W440" t="s">
        <v>62</v>
      </c>
      <c r="X440">
        <v>1</v>
      </c>
      <c r="Y440">
        <v>2</v>
      </c>
      <c r="Z440">
        <v>16</v>
      </c>
      <c r="AA440">
        <v>0.11111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2</v>
      </c>
      <c r="AI440">
        <v>2</v>
      </c>
      <c r="AJ440">
        <v>16</v>
      </c>
      <c r="AK440">
        <v>0.11111</v>
      </c>
      <c r="AL440">
        <v>4</v>
      </c>
      <c r="AM440">
        <v>1</v>
      </c>
      <c r="AN440">
        <v>30</v>
      </c>
      <c r="AO440">
        <v>18</v>
      </c>
      <c r="AP440">
        <v>1</v>
      </c>
      <c r="AQ440">
        <v>0</v>
      </c>
      <c r="AR440" t="s">
        <v>2244</v>
      </c>
      <c r="AS440" t="s">
        <v>64</v>
      </c>
      <c r="AT440">
        <v>0.71099999999999997</v>
      </c>
      <c r="AU440" t="s">
        <v>65</v>
      </c>
      <c r="AV440">
        <v>31</v>
      </c>
      <c r="AW440">
        <v>18</v>
      </c>
      <c r="AX440" t="s">
        <v>2245</v>
      </c>
      <c r="AY440" t="s">
        <v>2246</v>
      </c>
      <c r="AZ440" t="s">
        <v>2247</v>
      </c>
      <c r="BA440">
        <v>0.15315000000000001</v>
      </c>
      <c r="BB440">
        <v>1</v>
      </c>
      <c r="BC440" t="s">
        <v>69</v>
      </c>
      <c r="BD440">
        <v>-0.66800000000000004</v>
      </c>
      <c r="BE440">
        <v>-0.86699999999999999</v>
      </c>
    </row>
    <row r="441" spans="1:57">
      <c r="A441">
        <v>0</v>
      </c>
      <c r="B441">
        <v>2</v>
      </c>
      <c r="C441">
        <v>0</v>
      </c>
      <c r="D441">
        <v>4109</v>
      </c>
      <c r="E441" t="s">
        <v>5563</v>
      </c>
      <c r="F441" t="s">
        <v>5762</v>
      </c>
      <c r="G441" t="s">
        <v>62</v>
      </c>
      <c r="H441">
        <v>4073977</v>
      </c>
      <c r="I441">
        <v>4074810</v>
      </c>
      <c r="J441" t="s">
        <v>5564</v>
      </c>
      <c r="K441">
        <v>278</v>
      </c>
      <c r="L441" t="s">
        <v>112</v>
      </c>
      <c r="M441">
        <v>4</v>
      </c>
      <c r="N441" t="str">
        <f>HYPERLINK("Gene4109-zp_tree_all.dnd", "Gene4109-tree")</f>
        <v>Gene4109-tree</v>
      </c>
      <c r="O441">
        <v>1</v>
      </c>
      <c r="P441">
        <v>3</v>
      </c>
      <c r="Q441">
        <v>1</v>
      </c>
      <c r="R441">
        <v>3</v>
      </c>
      <c r="S441">
        <v>0.75</v>
      </c>
      <c r="T441" t="s">
        <v>61</v>
      </c>
      <c r="U441" t="s">
        <v>84</v>
      </c>
      <c r="V441" t="s">
        <v>62</v>
      </c>
      <c r="W441" t="s">
        <v>62</v>
      </c>
      <c r="X441">
        <v>1</v>
      </c>
      <c r="Y441">
        <v>2</v>
      </c>
      <c r="Z441">
        <v>5</v>
      </c>
      <c r="AA441">
        <v>0.28571000000000002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2</v>
      </c>
      <c r="AH441">
        <v>0</v>
      </c>
      <c r="AI441">
        <v>2</v>
      </c>
      <c r="AJ441">
        <v>4</v>
      </c>
      <c r="AK441">
        <v>0.33333000000000002</v>
      </c>
      <c r="AL441">
        <v>4</v>
      </c>
      <c r="AM441">
        <v>1</v>
      </c>
      <c r="AN441">
        <v>41</v>
      </c>
      <c r="AO441">
        <v>6</v>
      </c>
      <c r="AP441">
        <v>4</v>
      </c>
      <c r="AQ441">
        <v>1</v>
      </c>
      <c r="AR441" t="s">
        <v>5565</v>
      </c>
      <c r="AS441" t="s">
        <v>5566</v>
      </c>
      <c r="AT441">
        <v>1.3</v>
      </c>
      <c r="AU441" t="s">
        <v>65</v>
      </c>
      <c r="AV441">
        <v>45</v>
      </c>
      <c r="AW441">
        <v>7</v>
      </c>
      <c r="AX441" t="s">
        <v>5567</v>
      </c>
      <c r="AY441" t="s">
        <v>5568</v>
      </c>
      <c r="AZ441" t="s">
        <v>5569</v>
      </c>
      <c r="BA441">
        <v>3.8769999999999999E-2</v>
      </c>
      <c r="BB441">
        <v>1</v>
      </c>
      <c r="BC441" t="s">
        <v>69</v>
      </c>
      <c r="BD441">
        <v>-0.107</v>
      </c>
      <c r="BE441">
        <v>-0.52100000000000002</v>
      </c>
    </row>
    <row r="442" spans="1:57">
      <c r="A442">
        <v>0</v>
      </c>
      <c r="B442">
        <v>0</v>
      </c>
      <c r="C442">
        <v>0</v>
      </c>
      <c r="D442">
        <v>2555</v>
      </c>
      <c r="E442" t="s">
        <v>3409</v>
      </c>
      <c r="F442" t="s">
        <v>5762</v>
      </c>
      <c r="G442" t="s">
        <v>62</v>
      </c>
      <c r="H442">
        <v>2543971</v>
      </c>
      <c r="I442">
        <v>2544804</v>
      </c>
      <c r="J442" t="s">
        <v>3410</v>
      </c>
      <c r="K442">
        <v>278</v>
      </c>
      <c r="L442" t="s">
        <v>83</v>
      </c>
      <c r="M442">
        <v>4</v>
      </c>
      <c r="N442" t="str">
        <f>HYPERLINK("Gene2555-zp_tree_all.dnd", "Gene2555-tree")</f>
        <v>Gene2555-tree</v>
      </c>
      <c r="O442">
        <v>1</v>
      </c>
      <c r="P442">
        <v>3</v>
      </c>
      <c r="Q442">
        <v>1</v>
      </c>
      <c r="R442">
        <v>3</v>
      </c>
      <c r="S442">
        <v>0.75</v>
      </c>
      <c r="T442" t="s">
        <v>61</v>
      </c>
      <c r="U442" t="s">
        <v>84</v>
      </c>
      <c r="V442" t="s">
        <v>62</v>
      </c>
      <c r="W442" t="s">
        <v>62</v>
      </c>
      <c r="X442">
        <v>0</v>
      </c>
      <c r="Y442">
        <v>0</v>
      </c>
      <c r="Z442">
        <v>6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6</v>
      </c>
      <c r="AK442">
        <v>0</v>
      </c>
      <c r="AL442">
        <v>4</v>
      </c>
      <c r="AM442">
        <v>1</v>
      </c>
      <c r="AN442">
        <v>44</v>
      </c>
      <c r="AO442">
        <v>6</v>
      </c>
      <c r="AP442">
        <v>5</v>
      </c>
      <c r="AQ442">
        <v>0</v>
      </c>
      <c r="AR442" t="s">
        <v>3411</v>
      </c>
      <c r="AS442" t="s">
        <v>64</v>
      </c>
      <c r="AT442">
        <v>0.99</v>
      </c>
      <c r="AU442" t="s">
        <v>65</v>
      </c>
      <c r="AV442">
        <v>49</v>
      </c>
      <c r="AW442">
        <v>6</v>
      </c>
      <c r="AX442" t="s">
        <v>3412</v>
      </c>
      <c r="AY442" t="s">
        <v>3413</v>
      </c>
      <c r="AZ442" t="s">
        <v>3414</v>
      </c>
      <c r="BA442">
        <v>3.0640000000000001E-2</v>
      </c>
      <c r="BB442">
        <v>1</v>
      </c>
      <c r="BC442" t="s">
        <v>69</v>
      </c>
      <c r="BD442">
        <v>-0.44800000000000001</v>
      </c>
      <c r="BE442">
        <v>-0.628</v>
      </c>
    </row>
    <row r="443" spans="1:57">
      <c r="A443">
        <v>0</v>
      </c>
      <c r="B443">
        <v>0</v>
      </c>
      <c r="C443">
        <v>0</v>
      </c>
      <c r="D443">
        <v>1147</v>
      </c>
      <c r="E443" t="s">
        <v>1605</v>
      </c>
      <c r="F443" t="s">
        <v>5762</v>
      </c>
      <c r="G443" t="s">
        <v>57</v>
      </c>
      <c r="H443">
        <v>1188689</v>
      </c>
      <c r="I443">
        <v>1189528</v>
      </c>
      <c r="J443" t="s">
        <v>1547</v>
      </c>
      <c r="K443">
        <v>280</v>
      </c>
      <c r="L443" t="s">
        <v>59</v>
      </c>
      <c r="M443">
        <v>5</v>
      </c>
      <c r="N443" t="str">
        <f>HYPERLINK("Gene1147-zp_tree_all.dnd", "Gene1147-tree")</f>
        <v>Gene1147-tree</v>
      </c>
      <c r="O443">
        <v>4</v>
      </c>
      <c r="P443">
        <v>1</v>
      </c>
      <c r="Q443">
        <v>3</v>
      </c>
      <c r="R443">
        <v>1</v>
      </c>
      <c r="S443">
        <v>0.25</v>
      </c>
      <c r="T443" t="s">
        <v>119</v>
      </c>
      <c r="U443" t="s">
        <v>61</v>
      </c>
      <c r="V443" t="s">
        <v>62</v>
      </c>
      <c r="W443" t="s">
        <v>62</v>
      </c>
      <c r="X443">
        <v>0</v>
      </c>
      <c r="Y443">
        <v>0</v>
      </c>
      <c r="Z443">
        <v>3</v>
      </c>
      <c r="AA443">
        <v>0</v>
      </c>
      <c r="AB443">
        <v>0</v>
      </c>
      <c r="AC443">
        <v>0</v>
      </c>
      <c r="AD443">
        <v>0</v>
      </c>
      <c r="AE443">
        <v>2</v>
      </c>
      <c r="AF443">
        <v>0</v>
      </c>
      <c r="AG443">
        <v>0</v>
      </c>
      <c r="AH443">
        <v>0</v>
      </c>
      <c r="AI443">
        <v>0</v>
      </c>
      <c r="AJ443">
        <v>1</v>
      </c>
      <c r="AK443">
        <v>0</v>
      </c>
      <c r="AL443">
        <v>4</v>
      </c>
      <c r="AM443">
        <v>1</v>
      </c>
      <c r="AN443">
        <v>31</v>
      </c>
      <c r="AO443">
        <v>1</v>
      </c>
      <c r="AP443">
        <v>17</v>
      </c>
      <c r="AQ443">
        <v>2</v>
      </c>
      <c r="AR443" t="s">
        <v>1606</v>
      </c>
      <c r="AS443" t="s">
        <v>1607</v>
      </c>
      <c r="AT443">
        <v>1.65</v>
      </c>
      <c r="AU443" t="s">
        <v>65</v>
      </c>
      <c r="AV443">
        <v>48</v>
      </c>
      <c r="AW443">
        <v>3</v>
      </c>
      <c r="AX443" t="s">
        <v>1608</v>
      </c>
      <c r="AY443" t="s">
        <v>1609</v>
      </c>
      <c r="AZ443" t="s">
        <v>1610</v>
      </c>
      <c r="BA443">
        <v>2.1260000000000001E-2</v>
      </c>
      <c r="BB443">
        <v>1</v>
      </c>
      <c r="BC443" t="s">
        <v>69</v>
      </c>
      <c r="BD443">
        <v>0.61499999999999999</v>
      </c>
      <c r="BE443">
        <v>1.2999999999999999E-2</v>
      </c>
    </row>
    <row r="444" spans="1:57">
      <c r="A444">
        <v>0</v>
      </c>
      <c r="B444">
        <v>0</v>
      </c>
      <c r="C444">
        <v>0</v>
      </c>
      <c r="D444">
        <v>2528</v>
      </c>
      <c r="E444" t="s">
        <v>3301</v>
      </c>
      <c r="F444" t="s">
        <v>5762</v>
      </c>
      <c r="G444" t="s">
        <v>62</v>
      </c>
      <c r="H444">
        <v>2522874</v>
      </c>
      <c r="I444">
        <v>2523716</v>
      </c>
      <c r="J444" t="s">
        <v>3302</v>
      </c>
      <c r="K444">
        <v>281</v>
      </c>
      <c r="L444" t="s">
        <v>83</v>
      </c>
      <c r="M444">
        <v>4</v>
      </c>
      <c r="N444" t="str">
        <f>HYPERLINK("Gene2528-zp_tree_all.dnd", "Gene2528-tree")</f>
        <v>Gene2528-tree</v>
      </c>
      <c r="O444">
        <v>2</v>
      </c>
      <c r="P444">
        <v>2</v>
      </c>
      <c r="Q444">
        <v>2</v>
      </c>
      <c r="R444">
        <v>2</v>
      </c>
      <c r="S444">
        <v>0.5</v>
      </c>
      <c r="T444" t="s">
        <v>135</v>
      </c>
      <c r="U444" t="s">
        <v>135</v>
      </c>
      <c r="V444" t="s">
        <v>62</v>
      </c>
      <c r="W444" t="s">
        <v>62</v>
      </c>
      <c r="X444">
        <v>0</v>
      </c>
      <c r="Y444">
        <v>0</v>
      </c>
      <c r="Z444">
        <v>6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6</v>
      </c>
      <c r="AK444">
        <v>0</v>
      </c>
      <c r="AL444">
        <v>4</v>
      </c>
      <c r="AM444">
        <v>1</v>
      </c>
      <c r="AN444">
        <v>32</v>
      </c>
      <c r="AO444">
        <v>6</v>
      </c>
      <c r="AP444">
        <v>2</v>
      </c>
      <c r="AQ444">
        <v>0</v>
      </c>
      <c r="AR444" t="s">
        <v>3303</v>
      </c>
      <c r="AS444" t="s">
        <v>64</v>
      </c>
      <c r="AT444">
        <v>0.66900000000000004</v>
      </c>
      <c r="AU444" t="s">
        <v>65</v>
      </c>
      <c r="AV444">
        <v>34</v>
      </c>
      <c r="AW444">
        <v>6</v>
      </c>
      <c r="AX444" t="s">
        <v>3304</v>
      </c>
      <c r="AY444" t="s">
        <v>3305</v>
      </c>
      <c r="AZ444" t="s">
        <v>3306</v>
      </c>
      <c r="BA444">
        <v>5.0889999999999998E-2</v>
      </c>
      <c r="BB444">
        <v>1</v>
      </c>
      <c r="BC444" t="s">
        <v>69</v>
      </c>
      <c r="BD444">
        <v>-0.35</v>
      </c>
      <c r="BE444">
        <v>-0.60699999999999998</v>
      </c>
    </row>
    <row r="445" spans="1:57">
      <c r="A445">
        <v>0</v>
      </c>
      <c r="B445">
        <v>0</v>
      </c>
      <c r="C445">
        <v>0</v>
      </c>
      <c r="D445">
        <v>146</v>
      </c>
      <c r="E445" t="s">
        <v>564</v>
      </c>
      <c r="F445" t="s">
        <v>5762</v>
      </c>
      <c r="G445" t="s">
        <v>57</v>
      </c>
      <c r="H445">
        <v>150443</v>
      </c>
      <c r="I445">
        <v>151285</v>
      </c>
      <c r="J445" t="s">
        <v>565</v>
      </c>
      <c r="K445">
        <v>281</v>
      </c>
      <c r="L445" t="s">
        <v>59</v>
      </c>
      <c r="M445">
        <v>5</v>
      </c>
      <c r="N445" t="str">
        <f>HYPERLINK("Gene146-zp_tree_all.dnd", "Gene146-tree")</f>
        <v>Gene146-tree</v>
      </c>
      <c r="O445">
        <v>3</v>
      </c>
      <c r="P445">
        <v>2</v>
      </c>
      <c r="Q445">
        <v>3</v>
      </c>
      <c r="R445">
        <v>2</v>
      </c>
      <c r="S445">
        <v>0.4</v>
      </c>
      <c r="T445" t="s">
        <v>84</v>
      </c>
      <c r="U445" t="s">
        <v>135</v>
      </c>
      <c r="V445" t="s">
        <v>62</v>
      </c>
      <c r="W445" t="s">
        <v>62</v>
      </c>
      <c r="X445">
        <v>0</v>
      </c>
      <c r="Y445">
        <v>0</v>
      </c>
      <c r="Z445">
        <v>4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3</v>
      </c>
      <c r="AK445">
        <v>0</v>
      </c>
      <c r="AL445">
        <v>4</v>
      </c>
      <c r="AM445">
        <v>1</v>
      </c>
      <c r="AN445">
        <v>11</v>
      </c>
      <c r="AO445">
        <v>3</v>
      </c>
      <c r="AP445">
        <v>17</v>
      </c>
      <c r="AQ445">
        <v>1</v>
      </c>
      <c r="AR445" t="s">
        <v>566</v>
      </c>
      <c r="AS445" t="s">
        <v>567</v>
      </c>
      <c r="AT445">
        <v>0.88900000000000001</v>
      </c>
      <c r="AU445" t="s">
        <v>65</v>
      </c>
      <c r="AV445">
        <v>28</v>
      </c>
      <c r="AW445">
        <v>4</v>
      </c>
      <c r="AX445" t="s">
        <v>568</v>
      </c>
      <c r="AY445" t="s">
        <v>569</v>
      </c>
      <c r="AZ445" t="s">
        <v>570</v>
      </c>
      <c r="BA445">
        <v>3.3590000000000002E-2</v>
      </c>
      <c r="BB445">
        <v>1</v>
      </c>
      <c r="BC445" t="s">
        <v>69</v>
      </c>
      <c r="BD445">
        <v>0.66400000000000003</v>
      </c>
      <c r="BE445">
        <v>0.66400000000000003</v>
      </c>
    </row>
    <row r="446" spans="1:57">
      <c r="A446">
        <v>0</v>
      </c>
      <c r="B446">
        <v>0</v>
      </c>
      <c r="C446">
        <v>0</v>
      </c>
      <c r="D446">
        <v>2990</v>
      </c>
      <c r="E446" t="s">
        <v>3983</v>
      </c>
      <c r="F446" t="s">
        <v>5762</v>
      </c>
      <c r="G446" t="s">
        <v>62</v>
      </c>
      <c r="H446">
        <v>2939854</v>
      </c>
      <c r="I446">
        <v>2940696</v>
      </c>
      <c r="J446" t="s">
        <v>3984</v>
      </c>
      <c r="K446">
        <v>281</v>
      </c>
      <c r="L446" t="s">
        <v>59</v>
      </c>
      <c r="M446">
        <v>5</v>
      </c>
      <c r="N446" t="str">
        <f>HYPERLINK("Gene2990-zp_tree_all.dnd", "Gene2990-tree")</f>
        <v>Gene2990-tree</v>
      </c>
      <c r="O446">
        <v>2</v>
      </c>
      <c r="P446">
        <v>3</v>
      </c>
      <c r="Q446">
        <v>2</v>
      </c>
      <c r="R446">
        <v>3</v>
      </c>
      <c r="S446">
        <v>0.6</v>
      </c>
      <c r="T446" t="s">
        <v>135</v>
      </c>
      <c r="U446" t="s">
        <v>84</v>
      </c>
      <c r="V446" t="s">
        <v>62</v>
      </c>
      <c r="W446" t="s">
        <v>62</v>
      </c>
      <c r="X446">
        <v>0</v>
      </c>
      <c r="Y446">
        <v>0</v>
      </c>
      <c r="Z446">
        <v>6</v>
      </c>
      <c r="AA446">
        <v>0</v>
      </c>
      <c r="AB446">
        <v>0</v>
      </c>
      <c r="AC446">
        <v>0</v>
      </c>
      <c r="AD446">
        <v>0</v>
      </c>
      <c r="AE446">
        <v>1</v>
      </c>
      <c r="AF446">
        <v>0</v>
      </c>
      <c r="AG446">
        <v>0</v>
      </c>
      <c r="AH446">
        <v>0</v>
      </c>
      <c r="AI446">
        <v>0</v>
      </c>
      <c r="AJ446">
        <v>4</v>
      </c>
      <c r="AK446">
        <v>0</v>
      </c>
      <c r="AL446">
        <v>5</v>
      </c>
      <c r="AM446">
        <v>2</v>
      </c>
      <c r="AN446">
        <v>36</v>
      </c>
      <c r="AO446">
        <v>4</v>
      </c>
      <c r="AP446">
        <v>31</v>
      </c>
      <c r="AQ446">
        <v>3</v>
      </c>
      <c r="AR446" t="s">
        <v>3985</v>
      </c>
      <c r="AS446" t="s">
        <v>3986</v>
      </c>
      <c r="AT446">
        <v>0.29399999999999998</v>
      </c>
      <c r="AU446" t="s">
        <v>65</v>
      </c>
      <c r="AV446">
        <v>67</v>
      </c>
      <c r="AW446">
        <v>7</v>
      </c>
      <c r="AX446" t="s">
        <v>3987</v>
      </c>
      <c r="AY446" t="s">
        <v>3988</v>
      </c>
      <c r="AZ446" t="s">
        <v>3989</v>
      </c>
      <c r="BA446">
        <v>2.981E-2</v>
      </c>
      <c r="BB446">
        <v>1</v>
      </c>
      <c r="BC446" t="s">
        <v>69</v>
      </c>
      <c r="BD446">
        <v>0.59799999999999998</v>
      </c>
      <c r="BE446">
        <v>0.38600000000000001</v>
      </c>
    </row>
    <row r="447" spans="1:57">
      <c r="A447">
        <v>0</v>
      </c>
      <c r="B447">
        <v>0</v>
      </c>
      <c r="C447">
        <v>0</v>
      </c>
      <c r="D447">
        <v>4248</v>
      </c>
      <c r="E447" t="s">
        <v>5704</v>
      </c>
      <c r="F447" t="s">
        <v>5762</v>
      </c>
      <c r="G447" t="s">
        <v>62</v>
      </c>
      <c r="H447">
        <v>4205559</v>
      </c>
      <c r="I447">
        <v>4206404</v>
      </c>
      <c r="J447" t="s">
        <v>5705</v>
      </c>
      <c r="K447">
        <v>282</v>
      </c>
      <c r="L447" t="s">
        <v>83</v>
      </c>
      <c r="M447">
        <v>4</v>
      </c>
      <c r="N447" t="str">
        <f>HYPERLINK("Gene4248-zp_tree_all.dnd", "Gene4248-tree")</f>
        <v>Gene4248-tree</v>
      </c>
      <c r="O447">
        <v>0</v>
      </c>
      <c r="P447">
        <v>4</v>
      </c>
      <c r="Q447">
        <v>0</v>
      </c>
      <c r="R447">
        <v>4</v>
      </c>
      <c r="S447">
        <v>1</v>
      </c>
      <c r="T447" t="s">
        <v>62</v>
      </c>
      <c r="U447" t="s">
        <v>60</v>
      </c>
      <c r="V447" t="s">
        <v>62</v>
      </c>
      <c r="W447" t="s">
        <v>62</v>
      </c>
      <c r="X447">
        <v>0</v>
      </c>
      <c r="Y447">
        <v>0</v>
      </c>
      <c r="Z447">
        <v>6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7</v>
      </c>
      <c r="AK447">
        <v>0</v>
      </c>
      <c r="AL447">
        <v>4</v>
      </c>
      <c r="AM447">
        <v>1</v>
      </c>
      <c r="AN447">
        <v>42</v>
      </c>
      <c r="AO447">
        <v>7</v>
      </c>
      <c r="AP447">
        <v>2</v>
      </c>
      <c r="AQ447">
        <v>0</v>
      </c>
      <c r="AR447" t="s">
        <v>5706</v>
      </c>
      <c r="AS447" t="s">
        <v>64</v>
      </c>
      <c r="AT447">
        <v>0.96399999999999997</v>
      </c>
      <c r="AU447" t="s">
        <v>65</v>
      </c>
      <c r="AV447">
        <v>44</v>
      </c>
      <c r="AW447">
        <v>7</v>
      </c>
      <c r="AX447" t="s">
        <v>5707</v>
      </c>
      <c r="AY447" t="s">
        <v>5708</v>
      </c>
      <c r="AZ447" t="s">
        <v>5709</v>
      </c>
      <c r="BA447">
        <v>4.1459999999999997E-2</v>
      </c>
      <c r="BB447">
        <v>1</v>
      </c>
      <c r="BC447" t="s">
        <v>69</v>
      </c>
      <c r="BD447">
        <v>-0.67700000000000005</v>
      </c>
      <c r="BE447">
        <v>-0.86699999999999999</v>
      </c>
    </row>
    <row r="448" spans="1:57">
      <c r="A448">
        <v>0</v>
      </c>
      <c r="B448">
        <v>2</v>
      </c>
      <c r="C448">
        <v>0</v>
      </c>
      <c r="D448">
        <v>300</v>
      </c>
      <c r="E448" t="s">
        <v>731</v>
      </c>
      <c r="F448" t="s">
        <v>5762</v>
      </c>
      <c r="G448" t="s">
        <v>57</v>
      </c>
      <c r="H448">
        <v>322271</v>
      </c>
      <c r="I448">
        <v>323116</v>
      </c>
      <c r="J448" t="s">
        <v>732</v>
      </c>
      <c r="K448">
        <v>282</v>
      </c>
      <c r="L448" t="s">
        <v>59</v>
      </c>
      <c r="M448">
        <v>5</v>
      </c>
      <c r="N448" t="str">
        <f>HYPERLINK("Gene300-zp_tree_all.dnd", "Gene300-tree")</f>
        <v>Gene300-tree</v>
      </c>
      <c r="O448">
        <v>2</v>
      </c>
      <c r="P448">
        <v>3</v>
      </c>
      <c r="Q448">
        <v>2</v>
      </c>
      <c r="R448">
        <v>3</v>
      </c>
      <c r="S448">
        <v>0.6</v>
      </c>
      <c r="T448" t="s">
        <v>135</v>
      </c>
      <c r="U448" t="s">
        <v>84</v>
      </c>
      <c r="V448" t="s">
        <v>62</v>
      </c>
      <c r="W448" t="s">
        <v>62</v>
      </c>
      <c r="X448">
        <v>1</v>
      </c>
      <c r="Y448">
        <v>2</v>
      </c>
      <c r="Z448">
        <v>4</v>
      </c>
      <c r="AA448">
        <v>0.33333000000000002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4</v>
      </c>
      <c r="AK448">
        <v>0</v>
      </c>
      <c r="AL448">
        <v>5</v>
      </c>
      <c r="AM448">
        <v>2</v>
      </c>
      <c r="AN448">
        <v>32</v>
      </c>
      <c r="AO448">
        <v>4</v>
      </c>
      <c r="AP448">
        <v>19</v>
      </c>
      <c r="AQ448">
        <v>2</v>
      </c>
      <c r="AR448" t="s">
        <v>733</v>
      </c>
      <c r="AS448" t="s">
        <v>734</v>
      </c>
      <c r="AT448">
        <v>0.189</v>
      </c>
      <c r="AU448" t="s">
        <v>65</v>
      </c>
      <c r="AV448">
        <v>51</v>
      </c>
      <c r="AW448">
        <v>6</v>
      </c>
      <c r="AX448" t="s">
        <v>735</v>
      </c>
      <c r="AY448" t="s">
        <v>736</v>
      </c>
      <c r="AZ448" t="s">
        <v>737</v>
      </c>
      <c r="BA448">
        <v>3.3020000000000001E-2</v>
      </c>
      <c r="BB448">
        <v>1</v>
      </c>
      <c r="BC448" t="s">
        <v>69</v>
      </c>
      <c r="BD448">
        <v>0.22</v>
      </c>
      <c r="BE448">
        <v>-6.3E-2</v>
      </c>
    </row>
    <row r="449" spans="1:57">
      <c r="A449">
        <v>0</v>
      </c>
      <c r="B449">
        <v>0</v>
      </c>
      <c r="C449">
        <v>0</v>
      </c>
      <c r="D449">
        <v>3357</v>
      </c>
      <c r="E449" t="s">
        <v>4585</v>
      </c>
      <c r="F449" t="s">
        <v>5762</v>
      </c>
      <c r="G449" t="s">
        <v>62</v>
      </c>
      <c r="H449">
        <v>3325920</v>
      </c>
      <c r="I449">
        <v>3326765</v>
      </c>
      <c r="J449" t="s">
        <v>118</v>
      </c>
      <c r="K449">
        <v>282</v>
      </c>
      <c r="L449" t="s">
        <v>59</v>
      </c>
      <c r="M449">
        <v>5</v>
      </c>
      <c r="N449" t="str">
        <f>HYPERLINK("Gene3357-zp_tree_all.dnd", "Gene3357-tree")</f>
        <v>Gene3357-tree</v>
      </c>
      <c r="O449">
        <v>3</v>
      </c>
      <c r="P449">
        <v>2</v>
      </c>
      <c r="Q449">
        <v>3</v>
      </c>
      <c r="R449">
        <v>2</v>
      </c>
      <c r="S449">
        <v>0.4</v>
      </c>
      <c r="T449" t="s">
        <v>84</v>
      </c>
      <c r="U449" t="s">
        <v>135</v>
      </c>
      <c r="V449" t="s">
        <v>62</v>
      </c>
      <c r="W449" t="s">
        <v>62</v>
      </c>
      <c r="X449">
        <v>0</v>
      </c>
      <c r="Y449">
        <v>0</v>
      </c>
      <c r="Z449">
        <v>4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3</v>
      </c>
      <c r="AK449">
        <v>0</v>
      </c>
      <c r="AL449">
        <v>5</v>
      </c>
      <c r="AM449">
        <v>2</v>
      </c>
      <c r="AN449">
        <v>24</v>
      </c>
      <c r="AO449">
        <v>3</v>
      </c>
      <c r="AP449">
        <v>19</v>
      </c>
      <c r="AQ449">
        <v>1</v>
      </c>
      <c r="AR449" t="s">
        <v>4586</v>
      </c>
      <c r="AS449" t="s">
        <v>4587</v>
      </c>
      <c r="AT449">
        <v>0.55900000000000005</v>
      </c>
      <c r="AU449" t="s">
        <v>65</v>
      </c>
      <c r="AV449">
        <v>43</v>
      </c>
      <c r="AW449">
        <v>4</v>
      </c>
      <c r="AX449" t="s">
        <v>4588</v>
      </c>
      <c r="AY449" t="s">
        <v>4589</v>
      </c>
      <c r="AZ449" t="s">
        <v>4590</v>
      </c>
      <c r="BA449">
        <v>2.249E-2</v>
      </c>
      <c r="BB449">
        <v>1</v>
      </c>
      <c r="BC449" t="s">
        <v>69</v>
      </c>
      <c r="BD449">
        <v>0.314</v>
      </c>
      <c r="BE449">
        <v>-0.185</v>
      </c>
    </row>
    <row r="450" spans="1:57">
      <c r="A450">
        <v>0</v>
      </c>
      <c r="B450">
        <v>0</v>
      </c>
      <c r="C450">
        <v>0</v>
      </c>
      <c r="D450">
        <v>4251</v>
      </c>
      <c r="E450" t="s">
        <v>5712</v>
      </c>
      <c r="F450" t="s">
        <v>5762</v>
      </c>
      <c r="G450" t="s">
        <v>62</v>
      </c>
      <c r="H450">
        <v>4207900</v>
      </c>
      <c r="I450">
        <v>4208748</v>
      </c>
      <c r="J450" t="s">
        <v>5713</v>
      </c>
      <c r="K450">
        <v>283</v>
      </c>
      <c r="L450" t="s">
        <v>59</v>
      </c>
      <c r="M450">
        <v>5</v>
      </c>
      <c r="N450" t="str">
        <f>HYPERLINK("Gene4251-zp_tree_all.dnd", "Gene4251-tree")</f>
        <v>Gene4251-tree</v>
      </c>
      <c r="O450">
        <v>4</v>
      </c>
      <c r="P450">
        <v>1</v>
      </c>
      <c r="Q450">
        <v>4</v>
      </c>
      <c r="R450">
        <v>1</v>
      </c>
      <c r="S450">
        <v>0.2</v>
      </c>
      <c r="T450" t="s">
        <v>60</v>
      </c>
      <c r="U450" t="s">
        <v>61</v>
      </c>
      <c r="V450" t="s">
        <v>62</v>
      </c>
      <c r="W450" t="s">
        <v>62</v>
      </c>
      <c r="X450">
        <v>0</v>
      </c>
      <c r="Y450">
        <v>0</v>
      </c>
      <c r="Z450">
        <v>3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1</v>
      </c>
      <c r="AK450">
        <v>0</v>
      </c>
      <c r="AL450">
        <v>5</v>
      </c>
      <c r="AM450">
        <v>2</v>
      </c>
      <c r="AN450">
        <v>10</v>
      </c>
      <c r="AO450">
        <v>1</v>
      </c>
      <c r="AP450">
        <v>22</v>
      </c>
      <c r="AQ450">
        <v>2</v>
      </c>
      <c r="AR450" t="s">
        <v>5714</v>
      </c>
      <c r="AS450" t="s">
        <v>5715</v>
      </c>
      <c r="AT450">
        <v>7.0000000000000007E-2</v>
      </c>
      <c r="AU450" t="s">
        <v>65</v>
      </c>
      <c r="AV450">
        <v>32</v>
      </c>
      <c r="AW450">
        <v>3</v>
      </c>
      <c r="AX450" t="s">
        <v>5716</v>
      </c>
      <c r="AY450" t="s">
        <v>5717</v>
      </c>
      <c r="AZ450" t="s">
        <v>5718</v>
      </c>
      <c r="BA450">
        <v>2.402E-2</v>
      </c>
      <c r="BB450">
        <v>1</v>
      </c>
      <c r="BC450" t="s">
        <v>69</v>
      </c>
      <c r="BD450">
        <v>0.89300000000000002</v>
      </c>
      <c r="BE450">
        <v>0.89300000000000002</v>
      </c>
    </row>
    <row r="451" spans="1:57">
      <c r="A451">
        <v>0</v>
      </c>
      <c r="B451">
        <v>0</v>
      </c>
      <c r="C451">
        <v>0</v>
      </c>
      <c r="D451">
        <v>2533</v>
      </c>
      <c r="E451" t="s">
        <v>3319</v>
      </c>
      <c r="F451" t="s">
        <v>5762</v>
      </c>
      <c r="G451" t="s">
        <v>62</v>
      </c>
      <c r="H451">
        <v>2528407</v>
      </c>
      <c r="I451">
        <v>2529255</v>
      </c>
      <c r="J451" t="s">
        <v>3320</v>
      </c>
      <c r="K451">
        <v>283</v>
      </c>
      <c r="L451" t="s">
        <v>59</v>
      </c>
      <c r="M451">
        <v>5</v>
      </c>
      <c r="N451" t="str">
        <f>HYPERLINK("Gene2533-zp_tree_all.dnd", "Gene2533-tree")</f>
        <v>Gene2533-tree</v>
      </c>
      <c r="O451">
        <v>4</v>
      </c>
      <c r="P451">
        <v>1</v>
      </c>
      <c r="Q451">
        <v>4</v>
      </c>
      <c r="R451">
        <v>1</v>
      </c>
      <c r="S451">
        <v>0.2</v>
      </c>
      <c r="T451" t="s">
        <v>60</v>
      </c>
      <c r="U451" t="s">
        <v>61</v>
      </c>
      <c r="V451" t="s">
        <v>62</v>
      </c>
      <c r="W451" t="s">
        <v>62</v>
      </c>
      <c r="X451">
        <v>0</v>
      </c>
      <c r="Y451">
        <v>0</v>
      </c>
      <c r="Z451">
        <v>2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1</v>
      </c>
      <c r="AK451">
        <v>0</v>
      </c>
      <c r="AL451">
        <v>5</v>
      </c>
      <c r="AM451">
        <v>2</v>
      </c>
      <c r="AN451">
        <v>14</v>
      </c>
      <c r="AO451">
        <v>1</v>
      </c>
      <c r="AP451">
        <v>17</v>
      </c>
      <c r="AQ451">
        <v>1</v>
      </c>
      <c r="AR451" t="s">
        <v>3321</v>
      </c>
      <c r="AS451" t="s">
        <v>3322</v>
      </c>
      <c r="AT451">
        <v>9.4E-2</v>
      </c>
      <c r="AU451" t="s">
        <v>65</v>
      </c>
      <c r="AV451">
        <v>31</v>
      </c>
      <c r="AW451">
        <v>2</v>
      </c>
      <c r="AX451" t="s">
        <v>3323</v>
      </c>
      <c r="AY451" t="s">
        <v>3324</v>
      </c>
      <c r="AZ451" t="s">
        <v>3325</v>
      </c>
      <c r="BA451">
        <v>1.806E-2</v>
      </c>
      <c r="BB451">
        <v>1</v>
      </c>
      <c r="BC451" t="s">
        <v>69</v>
      </c>
      <c r="BD451">
        <v>0.86499999999999999</v>
      </c>
      <c r="BE451">
        <v>0.36199999999999999</v>
      </c>
    </row>
    <row r="452" spans="1:57">
      <c r="A452">
        <v>0</v>
      </c>
      <c r="B452">
        <v>0</v>
      </c>
      <c r="C452">
        <v>0</v>
      </c>
      <c r="D452">
        <v>3848</v>
      </c>
      <c r="E452" t="s">
        <v>5212</v>
      </c>
      <c r="F452" t="s">
        <v>5762</v>
      </c>
      <c r="G452" t="s">
        <v>62</v>
      </c>
      <c r="H452">
        <v>3808515</v>
      </c>
      <c r="I452">
        <v>3809369</v>
      </c>
      <c r="J452" t="s">
        <v>5213</v>
      </c>
      <c r="K452">
        <v>285</v>
      </c>
      <c r="L452" t="s">
        <v>59</v>
      </c>
      <c r="M452">
        <v>5</v>
      </c>
      <c r="N452" t="str">
        <f>HYPERLINK("Gene3848-zp_tree_all.dnd", "Gene3848-tree")</f>
        <v>Gene3848-tree</v>
      </c>
      <c r="O452">
        <v>3</v>
      </c>
      <c r="P452">
        <v>2</v>
      </c>
      <c r="Q452">
        <v>3</v>
      </c>
      <c r="R452">
        <v>2</v>
      </c>
      <c r="S452">
        <v>0.4</v>
      </c>
      <c r="T452" t="s">
        <v>84</v>
      </c>
      <c r="U452" t="s">
        <v>135</v>
      </c>
      <c r="V452" t="s">
        <v>62</v>
      </c>
      <c r="W452" t="s">
        <v>62</v>
      </c>
      <c r="X452">
        <v>0</v>
      </c>
      <c r="Y452">
        <v>0</v>
      </c>
      <c r="Z452">
        <v>5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4</v>
      </c>
      <c r="AK452">
        <v>0</v>
      </c>
      <c r="AL452">
        <v>5</v>
      </c>
      <c r="AM452">
        <v>1</v>
      </c>
      <c r="AN452">
        <v>16</v>
      </c>
      <c r="AO452">
        <v>4</v>
      </c>
      <c r="AP452">
        <v>4</v>
      </c>
      <c r="AQ452">
        <v>1</v>
      </c>
      <c r="AR452" t="s">
        <v>5214</v>
      </c>
      <c r="AS452" t="s">
        <v>5215</v>
      </c>
      <c r="AT452">
        <v>2E-3</v>
      </c>
      <c r="AU452" t="s">
        <v>65</v>
      </c>
      <c r="AV452">
        <v>20</v>
      </c>
      <c r="AW452">
        <v>5</v>
      </c>
      <c r="AX452" t="s">
        <v>5216</v>
      </c>
      <c r="AY452" t="s">
        <v>5217</v>
      </c>
      <c r="AZ452" t="s">
        <v>5218</v>
      </c>
      <c r="BA452">
        <v>7.7420000000000003E-2</v>
      </c>
      <c r="BB452">
        <v>1</v>
      </c>
      <c r="BC452" t="s">
        <v>69</v>
      </c>
      <c r="BD452">
        <v>-0.46500000000000002</v>
      </c>
      <c r="BE452">
        <v>-0.46500000000000002</v>
      </c>
    </row>
    <row r="453" spans="1:57">
      <c r="A453">
        <v>0</v>
      </c>
      <c r="B453">
        <v>0</v>
      </c>
      <c r="C453">
        <v>0</v>
      </c>
      <c r="D453">
        <v>47</v>
      </c>
      <c r="E453" t="s">
        <v>181</v>
      </c>
      <c r="F453" t="s">
        <v>5762</v>
      </c>
      <c r="G453" t="s">
        <v>57</v>
      </c>
      <c r="H453">
        <v>54441</v>
      </c>
      <c r="I453">
        <v>55295</v>
      </c>
      <c r="J453" t="s">
        <v>182</v>
      </c>
      <c r="K453">
        <v>285</v>
      </c>
      <c r="L453" t="s">
        <v>59</v>
      </c>
      <c r="M453">
        <v>5</v>
      </c>
      <c r="N453" t="str">
        <f>HYPERLINK("Gene47-zp_tree_all.dnd", "Gene47-tree")</f>
        <v>Gene47-tree</v>
      </c>
      <c r="O453">
        <v>5</v>
      </c>
      <c r="P453">
        <v>0</v>
      </c>
      <c r="Q453">
        <v>5</v>
      </c>
      <c r="R453">
        <v>0</v>
      </c>
      <c r="S453">
        <v>0</v>
      </c>
      <c r="T453" t="s">
        <v>98</v>
      </c>
      <c r="U453" t="s">
        <v>62</v>
      </c>
      <c r="V453" t="s">
        <v>62</v>
      </c>
      <c r="W453" t="s">
        <v>62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4</v>
      </c>
      <c r="AM453">
        <v>2</v>
      </c>
      <c r="AN453">
        <v>13</v>
      </c>
      <c r="AO453">
        <v>0</v>
      </c>
      <c r="AP453">
        <v>22</v>
      </c>
      <c r="AQ453">
        <v>0</v>
      </c>
      <c r="AR453" t="s">
        <v>64</v>
      </c>
      <c r="AS453" t="s">
        <v>64</v>
      </c>
      <c r="AT453">
        <v>0</v>
      </c>
      <c r="AU453" t="s">
        <v>65</v>
      </c>
      <c r="AV453">
        <v>35</v>
      </c>
      <c r="AW453">
        <v>0</v>
      </c>
      <c r="AX453" t="s">
        <v>183</v>
      </c>
      <c r="AY453" t="s">
        <v>184</v>
      </c>
      <c r="AZ453" t="s">
        <v>64</v>
      </c>
      <c r="BA453">
        <v>0</v>
      </c>
      <c r="BB453">
        <v>1</v>
      </c>
      <c r="BC453" t="s">
        <v>69</v>
      </c>
      <c r="BD453">
        <v>0.71399999999999997</v>
      </c>
      <c r="BE453">
        <v>0.71399999999999997</v>
      </c>
    </row>
    <row r="454" spans="1:57">
      <c r="A454">
        <v>0</v>
      </c>
      <c r="B454">
        <v>0</v>
      </c>
      <c r="C454">
        <v>0</v>
      </c>
      <c r="D454">
        <v>3132</v>
      </c>
      <c r="E454" t="s">
        <v>4259</v>
      </c>
      <c r="F454" t="s">
        <v>5762</v>
      </c>
      <c r="G454" t="s">
        <v>62</v>
      </c>
      <c r="H454">
        <v>3087324</v>
      </c>
      <c r="I454">
        <v>3088181</v>
      </c>
      <c r="J454" t="s">
        <v>4260</v>
      </c>
      <c r="K454">
        <v>286</v>
      </c>
      <c r="L454" t="s">
        <v>59</v>
      </c>
      <c r="M454">
        <v>5</v>
      </c>
      <c r="N454" t="str">
        <f>HYPERLINK("Gene3132-zp_tree_all.dnd", "Gene3132-tree")</f>
        <v>Gene3132-tree</v>
      </c>
      <c r="O454">
        <v>4</v>
      </c>
      <c r="P454">
        <v>1</v>
      </c>
      <c r="Q454">
        <v>4</v>
      </c>
      <c r="R454">
        <v>1</v>
      </c>
      <c r="S454">
        <v>0.2</v>
      </c>
      <c r="T454" t="s">
        <v>60</v>
      </c>
      <c r="U454" t="s">
        <v>61</v>
      </c>
      <c r="V454" t="s">
        <v>62</v>
      </c>
      <c r="W454" t="s">
        <v>62</v>
      </c>
      <c r="X454">
        <v>0</v>
      </c>
      <c r="Y454">
        <v>0</v>
      </c>
      <c r="Z454">
        <v>2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2</v>
      </c>
      <c r="AK454">
        <v>0</v>
      </c>
      <c r="AL454">
        <v>5</v>
      </c>
      <c r="AM454">
        <v>2</v>
      </c>
      <c r="AN454">
        <v>26</v>
      </c>
      <c r="AO454">
        <v>2</v>
      </c>
      <c r="AP454">
        <v>23</v>
      </c>
      <c r="AQ454">
        <v>0</v>
      </c>
      <c r="AR454" t="s">
        <v>4261</v>
      </c>
      <c r="AS454" t="s">
        <v>64</v>
      </c>
      <c r="AT454">
        <v>0.504</v>
      </c>
      <c r="AU454" t="s">
        <v>65</v>
      </c>
      <c r="AV454">
        <v>49</v>
      </c>
      <c r="AW454">
        <v>2</v>
      </c>
      <c r="AX454" t="s">
        <v>4262</v>
      </c>
      <c r="AY454" t="s">
        <v>4263</v>
      </c>
      <c r="AZ454" t="s">
        <v>4264</v>
      </c>
      <c r="BA454">
        <v>1.065E-2</v>
      </c>
      <c r="BB454">
        <v>1</v>
      </c>
      <c r="BC454" t="s">
        <v>69</v>
      </c>
      <c r="BD454">
        <v>0.59299999999999997</v>
      </c>
      <c r="BE454">
        <v>-7.0000000000000007E-2</v>
      </c>
    </row>
    <row r="455" spans="1:57">
      <c r="A455">
        <v>0</v>
      </c>
      <c r="B455">
        <v>0</v>
      </c>
      <c r="C455">
        <v>0</v>
      </c>
      <c r="D455">
        <v>1118</v>
      </c>
      <c r="E455" t="s">
        <v>1599</v>
      </c>
      <c r="F455" t="s">
        <v>5762</v>
      </c>
      <c r="G455" t="s">
        <v>57</v>
      </c>
      <c r="H455">
        <v>1162267</v>
      </c>
      <c r="I455">
        <v>1163127</v>
      </c>
      <c r="J455" t="s">
        <v>987</v>
      </c>
      <c r="K455">
        <v>287</v>
      </c>
      <c r="L455" t="s">
        <v>59</v>
      </c>
      <c r="M455">
        <v>5</v>
      </c>
      <c r="N455" t="str">
        <f>HYPERLINK("Gene1118-zp_tree_all.dnd", "Gene1118-tree")</f>
        <v>Gene1118-tree</v>
      </c>
      <c r="O455">
        <v>0</v>
      </c>
      <c r="P455">
        <v>5</v>
      </c>
      <c r="Q455">
        <v>0</v>
      </c>
      <c r="R455">
        <v>5</v>
      </c>
      <c r="S455">
        <v>1</v>
      </c>
      <c r="T455" t="s">
        <v>62</v>
      </c>
      <c r="U455" t="s">
        <v>98</v>
      </c>
      <c r="V455" t="s">
        <v>62</v>
      </c>
      <c r="W455" t="s">
        <v>62</v>
      </c>
      <c r="X455">
        <v>0</v>
      </c>
      <c r="Y455">
        <v>0</v>
      </c>
      <c r="Z455">
        <v>8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6</v>
      </c>
      <c r="AK455">
        <v>0</v>
      </c>
      <c r="AL455">
        <v>5</v>
      </c>
      <c r="AM455">
        <v>1</v>
      </c>
      <c r="AN455">
        <v>34</v>
      </c>
      <c r="AO455">
        <v>6</v>
      </c>
      <c r="AP455">
        <v>22</v>
      </c>
      <c r="AQ455">
        <v>2</v>
      </c>
      <c r="AR455" t="s">
        <v>1600</v>
      </c>
      <c r="AS455" t="s">
        <v>1601</v>
      </c>
      <c r="AT455">
        <v>1.524</v>
      </c>
      <c r="AU455" t="s">
        <v>65</v>
      </c>
      <c r="AV455">
        <v>56</v>
      </c>
      <c r="AW455">
        <v>8</v>
      </c>
      <c r="AX455" t="s">
        <v>1602</v>
      </c>
      <c r="AY455" t="s">
        <v>1603</v>
      </c>
      <c r="AZ455" t="s">
        <v>1604</v>
      </c>
      <c r="BA455">
        <v>3.7159999999999999E-2</v>
      </c>
      <c r="BB455">
        <v>1</v>
      </c>
      <c r="BC455" t="s">
        <v>69</v>
      </c>
      <c r="BD455">
        <v>0.182</v>
      </c>
      <c r="BE455">
        <v>-8.5000000000000006E-2</v>
      </c>
    </row>
    <row r="456" spans="1:57">
      <c r="A456">
        <v>0</v>
      </c>
      <c r="B456">
        <v>0</v>
      </c>
      <c r="C456">
        <v>0</v>
      </c>
      <c r="D456">
        <v>3817</v>
      </c>
      <c r="E456" t="s">
        <v>5121</v>
      </c>
      <c r="F456" t="s">
        <v>5762</v>
      </c>
      <c r="G456" t="s">
        <v>62</v>
      </c>
      <c r="H456">
        <v>3782941</v>
      </c>
      <c r="I456">
        <v>3783801</v>
      </c>
      <c r="J456" t="s">
        <v>5122</v>
      </c>
      <c r="K456">
        <v>287</v>
      </c>
      <c r="L456" t="s">
        <v>59</v>
      </c>
      <c r="M456">
        <v>5</v>
      </c>
      <c r="N456" t="str">
        <f>HYPERLINK("Gene3817-zp_tree_all.dnd", "Gene3817-tree")</f>
        <v>Gene3817-tree</v>
      </c>
      <c r="O456">
        <v>4</v>
      </c>
      <c r="P456">
        <v>1</v>
      </c>
      <c r="Q456">
        <v>3</v>
      </c>
      <c r="R456">
        <v>1</v>
      </c>
      <c r="S456">
        <v>0.25</v>
      </c>
      <c r="T456" t="s">
        <v>119</v>
      </c>
      <c r="U456" t="s">
        <v>61</v>
      </c>
      <c r="V456" t="s">
        <v>62</v>
      </c>
      <c r="W456" t="s">
        <v>62</v>
      </c>
      <c r="X456">
        <v>0</v>
      </c>
      <c r="Y456">
        <v>0</v>
      </c>
      <c r="Z456">
        <v>3</v>
      </c>
      <c r="AA456">
        <v>0</v>
      </c>
      <c r="AB456">
        <v>0</v>
      </c>
      <c r="AC456">
        <v>0</v>
      </c>
      <c r="AD456">
        <v>0</v>
      </c>
      <c r="AE456">
        <v>2</v>
      </c>
      <c r="AF456">
        <v>0</v>
      </c>
      <c r="AG456">
        <v>0</v>
      </c>
      <c r="AH456">
        <v>0</v>
      </c>
      <c r="AI456">
        <v>0</v>
      </c>
      <c r="AJ456">
        <v>1</v>
      </c>
      <c r="AK456">
        <v>0</v>
      </c>
      <c r="AL456">
        <v>4</v>
      </c>
      <c r="AM456">
        <v>1</v>
      </c>
      <c r="AN456">
        <v>22</v>
      </c>
      <c r="AO456">
        <v>1</v>
      </c>
      <c r="AP456">
        <v>15</v>
      </c>
      <c r="AQ456">
        <v>2</v>
      </c>
      <c r="AR456" t="s">
        <v>5123</v>
      </c>
      <c r="AS456" t="s">
        <v>5124</v>
      </c>
      <c r="AT456">
        <v>1.198</v>
      </c>
      <c r="AU456" t="s">
        <v>65</v>
      </c>
      <c r="AV456">
        <v>37</v>
      </c>
      <c r="AW456">
        <v>3</v>
      </c>
      <c r="AX456" t="s">
        <v>5125</v>
      </c>
      <c r="AY456" t="s">
        <v>5126</v>
      </c>
      <c r="AZ456" t="s">
        <v>5127</v>
      </c>
      <c r="BA456">
        <v>2.5149999999999999E-2</v>
      </c>
      <c r="BB456">
        <v>1</v>
      </c>
      <c r="BC456" t="s">
        <v>69</v>
      </c>
      <c r="BD456">
        <v>0.437</v>
      </c>
      <c r="BE456">
        <v>0.23100000000000001</v>
      </c>
    </row>
    <row r="457" spans="1:57">
      <c r="A457">
        <v>0</v>
      </c>
      <c r="B457">
        <v>0</v>
      </c>
      <c r="C457">
        <v>0</v>
      </c>
      <c r="D457">
        <v>1443</v>
      </c>
      <c r="E457" t="s">
        <v>1900</v>
      </c>
      <c r="F457" t="s">
        <v>5762</v>
      </c>
      <c r="G457" t="s">
        <v>57</v>
      </c>
      <c r="H457">
        <v>1456092</v>
      </c>
      <c r="I457">
        <v>1456955</v>
      </c>
      <c r="J457" t="s">
        <v>1901</v>
      </c>
      <c r="K457">
        <v>288</v>
      </c>
      <c r="L457" t="s">
        <v>59</v>
      </c>
      <c r="M457">
        <v>5</v>
      </c>
      <c r="N457" t="str">
        <f>HYPERLINK("Gene1443-zp_tree_all.dnd", "Gene1443-tree")</f>
        <v>Gene1443-tree</v>
      </c>
      <c r="O457">
        <v>4</v>
      </c>
      <c r="P457">
        <v>1</v>
      </c>
      <c r="Q457">
        <v>4</v>
      </c>
      <c r="R457">
        <v>1</v>
      </c>
      <c r="S457">
        <v>0.2</v>
      </c>
      <c r="T457" t="s">
        <v>60</v>
      </c>
      <c r="U457" t="s">
        <v>61</v>
      </c>
      <c r="V457" t="s">
        <v>62</v>
      </c>
      <c r="W457" t="s">
        <v>62</v>
      </c>
      <c r="X457">
        <v>0</v>
      </c>
      <c r="Y457">
        <v>0</v>
      </c>
      <c r="Z457">
        <v>1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1</v>
      </c>
      <c r="AK457">
        <v>0</v>
      </c>
      <c r="AL457">
        <v>5</v>
      </c>
      <c r="AM457">
        <v>2</v>
      </c>
      <c r="AN457">
        <v>20</v>
      </c>
      <c r="AO457">
        <v>1</v>
      </c>
      <c r="AP457">
        <v>24</v>
      </c>
      <c r="AQ457">
        <v>0</v>
      </c>
      <c r="AR457" t="s">
        <v>1902</v>
      </c>
      <c r="AS457" t="s">
        <v>64</v>
      </c>
      <c r="AT457">
        <v>0.503</v>
      </c>
      <c r="AU457" t="s">
        <v>65</v>
      </c>
      <c r="AV457">
        <v>44</v>
      </c>
      <c r="AW457">
        <v>1</v>
      </c>
      <c r="AX457" t="s">
        <v>1903</v>
      </c>
      <c r="AY457" t="s">
        <v>1904</v>
      </c>
      <c r="AZ457" t="s">
        <v>1905</v>
      </c>
      <c r="BA457">
        <v>4.2599999999999999E-3</v>
      </c>
      <c r="BB457">
        <v>1</v>
      </c>
      <c r="BC457" t="s">
        <v>69</v>
      </c>
      <c r="BD457">
        <v>0.79900000000000004</v>
      </c>
      <c r="BE457">
        <v>0.46300000000000002</v>
      </c>
    </row>
    <row r="458" spans="1:57">
      <c r="A458">
        <v>0</v>
      </c>
      <c r="B458">
        <v>0</v>
      </c>
      <c r="C458">
        <v>0</v>
      </c>
      <c r="D458">
        <v>46</v>
      </c>
      <c r="E458" t="s">
        <v>175</v>
      </c>
      <c r="F458" t="s">
        <v>5762</v>
      </c>
      <c r="G458" t="s">
        <v>57</v>
      </c>
      <c r="H458">
        <v>53516</v>
      </c>
      <c r="I458">
        <v>54382</v>
      </c>
      <c r="J458" t="s">
        <v>176</v>
      </c>
      <c r="K458">
        <v>289</v>
      </c>
      <c r="L458" t="s">
        <v>59</v>
      </c>
      <c r="M458">
        <v>5</v>
      </c>
      <c r="N458" t="str">
        <f>HYPERLINK("Gene46-zp_tree_all.dnd", "Gene46-tree")</f>
        <v>Gene46-tree</v>
      </c>
      <c r="O458">
        <v>5</v>
      </c>
      <c r="P458">
        <v>0</v>
      </c>
      <c r="Q458">
        <v>5</v>
      </c>
      <c r="R458">
        <v>0</v>
      </c>
      <c r="S458">
        <v>0</v>
      </c>
      <c r="T458" t="s">
        <v>98</v>
      </c>
      <c r="U458" t="s">
        <v>62</v>
      </c>
      <c r="V458" t="s">
        <v>62</v>
      </c>
      <c r="W458" t="s">
        <v>62</v>
      </c>
      <c r="X458">
        <v>0</v>
      </c>
      <c r="Y458">
        <v>0</v>
      </c>
      <c r="Z458">
        <v>5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5</v>
      </c>
      <c r="AM458">
        <v>2</v>
      </c>
      <c r="AN458">
        <v>27</v>
      </c>
      <c r="AO458">
        <v>0</v>
      </c>
      <c r="AP458">
        <v>28</v>
      </c>
      <c r="AQ458">
        <v>6</v>
      </c>
      <c r="AR458" t="s">
        <v>64</v>
      </c>
      <c r="AS458" t="s">
        <v>177</v>
      </c>
      <c r="AT458">
        <v>0.92100000000000004</v>
      </c>
      <c r="AU458" t="s">
        <v>65</v>
      </c>
      <c r="AV458">
        <v>55</v>
      </c>
      <c r="AW458">
        <v>6</v>
      </c>
      <c r="AX458" t="s">
        <v>178</v>
      </c>
      <c r="AY458" t="s">
        <v>179</v>
      </c>
      <c r="AZ458" t="s">
        <v>180</v>
      </c>
      <c r="BA458">
        <v>3.807E-2</v>
      </c>
      <c r="BB458">
        <v>1</v>
      </c>
      <c r="BC458" t="s">
        <v>69</v>
      </c>
      <c r="BD458">
        <v>0.83</v>
      </c>
      <c r="BE458">
        <v>0.28599999999999998</v>
      </c>
    </row>
    <row r="459" spans="1:57">
      <c r="A459">
        <v>0</v>
      </c>
      <c r="B459">
        <v>0</v>
      </c>
      <c r="C459">
        <v>0</v>
      </c>
      <c r="D459">
        <v>4110</v>
      </c>
      <c r="E459" t="s">
        <v>5570</v>
      </c>
      <c r="F459" t="s">
        <v>5762</v>
      </c>
      <c r="G459" t="s">
        <v>62</v>
      </c>
      <c r="H459">
        <v>4074899</v>
      </c>
      <c r="I459">
        <v>4075765</v>
      </c>
      <c r="J459" t="s">
        <v>5571</v>
      </c>
      <c r="K459">
        <v>289</v>
      </c>
      <c r="L459" t="s">
        <v>59</v>
      </c>
      <c r="M459">
        <v>5</v>
      </c>
      <c r="N459" t="str">
        <f>HYPERLINK("Gene4110-zp_tree_all.dnd", "Gene4110-tree")</f>
        <v>Gene4110-tree</v>
      </c>
      <c r="O459">
        <v>2</v>
      </c>
      <c r="P459">
        <v>3</v>
      </c>
      <c r="Q459">
        <v>2</v>
      </c>
      <c r="R459">
        <v>3</v>
      </c>
      <c r="S459">
        <v>0.6</v>
      </c>
      <c r="T459" t="s">
        <v>135</v>
      </c>
      <c r="U459" t="s">
        <v>84</v>
      </c>
      <c r="V459" t="s">
        <v>62</v>
      </c>
      <c r="W459" t="s">
        <v>62</v>
      </c>
      <c r="X459">
        <v>0</v>
      </c>
      <c r="Y459">
        <v>0</v>
      </c>
      <c r="Z459">
        <v>4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3</v>
      </c>
      <c r="AK459">
        <v>0</v>
      </c>
      <c r="AL459">
        <v>5</v>
      </c>
      <c r="AM459">
        <v>2</v>
      </c>
      <c r="AN459">
        <v>60</v>
      </c>
      <c r="AO459">
        <v>3</v>
      </c>
      <c r="AP459">
        <v>20</v>
      </c>
      <c r="AQ459">
        <v>1</v>
      </c>
      <c r="AR459" t="s">
        <v>5572</v>
      </c>
      <c r="AS459" t="s">
        <v>5573</v>
      </c>
      <c r="AT459">
        <v>1.4E-2</v>
      </c>
      <c r="AU459" t="s">
        <v>65</v>
      </c>
      <c r="AV459">
        <v>80</v>
      </c>
      <c r="AW459">
        <v>4</v>
      </c>
      <c r="AX459" t="s">
        <v>5574</v>
      </c>
      <c r="AY459" t="s">
        <v>5575</v>
      </c>
      <c r="AZ459" t="s">
        <v>5576</v>
      </c>
      <c r="BA459">
        <v>1.6140000000000002E-2</v>
      </c>
      <c r="BB459">
        <v>1</v>
      </c>
      <c r="BC459" t="s">
        <v>69</v>
      </c>
      <c r="BD459">
        <v>0.13800000000000001</v>
      </c>
      <c r="BE459">
        <v>-0.374</v>
      </c>
    </row>
    <row r="460" spans="1:57">
      <c r="A460">
        <v>0</v>
      </c>
      <c r="B460">
        <v>0</v>
      </c>
      <c r="C460">
        <v>2</v>
      </c>
      <c r="D460">
        <v>4108</v>
      </c>
      <c r="E460" t="s">
        <v>5556</v>
      </c>
      <c r="F460" t="s">
        <v>5762</v>
      </c>
      <c r="G460" t="s">
        <v>62</v>
      </c>
      <c r="H460">
        <v>4073084</v>
      </c>
      <c r="I460">
        <v>4073953</v>
      </c>
      <c r="J460" t="s">
        <v>5557</v>
      </c>
      <c r="K460">
        <v>290</v>
      </c>
      <c r="L460" t="s">
        <v>59</v>
      </c>
      <c r="M460">
        <v>5</v>
      </c>
      <c r="N460" t="str">
        <f>HYPERLINK("Gene4108-zp_tree_all.dnd", "Gene4108-tree")</f>
        <v>Gene4108-tree</v>
      </c>
      <c r="O460">
        <v>4</v>
      </c>
      <c r="P460">
        <v>1</v>
      </c>
      <c r="Q460">
        <v>4</v>
      </c>
      <c r="R460">
        <v>1</v>
      </c>
      <c r="S460">
        <v>0.2</v>
      </c>
      <c r="T460" t="s">
        <v>60</v>
      </c>
      <c r="U460" t="s">
        <v>61</v>
      </c>
      <c r="V460" t="s">
        <v>62</v>
      </c>
      <c r="W460" t="s">
        <v>62</v>
      </c>
      <c r="X460">
        <v>1</v>
      </c>
      <c r="Y460">
        <v>2</v>
      </c>
      <c r="Z460">
        <v>9</v>
      </c>
      <c r="AA460">
        <v>0.18182000000000001</v>
      </c>
      <c r="AB460">
        <v>0</v>
      </c>
      <c r="AC460">
        <v>0</v>
      </c>
      <c r="AD460">
        <v>0</v>
      </c>
      <c r="AE460">
        <v>1</v>
      </c>
      <c r="AF460">
        <v>0</v>
      </c>
      <c r="AG460">
        <v>0</v>
      </c>
      <c r="AH460">
        <v>0</v>
      </c>
      <c r="AI460">
        <v>0</v>
      </c>
      <c r="AJ460">
        <v>7</v>
      </c>
      <c r="AK460">
        <v>0</v>
      </c>
      <c r="AL460">
        <v>4</v>
      </c>
      <c r="AM460">
        <v>2</v>
      </c>
      <c r="AN460">
        <v>19</v>
      </c>
      <c r="AO460">
        <v>8</v>
      </c>
      <c r="AP460">
        <v>14</v>
      </c>
      <c r="AQ460">
        <v>4</v>
      </c>
      <c r="AR460" t="s">
        <v>5558</v>
      </c>
      <c r="AS460" t="s">
        <v>5559</v>
      </c>
      <c r="AT460">
        <v>0.17799999999999999</v>
      </c>
      <c r="AU460" t="s">
        <v>65</v>
      </c>
      <c r="AV460">
        <v>33</v>
      </c>
      <c r="AW460">
        <v>12</v>
      </c>
      <c r="AX460" t="s">
        <v>5560</v>
      </c>
      <c r="AY460" t="s">
        <v>5561</v>
      </c>
      <c r="AZ460" t="s">
        <v>5562</v>
      </c>
      <c r="BA460">
        <v>9.1189999999999993E-2</v>
      </c>
      <c r="BB460">
        <v>1</v>
      </c>
      <c r="BC460" t="s">
        <v>69</v>
      </c>
      <c r="BD460">
        <v>0</v>
      </c>
      <c r="BE460">
        <v>0</v>
      </c>
    </row>
    <row r="461" spans="1:57">
      <c r="A461">
        <v>0</v>
      </c>
      <c r="B461">
        <v>0</v>
      </c>
      <c r="C461">
        <v>0</v>
      </c>
      <c r="D461">
        <v>1739</v>
      </c>
      <c r="E461" t="s">
        <v>2635</v>
      </c>
      <c r="F461" t="s">
        <v>5762</v>
      </c>
      <c r="G461" t="s">
        <v>57</v>
      </c>
      <c r="H461">
        <v>1748368</v>
      </c>
      <c r="I461">
        <v>1749237</v>
      </c>
      <c r="J461" t="s">
        <v>2636</v>
      </c>
      <c r="K461">
        <v>290</v>
      </c>
      <c r="L461" t="s">
        <v>83</v>
      </c>
      <c r="M461">
        <v>4</v>
      </c>
      <c r="N461" t="str">
        <f>HYPERLINK("Gene1739-zp_tree_all.dnd", "Gene1739-tree")</f>
        <v>Gene1739-tree</v>
      </c>
      <c r="O461">
        <v>2</v>
      </c>
      <c r="P461">
        <v>2</v>
      </c>
      <c r="Q461">
        <v>2</v>
      </c>
      <c r="R461">
        <v>2</v>
      </c>
      <c r="S461">
        <v>0.5</v>
      </c>
      <c r="T461" t="s">
        <v>135</v>
      </c>
      <c r="U461" t="s">
        <v>135</v>
      </c>
      <c r="V461" t="s">
        <v>62</v>
      </c>
      <c r="W461" t="s">
        <v>62</v>
      </c>
      <c r="X461">
        <v>0</v>
      </c>
      <c r="Y461">
        <v>0</v>
      </c>
      <c r="Z461">
        <v>3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3</v>
      </c>
      <c r="AK461">
        <v>0</v>
      </c>
      <c r="AL461">
        <v>3</v>
      </c>
      <c r="AM461">
        <v>1</v>
      </c>
      <c r="AN461">
        <v>41</v>
      </c>
      <c r="AO461">
        <v>3</v>
      </c>
      <c r="AP461">
        <v>4</v>
      </c>
      <c r="AQ461">
        <v>0</v>
      </c>
      <c r="AR461" t="s">
        <v>2637</v>
      </c>
      <c r="AS461" t="s">
        <v>64</v>
      </c>
      <c r="AT461">
        <v>1.198</v>
      </c>
      <c r="AU461" t="s">
        <v>65</v>
      </c>
      <c r="AV461">
        <v>45</v>
      </c>
      <c r="AW461">
        <v>3</v>
      </c>
      <c r="AX461" t="s">
        <v>2638</v>
      </c>
      <c r="AY461" t="s">
        <v>2639</v>
      </c>
      <c r="AZ461" t="s">
        <v>2640</v>
      </c>
      <c r="BA461">
        <v>1.9650000000000001E-2</v>
      </c>
      <c r="BB461">
        <v>1</v>
      </c>
      <c r="BC461" t="s">
        <v>69</v>
      </c>
      <c r="BD461">
        <v>-0.46100000000000002</v>
      </c>
      <c r="BE461">
        <v>-0.66400000000000003</v>
      </c>
    </row>
    <row r="462" spans="1:57">
      <c r="A462">
        <v>0</v>
      </c>
      <c r="B462">
        <v>0</v>
      </c>
      <c r="C462">
        <v>0</v>
      </c>
      <c r="D462">
        <v>3037</v>
      </c>
      <c r="E462" t="s">
        <v>4081</v>
      </c>
      <c r="F462" t="s">
        <v>5762</v>
      </c>
      <c r="G462" t="s">
        <v>62</v>
      </c>
      <c r="H462">
        <v>2988696</v>
      </c>
      <c r="I462">
        <v>2989565</v>
      </c>
      <c r="J462" t="s">
        <v>4082</v>
      </c>
      <c r="K462">
        <v>290</v>
      </c>
      <c r="L462" t="s">
        <v>59</v>
      </c>
      <c r="M462">
        <v>5</v>
      </c>
      <c r="N462" t="str">
        <f>HYPERLINK("Gene3037-zp_tree_all.dnd", "Gene3037-tree")</f>
        <v>Gene3037-tree</v>
      </c>
      <c r="O462">
        <v>3</v>
      </c>
      <c r="P462">
        <v>2</v>
      </c>
      <c r="Q462">
        <v>3</v>
      </c>
      <c r="R462">
        <v>2</v>
      </c>
      <c r="S462">
        <v>0.4</v>
      </c>
      <c r="T462" t="s">
        <v>84</v>
      </c>
      <c r="U462" t="s">
        <v>135</v>
      </c>
      <c r="V462" t="s">
        <v>62</v>
      </c>
      <c r="W462" t="s">
        <v>62</v>
      </c>
      <c r="X462">
        <v>0</v>
      </c>
      <c r="Y462">
        <v>0</v>
      </c>
      <c r="Z462">
        <v>2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2</v>
      </c>
      <c r="AK462">
        <v>0</v>
      </c>
      <c r="AL462">
        <v>4</v>
      </c>
      <c r="AM462">
        <v>2</v>
      </c>
      <c r="AN462">
        <v>14</v>
      </c>
      <c r="AO462">
        <v>2</v>
      </c>
      <c r="AP462">
        <v>18</v>
      </c>
      <c r="AQ462">
        <v>1</v>
      </c>
      <c r="AR462" t="s">
        <v>4083</v>
      </c>
      <c r="AS462" t="s">
        <v>4084</v>
      </c>
      <c r="AT462">
        <v>0.878</v>
      </c>
      <c r="AU462" t="s">
        <v>65</v>
      </c>
      <c r="AV462">
        <v>32</v>
      </c>
      <c r="AW462">
        <v>3</v>
      </c>
      <c r="AX462" t="s">
        <v>4085</v>
      </c>
      <c r="AY462" t="s">
        <v>4086</v>
      </c>
      <c r="AZ462" t="s">
        <v>4087</v>
      </c>
      <c r="BA462">
        <v>1.7239999999999998E-2</v>
      </c>
      <c r="BB462">
        <v>1</v>
      </c>
      <c r="BC462" t="s">
        <v>69</v>
      </c>
      <c r="BD462">
        <v>0.64300000000000002</v>
      </c>
      <c r="BE462">
        <v>0.17</v>
      </c>
    </row>
    <row r="463" spans="1:57">
      <c r="A463">
        <v>0</v>
      </c>
      <c r="B463">
        <v>0</v>
      </c>
      <c r="C463">
        <v>0</v>
      </c>
      <c r="D463">
        <v>2918</v>
      </c>
      <c r="E463" t="s">
        <v>3827</v>
      </c>
      <c r="F463" t="s">
        <v>5762</v>
      </c>
      <c r="G463" t="s">
        <v>62</v>
      </c>
      <c r="H463">
        <v>2859835</v>
      </c>
      <c r="I463">
        <v>2860704</v>
      </c>
      <c r="J463" t="s">
        <v>3828</v>
      </c>
      <c r="K463">
        <v>290</v>
      </c>
      <c r="L463" t="s">
        <v>59</v>
      </c>
      <c r="M463">
        <v>5</v>
      </c>
      <c r="N463" t="str">
        <f>HYPERLINK("Gene2918-zp_tree_all.dnd", "Gene2918-tree")</f>
        <v>Gene2918-tree</v>
      </c>
      <c r="O463">
        <v>5</v>
      </c>
      <c r="P463">
        <v>0</v>
      </c>
      <c r="Q463">
        <v>5</v>
      </c>
      <c r="R463">
        <v>0</v>
      </c>
      <c r="S463">
        <v>0</v>
      </c>
      <c r="T463" t="s">
        <v>98</v>
      </c>
      <c r="U463" t="s">
        <v>62</v>
      </c>
      <c r="V463" t="s">
        <v>62</v>
      </c>
      <c r="W463" t="s">
        <v>62</v>
      </c>
      <c r="X463">
        <v>0</v>
      </c>
      <c r="Y463">
        <v>0</v>
      </c>
      <c r="Z463">
        <v>1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4</v>
      </c>
      <c r="AM463">
        <v>2</v>
      </c>
      <c r="AN463">
        <v>22</v>
      </c>
      <c r="AO463">
        <v>0</v>
      </c>
      <c r="AP463">
        <v>21</v>
      </c>
      <c r="AQ463">
        <v>1</v>
      </c>
      <c r="AR463" t="s">
        <v>64</v>
      </c>
      <c r="AS463" t="s">
        <v>3829</v>
      </c>
      <c r="AT463">
        <v>1.097</v>
      </c>
      <c r="AU463" t="s">
        <v>65</v>
      </c>
      <c r="AV463">
        <v>43</v>
      </c>
      <c r="AW463">
        <v>1</v>
      </c>
      <c r="AX463" t="s">
        <v>3830</v>
      </c>
      <c r="AY463" t="s">
        <v>3831</v>
      </c>
      <c r="AZ463" t="s">
        <v>3832</v>
      </c>
      <c r="BA463">
        <v>7.6499999999999997E-3</v>
      </c>
      <c r="BB463">
        <v>1</v>
      </c>
      <c r="BC463" t="s">
        <v>69</v>
      </c>
      <c r="BD463">
        <v>0.42599999999999999</v>
      </c>
      <c r="BE463">
        <v>0.23899999999999999</v>
      </c>
    </row>
    <row r="464" spans="1:57">
      <c r="A464">
        <v>0</v>
      </c>
      <c r="B464">
        <v>0</v>
      </c>
      <c r="C464">
        <v>2</v>
      </c>
      <c r="D464">
        <v>1627</v>
      </c>
      <c r="E464" t="s">
        <v>2311</v>
      </c>
      <c r="F464" t="s">
        <v>5762</v>
      </c>
      <c r="G464" t="s">
        <v>57</v>
      </c>
      <c r="H464">
        <v>1640720</v>
      </c>
      <c r="I464">
        <v>1641592</v>
      </c>
      <c r="J464" t="s">
        <v>118</v>
      </c>
      <c r="K464">
        <v>291</v>
      </c>
      <c r="L464" t="s">
        <v>59</v>
      </c>
      <c r="M464">
        <v>5</v>
      </c>
      <c r="N464" t="str">
        <f>HYPERLINK("Gene1627-zp_tree_all.dnd", "Gene1627-tree")</f>
        <v>Gene1627-tree</v>
      </c>
      <c r="O464">
        <v>2</v>
      </c>
      <c r="P464">
        <v>3</v>
      </c>
      <c r="Q464">
        <v>1</v>
      </c>
      <c r="R464">
        <v>3</v>
      </c>
      <c r="S464">
        <v>0.75</v>
      </c>
      <c r="T464" t="s">
        <v>61</v>
      </c>
      <c r="U464" t="s">
        <v>84</v>
      </c>
      <c r="V464" t="s">
        <v>62</v>
      </c>
      <c r="W464" t="s">
        <v>62</v>
      </c>
      <c r="X464">
        <v>1</v>
      </c>
      <c r="Y464">
        <v>2</v>
      </c>
      <c r="Z464">
        <v>11</v>
      </c>
      <c r="AA464">
        <v>0.15384999999999999</v>
      </c>
      <c r="AB464">
        <v>0</v>
      </c>
      <c r="AC464">
        <v>0</v>
      </c>
      <c r="AD464">
        <v>0</v>
      </c>
      <c r="AE464">
        <v>7</v>
      </c>
      <c r="AF464">
        <v>0</v>
      </c>
      <c r="AG464">
        <v>0</v>
      </c>
      <c r="AH464">
        <v>2</v>
      </c>
      <c r="AI464">
        <v>2</v>
      </c>
      <c r="AJ464">
        <v>4</v>
      </c>
      <c r="AK464">
        <v>0.33333000000000002</v>
      </c>
      <c r="AL464">
        <v>4</v>
      </c>
      <c r="AM464">
        <v>1</v>
      </c>
      <c r="AN464">
        <v>8</v>
      </c>
      <c r="AO464">
        <v>6</v>
      </c>
      <c r="AP464">
        <v>22</v>
      </c>
      <c r="AQ464">
        <v>7</v>
      </c>
      <c r="AR464" t="s">
        <v>2312</v>
      </c>
      <c r="AS464" t="s">
        <v>2313</v>
      </c>
      <c r="AT464">
        <v>0.91300000000000003</v>
      </c>
      <c r="AU464" t="s">
        <v>65</v>
      </c>
      <c r="AV464">
        <v>30</v>
      </c>
      <c r="AW464">
        <v>13</v>
      </c>
      <c r="AX464" t="s">
        <v>2314</v>
      </c>
      <c r="AY464" t="s">
        <v>2315</v>
      </c>
      <c r="AZ464" t="s">
        <v>2316</v>
      </c>
      <c r="BA464">
        <v>0.10463</v>
      </c>
      <c r="BB464">
        <v>1</v>
      </c>
      <c r="BC464" t="s">
        <v>69</v>
      </c>
      <c r="BD464">
        <v>0.93400000000000005</v>
      </c>
      <c r="BE464">
        <v>0.93400000000000005</v>
      </c>
    </row>
    <row r="465" spans="1:57">
      <c r="A465">
        <v>0</v>
      </c>
      <c r="B465">
        <v>4</v>
      </c>
      <c r="C465">
        <v>0</v>
      </c>
      <c r="D465">
        <v>2553</v>
      </c>
      <c r="E465" t="s">
        <v>3396</v>
      </c>
      <c r="F465" t="s">
        <v>5762</v>
      </c>
      <c r="G465" t="s">
        <v>62</v>
      </c>
      <c r="H465">
        <v>2542442</v>
      </c>
      <c r="I465">
        <v>2543314</v>
      </c>
      <c r="J465" t="s">
        <v>3397</v>
      </c>
      <c r="K465">
        <v>291</v>
      </c>
      <c r="L465" t="s">
        <v>59</v>
      </c>
      <c r="M465">
        <v>5</v>
      </c>
      <c r="N465" t="str">
        <f>HYPERLINK("Gene2553-zp_tree_all.dnd", "Gene2553-tree")</f>
        <v>Gene2553-tree</v>
      </c>
      <c r="O465">
        <v>1</v>
      </c>
      <c r="P465">
        <v>4</v>
      </c>
      <c r="Q465">
        <v>1</v>
      </c>
      <c r="R465">
        <v>4</v>
      </c>
      <c r="S465">
        <v>0.8</v>
      </c>
      <c r="T465" t="s">
        <v>61</v>
      </c>
      <c r="U465" t="s">
        <v>60</v>
      </c>
      <c r="V465" t="s">
        <v>62</v>
      </c>
      <c r="W465" t="s">
        <v>62</v>
      </c>
      <c r="X465">
        <v>2</v>
      </c>
      <c r="Y465">
        <v>4</v>
      </c>
      <c r="Z465">
        <v>7</v>
      </c>
      <c r="AA465">
        <v>0.36364000000000002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2</v>
      </c>
      <c r="AH465">
        <v>0</v>
      </c>
      <c r="AI465">
        <v>2</v>
      </c>
      <c r="AJ465">
        <v>6</v>
      </c>
      <c r="AK465">
        <v>0.25</v>
      </c>
      <c r="AL465">
        <v>5</v>
      </c>
      <c r="AM465">
        <v>2</v>
      </c>
      <c r="AN465">
        <v>29</v>
      </c>
      <c r="AO465">
        <v>8</v>
      </c>
      <c r="AP465">
        <v>32</v>
      </c>
      <c r="AQ465">
        <v>3</v>
      </c>
      <c r="AR465" t="s">
        <v>3398</v>
      </c>
      <c r="AS465" t="s">
        <v>3399</v>
      </c>
      <c r="AT465">
        <v>1.8660000000000001</v>
      </c>
      <c r="AU465" t="s">
        <v>65</v>
      </c>
      <c r="AV465">
        <v>61</v>
      </c>
      <c r="AW465">
        <v>11</v>
      </c>
      <c r="AX465" t="s">
        <v>3400</v>
      </c>
      <c r="AY465" t="s">
        <v>3401</v>
      </c>
      <c r="AZ465" t="s">
        <v>3402</v>
      </c>
      <c r="BA465">
        <v>4.197E-2</v>
      </c>
      <c r="BB465">
        <v>1</v>
      </c>
      <c r="BC465" t="s">
        <v>69</v>
      </c>
      <c r="BD465">
        <v>1.024</v>
      </c>
      <c r="BE465">
        <v>0.26300000000000001</v>
      </c>
    </row>
    <row r="466" spans="1:57">
      <c r="A466">
        <v>0</v>
      </c>
      <c r="B466">
        <v>0</v>
      </c>
      <c r="C466">
        <v>0</v>
      </c>
      <c r="D466">
        <v>71</v>
      </c>
      <c r="E466" t="s">
        <v>276</v>
      </c>
      <c r="F466" t="s">
        <v>5762</v>
      </c>
      <c r="G466" t="s">
        <v>57</v>
      </c>
      <c r="H466">
        <v>79880</v>
      </c>
      <c r="I466">
        <v>80752</v>
      </c>
      <c r="J466" t="s">
        <v>277</v>
      </c>
      <c r="K466">
        <v>291</v>
      </c>
      <c r="L466" t="s">
        <v>59</v>
      </c>
      <c r="M466">
        <v>5</v>
      </c>
      <c r="N466" t="str">
        <f>HYPERLINK("Gene71-zp_tree_all.dnd", "Gene71-tree")</f>
        <v>Gene71-tree</v>
      </c>
      <c r="O466">
        <v>3</v>
      </c>
      <c r="P466">
        <v>2</v>
      </c>
      <c r="Q466">
        <v>3</v>
      </c>
      <c r="R466">
        <v>2</v>
      </c>
      <c r="S466">
        <v>0.4</v>
      </c>
      <c r="T466" t="s">
        <v>84</v>
      </c>
      <c r="U466" t="s">
        <v>135</v>
      </c>
      <c r="V466" t="s">
        <v>62</v>
      </c>
      <c r="W466" t="s">
        <v>62</v>
      </c>
      <c r="X466">
        <v>0</v>
      </c>
      <c r="Y466">
        <v>0</v>
      </c>
      <c r="Z466">
        <v>5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4</v>
      </c>
      <c r="AK466">
        <v>0</v>
      </c>
      <c r="AL466">
        <v>5</v>
      </c>
      <c r="AM466">
        <v>2</v>
      </c>
      <c r="AN466">
        <v>38</v>
      </c>
      <c r="AO466">
        <v>4</v>
      </c>
      <c r="AP466">
        <v>20</v>
      </c>
      <c r="AQ466">
        <v>1</v>
      </c>
      <c r="AR466" t="s">
        <v>278</v>
      </c>
      <c r="AS466" t="s">
        <v>279</v>
      </c>
      <c r="AT466">
        <v>0.42199999999999999</v>
      </c>
      <c r="AU466" t="s">
        <v>65</v>
      </c>
      <c r="AV466">
        <v>58</v>
      </c>
      <c r="AW466">
        <v>5</v>
      </c>
      <c r="AX466" t="s">
        <v>280</v>
      </c>
      <c r="AY466" t="s">
        <v>281</v>
      </c>
      <c r="AZ466" t="s">
        <v>282</v>
      </c>
      <c r="BA466">
        <v>2.3599999999999999E-2</v>
      </c>
      <c r="BB466">
        <v>1</v>
      </c>
      <c r="BC466" t="s">
        <v>69</v>
      </c>
      <c r="BD466">
        <v>0.125</v>
      </c>
      <c r="BE466">
        <v>-0.28199999999999997</v>
      </c>
    </row>
    <row r="467" spans="1:57">
      <c r="A467">
        <v>0</v>
      </c>
      <c r="B467">
        <v>0</v>
      </c>
      <c r="C467">
        <v>0</v>
      </c>
      <c r="D467">
        <v>3378</v>
      </c>
      <c r="E467" t="s">
        <v>4598</v>
      </c>
      <c r="F467" t="s">
        <v>5762</v>
      </c>
      <c r="G467" t="s">
        <v>62</v>
      </c>
      <c r="H467">
        <v>3348828</v>
      </c>
      <c r="I467">
        <v>3349703</v>
      </c>
      <c r="J467" t="s">
        <v>4592</v>
      </c>
      <c r="K467">
        <v>292</v>
      </c>
      <c r="L467" t="s">
        <v>59</v>
      </c>
      <c r="M467">
        <v>5</v>
      </c>
      <c r="N467" t="str">
        <f>HYPERLINK("Gene3378-zp_tree_all.dnd", "Gene3378-tree")</f>
        <v>Gene3378-tree</v>
      </c>
      <c r="O467">
        <v>4</v>
      </c>
      <c r="P467">
        <v>1</v>
      </c>
      <c r="Q467">
        <v>4</v>
      </c>
      <c r="R467">
        <v>1</v>
      </c>
      <c r="S467">
        <v>0.2</v>
      </c>
      <c r="T467" t="s">
        <v>60</v>
      </c>
      <c r="U467" t="s">
        <v>61</v>
      </c>
      <c r="V467" t="s">
        <v>62</v>
      </c>
      <c r="W467" t="s">
        <v>62</v>
      </c>
      <c r="X467">
        <v>0</v>
      </c>
      <c r="Y467">
        <v>0</v>
      </c>
      <c r="Z467">
        <v>3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1</v>
      </c>
      <c r="AK467">
        <v>0</v>
      </c>
      <c r="AL467">
        <v>5</v>
      </c>
      <c r="AM467">
        <v>2</v>
      </c>
      <c r="AN467">
        <v>17</v>
      </c>
      <c r="AO467">
        <v>1</v>
      </c>
      <c r="AP467">
        <v>29</v>
      </c>
      <c r="AQ467">
        <v>2</v>
      </c>
      <c r="AR467" t="s">
        <v>4599</v>
      </c>
      <c r="AS467" t="s">
        <v>4600</v>
      </c>
      <c r="AT467">
        <v>4.1000000000000002E-2</v>
      </c>
      <c r="AU467" t="s">
        <v>65</v>
      </c>
      <c r="AV467">
        <v>46</v>
      </c>
      <c r="AW467">
        <v>3</v>
      </c>
      <c r="AX467" t="s">
        <v>4601</v>
      </c>
      <c r="AY467" t="s">
        <v>4602</v>
      </c>
      <c r="AZ467" t="s">
        <v>4603</v>
      </c>
      <c r="BA467">
        <v>1.8620000000000001E-2</v>
      </c>
      <c r="BB467">
        <v>1</v>
      </c>
      <c r="BC467" t="s">
        <v>69</v>
      </c>
      <c r="BD467">
        <v>0.88200000000000001</v>
      </c>
      <c r="BE467">
        <v>0.749</v>
      </c>
    </row>
    <row r="468" spans="1:57">
      <c r="A468">
        <v>0</v>
      </c>
      <c r="B468">
        <v>0</v>
      </c>
      <c r="C468">
        <v>0</v>
      </c>
      <c r="D468">
        <v>1712</v>
      </c>
      <c r="E468" t="s">
        <v>2537</v>
      </c>
      <c r="F468" t="s">
        <v>5762</v>
      </c>
      <c r="G468" t="s">
        <v>57</v>
      </c>
      <c r="H468">
        <v>1718775</v>
      </c>
      <c r="I468">
        <v>1719653</v>
      </c>
      <c r="J468" t="s">
        <v>2538</v>
      </c>
      <c r="K468">
        <v>293</v>
      </c>
      <c r="L468" t="s">
        <v>59</v>
      </c>
      <c r="M468">
        <v>5</v>
      </c>
      <c r="N468" t="str">
        <f>HYPERLINK("Gene1712-zp_tree_all.dnd", "Gene1712-tree")</f>
        <v>Gene1712-tree</v>
      </c>
      <c r="O468">
        <v>4</v>
      </c>
      <c r="P468">
        <v>1</v>
      </c>
      <c r="Q468">
        <v>4</v>
      </c>
      <c r="R468">
        <v>1</v>
      </c>
      <c r="S468">
        <v>0.2</v>
      </c>
      <c r="T468" t="s">
        <v>60</v>
      </c>
      <c r="U468" t="s">
        <v>61</v>
      </c>
      <c r="V468" t="s">
        <v>62</v>
      </c>
      <c r="W468" t="s">
        <v>62</v>
      </c>
      <c r="X468">
        <v>0</v>
      </c>
      <c r="Y468">
        <v>0</v>
      </c>
      <c r="Z468">
        <v>6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2</v>
      </c>
      <c r="AK468">
        <v>0</v>
      </c>
      <c r="AL468">
        <v>4</v>
      </c>
      <c r="AM468">
        <v>2</v>
      </c>
      <c r="AN468">
        <v>12</v>
      </c>
      <c r="AO468">
        <v>2</v>
      </c>
      <c r="AP468">
        <v>19</v>
      </c>
      <c r="AQ468">
        <v>4</v>
      </c>
      <c r="AR468" t="s">
        <v>2539</v>
      </c>
      <c r="AS468" t="s">
        <v>2540</v>
      </c>
      <c r="AT468">
        <v>0.1</v>
      </c>
      <c r="AU468" t="s">
        <v>65</v>
      </c>
      <c r="AV468">
        <v>31</v>
      </c>
      <c r="AW468">
        <v>6</v>
      </c>
      <c r="AX468" t="s">
        <v>2541</v>
      </c>
      <c r="AY468" t="s">
        <v>2542</v>
      </c>
      <c r="AZ468" t="s">
        <v>2543</v>
      </c>
      <c r="BA468">
        <v>5.3699999999999998E-2</v>
      </c>
      <c r="BB468">
        <v>1</v>
      </c>
      <c r="BC468" t="s">
        <v>69</v>
      </c>
      <c r="BD468">
        <v>0.98199999999999998</v>
      </c>
      <c r="BE468">
        <v>0.80400000000000005</v>
      </c>
    </row>
    <row r="469" spans="1:57">
      <c r="A469">
        <v>0</v>
      </c>
      <c r="B469">
        <v>0</v>
      </c>
      <c r="C469">
        <v>0</v>
      </c>
      <c r="D469">
        <v>11</v>
      </c>
      <c r="E469" t="s">
        <v>104</v>
      </c>
      <c r="F469" t="s">
        <v>5762</v>
      </c>
      <c r="G469" t="s">
        <v>57</v>
      </c>
      <c r="H469">
        <v>19062</v>
      </c>
      <c r="I469">
        <v>19943</v>
      </c>
      <c r="J469" t="s">
        <v>105</v>
      </c>
      <c r="K469">
        <v>294</v>
      </c>
      <c r="L469" t="s">
        <v>59</v>
      </c>
      <c r="M469">
        <v>5</v>
      </c>
      <c r="N469" t="str">
        <f>HYPERLINK("Gene11-zp_tree_all.dnd", "Gene11-tree")</f>
        <v>Gene11-tree</v>
      </c>
      <c r="O469">
        <v>5</v>
      </c>
      <c r="P469">
        <v>0</v>
      </c>
      <c r="Q469">
        <v>5</v>
      </c>
      <c r="R469">
        <v>0</v>
      </c>
      <c r="S469">
        <v>0</v>
      </c>
      <c r="T469" t="s">
        <v>98</v>
      </c>
      <c r="U469" t="s">
        <v>62</v>
      </c>
      <c r="V469" t="s">
        <v>62</v>
      </c>
      <c r="W469" t="s">
        <v>62</v>
      </c>
      <c r="X469">
        <v>0</v>
      </c>
      <c r="Y469">
        <v>0</v>
      </c>
      <c r="Z469">
        <v>1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5</v>
      </c>
      <c r="AM469">
        <v>2</v>
      </c>
      <c r="AN469">
        <v>19</v>
      </c>
      <c r="AO469">
        <v>0</v>
      </c>
      <c r="AP469">
        <v>26</v>
      </c>
      <c r="AQ469">
        <v>1</v>
      </c>
      <c r="AR469" t="s">
        <v>64</v>
      </c>
      <c r="AS469" t="s">
        <v>106</v>
      </c>
      <c r="AT469">
        <v>0.75900000000000001</v>
      </c>
      <c r="AU469" t="s">
        <v>65</v>
      </c>
      <c r="AV469">
        <v>45</v>
      </c>
      <c r="AW469">
        <v>1</v>
      </c>
      <c r="AX469" t="s">
        <v>107</v>
      </c>
      <c r="AY469" t="s">
        <v>108</v>
      </c>
      <c r="AZ469" t="s">
        <v>109</v>
      </c>
      <c r="BA469">
        <v>9.9799999999999993E-3</v>
      </c>
      <c r="BB469">
        <v>1</v>
      </c>
      <c r="BC469" t="s">
        <v>69</v>
      </c>
      <c r="BD469">
        <v>0.93400000000000005</v>
      </c>
      <c r="BE469">
        <v>0.93400000000000005</v>
      </c>
    </row>
    <row r="470" spans="1:57">
      <c r="A470">
        <v>0</v>
      </c>
      <c r="B470">
        <v>0</v>
      </c>
      <c r="C470">
        <v>0</v>
      </c>
      <c r="D470">
        <v>3604</v>
      </c>
      <c r="E470" t="s">
        <v>4904</v>
      </c>
      <c r="F470" t="s">
        <v>5762</v>
      </c>
      <c r="G470" t="s">
        <v>62</v>
      </c>
      <c r="H470">
        <v>3571504</v>
      </c>
      <c r="I470">
        <v>3572388</v>
      </c>
      <c r="J470" t="s">
        <v>4905</v>
      </c>
      <c r="K470">
        <v>295</v>
      </c>
      <c r="L470" t="s">
        <v>83</v>
      </c>
      <c r="M470">
        <v>4</v>
      </c>
      <c r="N470" t="str">
        <f>HYPERLINK("Gene3604-zp_tree_all.dnd", "Gene3604-tree")</f>
        <v>Gene3604-tree</v>
      </c>
      <c r="O470">
        <v>3</v>
      </c>
      <c r="P470">
        <v>1</v>
      </c>
      <c r="Q470">
        <v>3</v>
      </c>
      <c r="R470">
        <v>1</v>
      </c>
      <c r="S470">
        <v>0.25</v>
      </c>
      <c r="T470" t="s">
        <v>84</v>
      </c>
      <c r="U470" t="s">
        <v>61</v>
      </c>
      <c r="V470" t="s">
        <v>62</v>
      </c>
      <c r="W470" t="s">
        <v>62</v>
      </c>
      <c r="X470">
        <v>0</v>
      </c>
      <c r="Y470">
        <v>0</v>
      </c>
      <c r="Z470">
        <v>4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4</v>
      </c>
      <c r="AK470">
        <v>0</v>
      </c>
      <c r="AL470">
        <v>4</v>
      </c>
      <c r="AM470">
        <v>1</v>
      </c>
      <c r="AN470">
        <v>46</v>
      </c>
      <c r="AO470">
        <v>5</v>
      </c>
      <c r="AP470">
        <v>3</v>
      </c>
      <c r="AQ470">
        <v>0</v>
      </c>
      <c r="AR470" t="s">
        <v>4906</v>
      </c>
      <c r="AS470" t="s">
        <v>64</v>
      </c>
      <c r="AT470">
        <v>0.48</v>
      </c>
      <c r="AU470" t="s">
        <v>65</v>
      </c>
      <c r="AV470">
        <v>49</v>
      </c>
      <c r="AW470">
        <v>5</v>
      </c>
      <c r="AX470" t="s">
        <v>4907</v>
      </c>
      <c r="AY470" t="s">
        <v>4908</v>
      </c>
      <c r="AZ470" t="s">
        <v>4909</v>
      </c>
      <c r="BA470">
        <v>2.622E-2</v>
      </c>
      <c r="BB470">
        <v>1</v>
      </c>
      <c r="BC470" t="s">
        <v>69</v>
      </c>
      <c r="BD470">
        <v>-0.628</v>
      </c>
      <c r="BE470">
        <v>-0.628</v>
      </c>
    </row>
    <row r="471" spans="1:57">
      <c r="A471">
        <v>0</v>
      </c>
      <c r="B471">
        <v>0</v>
      </c>
      <c r="C471">
        <v>0</v>
      </c>
      <c r="D471">
        <v>749</v>
      </c>
      <c r="E471" t="s">
        <v>1216</v>
      </c>
      <c r="F471" t="s">
        <v>5762</v>
      </c>
      <c r="G471" t="s">
        <v>57</v>
      </c>
      <c r="H471">
        <v>782062</v>
      </c>
      <c r="I471">
        <v>782946</v>
      </c>
      <c r="J471" t="s">
        <v>1210</v>
      </c>
      <c r="K471">
        <v>295</v>
      </c>
      <c r="L471" t="s">
        <v>83</v>
      </c>
      <c r="M471">
        <v>4</v>
      </c>
      <c r="N471" t="str">
        <f>HYPERLINK("Gene749-zp_tree_all.dnd", "Gene749-tree")</f>
        <v>Gene749-tree</v>
      </c>
      <c r="O471">
        <v>3</v>
      </c>
      <c r="P471">
        <v>1</v>
      </c>
      <c r="Q471">
        <v>3</v>
      </c>
      <c r="R471">
        <v>1</v>
      </c>
      <c r="S471">
        <v>0.25</v>
      </c>
      <c r="T471" t="s">
        <v>84</v>
      </c>
      <c r="U471" t="s">
        <v>61</v>
      </c>
      <c r="V471" t="s">
        <v>62</v>
      </c>
      <c r="W471" t="s">
        <v>62</v>
      </c>
      <c r="X471">
        <v>0</v>
      </c>
      <c r="Y471">
        <v>0</v>
      </c>
      <c r="Z471">
        <v>2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2</v>
      </c>
      <c r="AK471">
        <v>0</v>
      </c>
      <c r="AL471">
        <v>4</v>
      </c>
      <c r="AM471">
        <v>1</v>
      </c>
      <c r="AN471">
        <v>53</v>
      </c>
      <c r="AO471">
        <v>2</v>
      </c>
      <c r="AP471">
        <v>5</v>
      </c>
      <c r="AQ471">
        <v>0</v>
      </c>
      <c r="AR471" t="s">
        <v>1217</v>
      </c>
      <c r="AS471" t="s">
        <v>64</v>
      </c>
      <c r="AT471">
        <v>0.48899999999999999</v>
      </c>
      <c r="AU471" t="s">
        <v>65</v>
      </c>
      <c r="AV471">
        <v>58</v>
      </c>
      <c r="AW471">
        <v>2</v>
      </c>
      <c r="AX471" t="s">
        <v>1218</v>
      </c>
      <c r="AY471" t="s">
        <v>1219</v>
      </c>
      <c r="AZ471" t="s">
        <v>1220</v>
      </c>
      <c r="BA471">
        <v>1.004E-2</v>
      </c>
      <c r="BB471">
        <v>1</v>
      </c>
      <c r="BC471" t="s">
        <v>69</v>
      </c>
      <c r="BD471">
        <v>-0.35699999999999998</v>
      </c>
      <c r="BE471">
        <v>-0.52700000000000002</v>
      </c>
    </row>
    <row r="472" spans="1:57">
      <c r="A472">
        <v>0</v>
      </c>
      <c r="B472">
        <v>0</v>
      </c>
      <c r="C472">
        <v>0</v>
      </c>
      <c r="D472">
        <v>2629</v>
      </c>
      <c r="E472" t="s">
        <v>3493</v>
      </c>
      <c r="F472" t="s">
        <v>5762</v>
      </c>
      <c r="G472" t="s">
        <v>62</v>
      </c>
      <c r="H472">
        <v>2607765</v>
      </c>
      <c r="I472">
        <v>2608649</v>
      </c>
      <c r="J472" t="s">
        <v>3494</v>
      </c>
      <c r="K472">
        <v>295</v>
      </c>
      <c r="L472" t="s">
        <v>83</v>
      </c>
      <c r="M472">
        <v>4</v>
      </c>
      <c r="N472" t="str">
        <f>HYPERLINK("Gene2629-zp_tree_all.dnd", "Gene2629-tree")</f>
        <v>Gene2629-tree</v>
      </c>
      <c r="O472">
        <v>4</v>
      </c>
      <c r="P472">
        <v>0</v>
      </c>
      <c r="Q472">
        <v>4</v>
      </c>
      <c r="R472">
        <v>0</v>
      </c>
      <c r="S472">
        <v>0</v>
      </c>
      <c r="T472" t="s">
        <v>60</v>
      </c>
      <c r="U472" t="s">
        <v>62</v>
      </c>
      <c r="V472" t="s">
        <v>62</v>
      </c>
      <c r="W472" t="s">
        <v>62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3</v>
      </c>
      <c r="AM472">
        <v>1</v>
      </c>
      <c r="AN472">
        <v>43</v>
      </c>
      <c r="AO472">
        <v>0</v>
      </c>
      <c r="AP472">
        <v>4</v>
      </c>
      <c r="AQ472">
        <v>0</v>
      </c>
      <c r="AR472" t="s">
        <v>64</v>
      </c>
      <c r="AS472" t="s">
        <v>64</v>
      </c>
      <c r="AT472">
        <v>0</v>
      </c>
      <c r="AU472" t="s">
        <v>65</v>
      </c>
      <c r="AV472">
        <v>47</v>
      </c>
      <c r="AW472">
        <v>0</v>
      </c>
      <c r="AX472" t="s">
        <v>3495</v>
      </c>
      <c r="AY472" t="s">
        <v>3496</v>
      </c>
      <c r="AZ472" t="s">
        <v>64</v>
      </c>
      <c r="BA472">
        <v>0</v>
      </c>
      <c r="BB472">
        <v>1</v>
      </c>
      <c r="BC472" t="s">
        <v>69</v>
      </c>
      <c r="BD472">
        <v>-0.59599999999999997</v>
      </c>
      <c r="BE472">
        <v>-0.59599999999999997</v>
      </c>
    </row>
    <row r="473" spans="1:57">
      <c r="A473">
        <v>0</v>
      </c>
      <c r="B473">
        <v>0</v>
      </c>
      <c r="C473">
        <v>0</v>
      </c>
      <c r="D473">
        <v>3653</v>
      </c>
      <c r="E473" t="s">
        <v>4928</v>
      </c>
      <c r="F473" t="s">
        <v>5762</v>
      </c>
      <c r="G473" t="s">
        <v>62</v>
      </c>
      <c r="H473">
        <v>3623941</v>
      </c>
      <c r="I473">
        <v>3624828</v>
      </c>
      <c r="J473" t="s">
        <v>4929</v>
      </c>
      <c r="K473">
        <v>296</v>
      </c>
      <c r="L473" t="s">
        <v>59</v>
      </c>
      <c r="M473">
        <v>5</v>
      </c>
      <c r="N473" t="str">
        <f>HYPERLINK("Gene3653-zp_tree_all.dnd", "Gene3653-tree")</f>
        <v>Gene3653-tree</v>
      </c>
      <c r="O473">
        <v>2</v>
      </c>
      <c r="P473">
        <v>3</v>
      </c>
      <c r="Q473">
        <v>2</v>
      </c>
      <c r="R473">
        <v>3</v>
      </c>
      <c r="S473">
        <v>0.6</v>
      </c>
      <c r="T473" t="s">
        <v>135</v>
      </c>
      <c r="U473" t="s">
        <v>84</v>
      </c>
      <c r="V473" t="s">
        <v>62</v>
      </c>
      <c r="W473" t="s">
        <v>62</v>
      </c>
      <c r="X473">
        <v>0</v>
      </c>
      <c r="Y473">
        <v>0</v>
      </c>
      <c r="Z473">
        <v>8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4</v>
      </c>
      <c r="AK473">
        <v>0</v>
      </c>
      <c r="AL473">
        <v>5</v>
      </c>
      <c r="AM473">
        <v>2</v>
      </c>
      <c r="AN473">
        <v>23</v>
      </c>
      <c r="AO473">
        <v>4</v>
      </c>
      <c r="AP473">
        <v>21</v>
      </c>
      <c r="AQ473">
        <v>4</v>
      </c>
      <c r="AR473" t="s">
        <v>4930</v>
      </c>
      <c r="AS473" t="s">
        <v>4931</v>
      </c>
      <c r="AT473">
        <v>3.4000000000000002E-2</v>
      </c>
      <c r="AU473" t="s">
        <v>65</v>
      </c>
      <c r="AV473">
        <v>44</v>
      </c>
      <c r="AW473">
        <v>8</v>
      </c>
      <c r="AX473" t="s">
        <v>4932</v>
      </c>
      <c r="AY473" t="s">
        <v>4933</v>
      </c>
      <c r="AZ473" t="s">
        <v>4934</v>
      </c>
      <c r="BA473">
        <v>5.1369999999999999E-2</v>
      </c>
      <c r="BB473">
        <v>1</v>
      </c>
      <c r="BC473" t="s">
        <v>69</v>
      </c>
      <c r="BD473">
        <v>0.34499999999999997</v>
      </c>
      <c r="BE473">
        <v>0.34499999999999997</v>
      </c>
    </row>
    <row r="474" spans="1:57">
      <c r="A474">
        <v>0</v>
      </c>
      <c r="B474">
        <v>0</v>
      </c>
      <c r="C474">
        <v>2</v>
      </c>
      <c r="D474">
        <v>1735</v>
      </c>
      <c r="E474" t="s">
        <v>2621</v>
      </c>
      <c r="F474" t="s">
        <v>5762</v>
      </c>
      <c r="G474" t="s">
        <v>57</v>
      </c>
      <c r="H474">
        <v>1744367</v>
      </c>
      <c r="I474">
        <v>1745257</v>
      </c>
      <c r="J474" t="s">
        <v>2622</v>
      </c>
      <c r="K474">
        <v>297</v>
      </c>
      <c r="L474" t="s">
        <v>59</v>
      </c>
      <c r="M474">
        <v>5</v>
      </c>
      <c r="N474" t="str">
        <f>HYPERLINK("Gene1735-zp_tree_all.dnd", "Gene1735-tree")</f>
        <v>Gene1735-tree</v>
      </c>
      <c r="O474">
        <v>2</v>
      </c>
      <c r="P474">
        <v>3</v>
      </c>
      <c r="Q474">
        <v>2</v>
      </c>
      <c r="R474">
        <v>3</v>
      </c>
      <c r="S474">
        <v>0.6</v>
      </c>
      <c r="T474" t="s">
        <v>135</v>
      </c>
      <c r="U474" t="s">
        <v>84</v>
      </c>
      <c r="V474" t="s">
        <v>62</v>
      </c>
      <c r="W474" t="s">
        <v>62</v>
      </c>
      <c r="X474">
        <v>1</v>
      </c>
      <c r="Y474">
        <v>2</v>
      </c>
      <c r="Z474">
        <v>5</v>
      </c>
      <c r="AA474">
        <v>0.28571000000000002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4</v>
      </c>
      <c r="AK474">
        <v>0</v>
      </c>
      <c r="AL474">
        <v>5</v>
      </c>
      <c r="AM474">
        <v>2</v>
      </c>
      <c r="AN474">
        <v>12</v>
      </c>
      <c r="AO474">
        <v>4</v>
      </c>
      <c r="AP474">
        <v>28</v>
      </c>
      <c r="AQ474">
        <v>3</v>
      </c>
      <c r="AR474" t="s">
        <v>2623</v>
      </c>
      <c r="AS474" t="s">
        <v>2624</v>
      </c>
      <c r="AT474">
        <v>1.0309999999999999</v>
      </c>
      <c r="AU474" t="s">
        <v>65</v>
      </c>
      <c r="AV474">
        <v>40</v>
      </c>
      <c r="AW474">
        <v>7</v>
      </c>
      <c r="AX474" t="s">
        <v>2625</v>
      </c>
      <c r="AY474" t="s">
        <v>2626</v>
      </c>
      <c r="AZ474" t="s">
        <v>2627</v>
      </c>
      <c r="BA474">
        <v>4.1169999999999998E-2</v>
      </c>
      <c r="BB474">
        <v>1</v>
      </c>
      <c r="BC474" t="s">
        <v>69</v>
      </c>
      <c r="BD474">
        <v>1.012</v>
      </c>
      <c r="BE474">
        <v>0.69799999999999995</v>
      </c>
    </row>
    <row r="475" spans="1:57">
      <c r="A475">
        <v>0</v>
      </c>
      <c r="B475">
        <v>0</v>
      </c>
      <c r="C475">
        <v>0</v>
      </c>
      <c r="D475">
        <v>1639</v>
      </c>
      <c r="E475" t="s">
        <v>2344</v>
      </c>
      <c r="F475" t="s">
        <v>5762</v>
      </c>
      <c r="G475" t="s">
        <v>57</v>
      </c>
      <c r="H475">
        <v>1653103</v>
      </c>
      <c r="I475">
        <v>1653996</v>
      </c>
      <c r="J475" t="s">
        <v>2345</v>
      </c>
      <c r="K475">
        <v>298</v>
      </c>
      <c r="L475" t="s">
        <v>59</v>
      </c>
      <c r="M475">
        <v>5</v>
      </c>
      <c r="N475" t="str">
        <f>HYPERLINK("Gene1639-zp_tree_all.dnd", "Gene1639-tree")</f>
        <v>Gene1639-tree</v>
      </c>
      <c r="O475">
        <v>2</v>
      </c>
      <c r="P475">
        <v>3</v>
      </c>
      <c r="Q475">
        <v>2</v>
      </c>
      <c r="R475">
        <v>3</v>
      </c>
      <c r="S475">
        <v>0.6</v>
      </c>
      <c r="T475" t="s">
        <v>135</v>
      </c>
      <c r="U475" t="s">
        <v>84</v>
      </c>
      <c r="V475" t="s">
        <v>62</v>
      </c>
      <c r="W475" t="s">
        <v>62</v>
      </c>
      <c r="X475">
        <v>0</v>
      </c>
      <c r="Y475">
        <v>0</v>
      </c>
      <c r="Z475">
        <v>9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5</v>
      </c>
      <c r="AK475">
        <v>0</v>
      </c>
      <c r="AL475">
        <v>5</v>
      </c>
      <c r="AM475">
        <v>2</v>
      </c>
      <c r="AN475">
        <v>25</v>
      </c>
      <c r="AO475">
        <v>5</v>
      </c>
      <c r="AP475">
        <v>27</v>
      </c>
      <c r="AQ475">
        <v>4</v>
      </c>
      <c r="AR475" t="s">
        <v>2346</v>
      </c>
      <c r="AS475" t="s">
        <v>2347</v>
      </c>
      <c r="AT475">
        <v>0.28699999999999998</v>
      </c>
      <c r="AU475" t="s">
        <v>65</v>
      </c>
      <c r="AV475">
        <v>52</v>
      </c>
      <c r="AW475">
        <v>9</v>
      </c>
      <c r="AX475" t="s">
        <v>2348</v>
      </c>
      <c r="AY475" t="s">
        <v>2349</v>
      </c>
      <c r="AZ475" t="s">
        <v>2350</v>
      </c>
      <c r="BA475">
        <v>4.7719999999999999E-2</v>
      </c>
      <c r="BB475">
        <v>1</v>
      </c>
      <c r="BC475" t="s">
        <v>69</v>
      </c>
      <c r="BD475">
        <v>0.63</v>
      </c>
      <c r="BE475">
        <v>0.22900000000000001</v>
      </c>
    </row>
    <row r="476" spans="1:57">
      <c r="A476">
        <v>0</v>
      </c>
      <c r="B476">
        <v>0</v>
      </c>
      <c r="C476">
        <v>0</v>
      </c>
      <c r="D476">
        <v>3351</v>
      </c>
      <c r="E476" t="s">
        <v>4581</v>
      </c>
      <c r="F476" t="s">
        <v>5762</v>
      </c>
      <c r="G476" t="s">
        <v>62</v>
      </c>
      <c r="H476">
        <v>3320327</v>
      </c>
      <c r="I476">
        <v>3321220</v>
      </c>
      <c r="J476" t="s">
        <v>4582</v>
      </c>
      <c r="K476">
        <v>298</v>
      </c>
      <c r="L476" t="s">
        <v>59</v>
      </c>
      <c r="M476">
        <v>5</v>
      </c>
      <c r="N476" t="str">
        <f>HYPERLINK("Gene3351-zp_tree_all.dnd", "Gene3351-tree")</f>
        <v>Gene3351-tree</v>
      </c>
      <c r="O476">
        <v>5</v>
      </c>
      <c r="P476">
        <v>0</v>
      </c>
      <c r="Q476">
        <v>5</v>
      </c>
      <c r="R476">
        <v>0</v>
      </c>
      <c r="S476">
        <v>0</v>
      </c>
      <c r="T476" t="s">
        <v>98</v>
      </c>
      <c r="U476" t="s">
        <v>62</v>
      </c>
      <c r="V476" t="s">
        <v>62</v>
      </c>
      <c r="W476" t="s">
        <v>62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5</v>
      </c>
      <c r="AM476">
        <v>2</v>
      </c>
      <c r="AN476">
        <v>42</v>
      </c>
      <c r="AO476">
        <v>0</v>
      </c>
      <c r="AP476">
        <v>24</v>
      </c>
      <c r="AQ476">
        <v>0</v>
      </c>
      <c r="AR476" t="s">
        <v>64</v>
      </c>
      <c r="AS476" t="s">
        <v>64</v>
      </c>
      <c r="AT476">
        <v>0</v>
      </c>
      <c r="AU476" t="s">
        <v>65</v>
      </c>
      <c r="AV476">
        <v>66</v>
      </c>
      <c r="AW476">
        <v>0</v>
      </c>
      <c r="AX476" t="s">
        <v>4583</v>
      </c>
      <c r="AY476" t="s">
        <v>4584</v>
      </c>
      <c r="AZ476" t="s">
        <v>64</v>
      </c>
      <c r="BA476">
        <v>0</v>
      </c>
      <c r="BB476">
        <v>1</v>
      </c>
      <c r="BC476" t="s">
        <v>69</v>
      </c>
      <c r="BD476">
        <v>0.36899999999999999</v>
      </c>
      <c r="BE476">
        <v>0.23499999999999999</v>
      </c>
    </row>
    <row r="477" spans="1:57">
      <c r="A477">
        <v>0</v>
      </c>
      <c r="B477">
        <v>0</v>
      </c>
      <c r="C477">
        <v>0</v>
      </c>
      <c r="D477">
        <v>2601</v>
      </c>
      <c r="E477" t="s">
        <v>3441</v>
      </c>
      <c r="F477" t="s">
        <v>5762</v>
      </c>
      <c r="G477" t="s">
        <v>62</v>
      </c>
      <c r="H477">
        <v>2580718</v>
      </c>
      <c r="I477">
        <v>2581617</v>
      </c>
      <c r="J477" t="s">
        <v>3442</v>
      </c>
      <c r="K477">
        <v>300</v>
      </c>
      <c r="L477" t="s">
        <v>59</v>
      </c>
      <c r="M477">
        <v>5</v>
      </c>
      <c r="N477" t="str">
        <f>HYPERLINK("Gene2601-zp_tree_all.dnd", "Gene2601-tree")</f>
        <v>Gene2601-tree</v>
      </c>
      <c r="O477">
        <v>1</v>
      </c>
      <c r="P477">
        <v>4</v>
      </c>
      <c r="Q477">
        <v>1</v>
      </c>
      <c r="R477">
        <v>4</v>
      </c>
      <c r="S477">
        <v>0.8</v>
      </c>
      <c r="T477" t="s">
        <v>61</v>
      </c>
      <c r="U477" t="s">
        <v>60</v>
      </c>
      <c r="V477" t="s">
        <v>62</v>
      </c>
      <c r="W477" t="s">
        <v>62</v>
      </c>
      <c r="X477">
        <v>0</v>
      </c>
      <c r="Y477">
        <v>0</v>
      </c>
      <c r="Z477">
        <v>10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6</v>
      </c>
      <c r="AK477">
        <v>0</v>
      </c>
      <c r="AL477">
        <v>5</v>
      </c>
      <c r="AM477">
        <v>2</v>
      </c>
      <c r="AN477">
        <v>37</v>
      </c>
      <c r="AO477">
        <v>6</v>
      </c>
      <c r="AP477">
        <v>17</v>
      </c>
      <c r="AQ477">
        <v>4</v>
      </c>
      <c r="AR477" t="s">
        <v>3443</v>
      </c>
      <c r="AS477" t="s">
        <v>3444</v>
      </c>
      <c r="AT477">
        <v>0.98899999999999999</v>
      </c>
      <c r="AU477" t="s">
        <v>65</v>
      </c>
      <c r="AV477">
        <v>54</v>
      </c>
      <c r="AW477">
        <v>10</v>
      </c>
      <c r="AX477" t="s">
        <v>3445</v>
      </c>
      <c r="AY477" t="s">
        <v>3446</v>
      </c>
      <c r="AZ477" t="s">
        <v>3447</v>
      </c>
      <c r="BA477">
        <v>5.6399999999999999E-2</v>
      </c>
      <c r="BB477">
        <v>1</v>
      </c>
      <c r="BC477" t="s">
        <v>69</v>
      </c>
      <c r="BD477">
        <v>2.1000000000000001E-2</v>
      </c>
      <c r="BE477">
        <v>-8.5000000000000006E-2</v>
      </c>
    </row>
    <row r="478" spans="1:57">
      <c r="A478">
        <v>0</v>
      </c>
      <c r="B478">
        <v>0</v>
      </c>
      <c r="C478">
        <v>0</v>
      </c>
      <c r="D478">
        <v>3377</v>
      </c>
      <c r="E478" t="s">
        <v>4591</v>
      </c>
      <c r="F478" t="s">
        <v>5762</v>
      </c>
      <c r="G478" t="s">
        <v>62</v>
      </c>
      <c r="H478">
        <v>3347922</v>
      </c>
      <c r="I478">
        <v>3348821</v>
      </c>
      <c r="J478" t="s">
        <v>4592</v>
      </c>
      <c r="K478">
        <v>300</v>
      </c>
      <c r="L478" t="s">
        <v>59</v>
      </c>
      <c r="M478">
        <v>5</v>
      </c>
      <c r="N478" t="str">
        <f>HYPERLINK("Gene3377-zp_tree_all.dnd", "Gene3377-tree")</f>
        <v>Gene3377-tree</v>
      </c>
      <c r="O478">
        <v>2</v>
      </c>
      <c r="P478">
        <v>3</v>
      </c>
      <c r="Q478">
        <v>2</v>
      </c>
      <c r="R478">
        <v>3</v>
      </c>
      <c r="S478">
        <v>0.6</v>
      </c>
      <c r="T478" t="s">
        <v>135</v>
      </c>
      <c r="U478" t="s">
        <v>84</v>
      </c>
      <c r="V478" t="s">
        <v>62</v>
      </c>
      <c r="W478" t="s">
        <v>62</v>
      </c>
      <c r="X478">
        <v>0</v>
      </c>
      <c r="Y478">
        <v>0</v>
      </c>
      <c r="Z478">
        <v>8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5</v>
      </c>
      <c r="AK478">
        <v>0</v>
      </c>
      <c r="AL478">
        <v>4</v>
      </c>
      <c r="AM478">
        <v>2</v>
      </c>
      <c r="AN478">
        <v>22</v>
      </c>
      <c r="AO478">
        <v>7</v>
      </c>
      <c r="AP478">
        <v>31</v>
      </c>
      <c r="AQ478">
        <v>3</v>
      </c>
      <c r="AR478" t="s">
        <v>4593</v>
      </c>
      <c r="AS478" t="s">
        <v>4594</v>
      </c>
      <c r="AT478">
        <v>1.8109999999999999</v>
      </c>
      <c r="AU478" t="s">
        <v>65</v>
      </c>
      <c r="AV478">
        <v>53</v>
      </c>
      <c r="AW478">
        <v>10</v>
      </c>
      <c r="AX478" t="s">
        <v>4595</v>
      </c>
      <c r="AY478" t="s">
        <v>4596</v>
      </c>
      <c r="AZ478" t="s">
        <v>4597</v>
      </c>
      <c r="BA478">
        <v>4.8189999999999997E-2</v>
      </c>
      <c r="BB478">
        <v>1</v>
      </c>
      <c r="BC478" t="s">
        <v>69</v>
      </c>
      <c r="BD478">
        <v>0.52500000000000002</v>
      </c>
      <c r="BE478">
        <v>0.42</v>
      </c>
    </row>
    <row r="479" spans="1:57">
      <c r="A479">
        <v>0</v>
      </c>
      <c r="B479">
        <v>0</v>
      </c>
      <c r="C479">
        <v>0</v>
      </c>
      <c r="D479">
        <v>1915</v>
      </c>
      <c r="E479" t="s">
        <v>2820</v>
      </c>
      <c r="F479" t="s">
        <v>5762</v>
      </c>
      <c r="G479" t="s">
        <v>57</v>
      </c>
      <c r="H479">
        <v>2014779</v>
      </c>
      <c r="I479">
        <v>2015678</v>
      </c>
      <c r="J479" t="s">
        <v>2821</v>
      </c>
      <c r="K479">
        <v>300</v>
      </c>
      <c r="L479" t="s">
        <v>59</v>
      </c>
      <c r="M479">
        <v>5</v>
      </c>
      <c r="N479" t="str">
        <f>HYPERLINK("Gene1915-zp_tree_all.dnd", "Gene1915-tree")</f>
        <v>Gene1915-tree</v>
      </c>
      <c r="O479">
        <v>4</v>
      </c>
      <c r="P479">
        <v>1</v>
      </c>
      <c r="Q479">
        <v>4</v>
      </c>
      <c r="R479">
        <v>1</v>
      </c>
      <c r="S479">
        <v>0.2</v>
      </c>
      <c r="T479" t="s">
        <v>60</v>
      </c>
      <c r="U479" t="s">
        <v>61</v>
      </c>
      <c r="V479" t="s">
        <v>62</v>
      </c>
      <c r="W479" t="s">
        <v>62</v>
      </c>
      <c r="X479">
        <v>0</v>
      </c>
      <c r="Y479">
        <v>0</v>
      </c>
      <c r="Z479">
        <v>5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2</v>
      </c>
      <c r="AK479">
        <v>0</v>
      </c>
      <c r="AL479">
        <v>4</v>
      </c>
      <c r="AM479">
        <v>2</v>
      </c>
      <c r="AN479">
        <v>21</v>
      </c>
      <c r="AO479">
        <v>2</v>
      </c>
      <c r="AP479">
        <v>29</v>
      </c>
      <c r="AQ479">
        <v>3</v>
      </c>
      <c r="AR479" t="s">
        <v>2822</v>
      </c>
      <c r="AS479" t="s">
        <v>2823</v>
      </c>
      <c r="AT479">
        <v>8.9999999999999993E-3</v>
      </c>
      <c r="AU479" t="s">
        <v>65</v>
      </c>
      <c r="AV479">
        <v>50</v>
      </c>
      <c r="AW479">
        <v>5</v>
      </c>
      <c r="AX479" t="s">
        <v>2824</v>
      </c>
      <c r="AY479" t="s">
        <v>2825</v>
      </c>
      <c r="AZ479" t="s">
        <v>2826</v>
      </c>
      <c r="BA479">
        <v>2.7040000000000002E-2</v>
      </c>
      <c r="BB479">
        <v>1</v>
      </c>
      <c r="BC479" t="s">
        <v>69</v>
      </c>
      <c r="BD479">
        <v>0.73</v>
      </c>
      <c r="BE479">
        <v>0.58199999999999996</v>
      </c>
    </row>
    <row r="480" spans="1:57">
      <c r="A480">
        <v>0</v>
      </c>
      <c r="B480">
        <v>0</v>
      </c>
      <c r="C480">
        <v>0</v>
      </c>
      <c r="D480">
        <v>1671</v>
      </c>
      <c r="E480" t="s">
        <v>2424</v>
      </c>
      <c r="F480" t="s">
        <v>5762</v>
      </c>
      <c r="G480" t="s">
        <v>57</v>
      </c>
      <c r="H480">
        <v>1681617</v>
      </c>
      <c r="I480">
        <v>1682516</v>
      </c>
      <c r="J480" t="s">
        <v>2425</v>
      </c>
      <c r="K480">
        <v>300</v>
      </c>
      <c r="L480" t="s">
        <v>59</v>
      </c>
      <c r="M480">
        <v>5</v>
      </c>
      <c r="N480" t="str">
        <f>HYPERLINK("Gene1671-zp_tree_all.dnd", "Gene1671-tree")</f>
        <v>Gene1671-tree</v>
      </c>
      <c r="O480">
        <v>4</v>
      </c>
      <c r="P480">
        <v>1</v>
      </c>
      <c r="Q480">
        <v>4</v>
      </c>
      <c r="R480">
        <v>1</v>
      </c>
      <c r="S480">
        <v>0.2</v>
      </c>
      <c r="T480" t="s">
        <v>60</v>
      </c>
      <c r="U480" t="s">
        <v>61</v>
      </c>
      <c r="V480" t="s">
        <v>62</v>
      </c>
      <c r="W480" t="s">
        <v>62</v>
      </c>
      <c r="X480">
        <v>0</v>
      </c>
      <c r="Y480">
        <v>0</v>
      </c>
      <c r="Z480">
        <v>1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1</v>
      </c>
      <c r="AK480">
        <v>0</v>
      </c>
      <c r="AL480">
        <v>4</v>
      </c>
      <c r="AM480">
        <v>2</v>
      </c>
      <c r="AN480">
        <v>18</v>
      </c>
      <c r="AO480">
        <v>1</v>
      </c>
      <c r="AP480">
        <v>24</v>
      </c>
      <c r="AQ480">
        <v>0</v>
      </c>
      <c r="AR480" t="s">
        <v>2426</v>
      </c>
      <c r="AS480" t="s">
        <v>64</v>
      </c>
      <c r="AT480">
        <v>0.63200000000000001</v>
      </c>
      <c r="AU480" t="s">
        <v>65</v>
      </c>
      <c r="AV480">
        <v>42</v>
      </c>
      <c r="AW480">
        <v>1</v>
      </c>
      <c r="AX480" t="s">
        <v>2427</v>
      </c>
      <c r="AY480" t="s">
        <v>2428</v>
      </c>
      <c r="AZ480" t="s">
        <v>2429</v>
      </c>
      <c r="BA480">
        <v>5.4400000000000004E-3</v>
      </c>
      <c r="BB480">
        <v>1</v>
      </c>
      <c r="BC480" t="s">
        <v>69</v>
      </c>
      <c r="BD480">
        <v>0.69599999999999995</v>
      </c>
      <c r="BE480">
        <v>0.505</v>
      </c>
    </row>
    <row r="481" spans="1:57">
      <c r="A481">
        <v>0</v>
      </c>
      <c r="B481">
        <v>0</v>
      </c>
      <c r="C481">
        <v>0</v>
      </c>
      <c r="D481">
        <v>1110</v>
      </c>
      <c r="E481" t="s">
        <v>1587</v>
      </c>
      <c r="F481" t="s">
        <v>5762</v>
      </c>
      <c r="G481" t="s">
        <v>57</v>
      </c>
      <c r="H481">
        <v>1152244</v>
      </c>
      <c r="I481">
        <v>1153146</v>
      </c>
      <c r="J481" t="s">
        <v>1588</v>
      </c>
      <c r="K481">
        <v>301</v>
      </c>
      <c r="L481" t="s">
        <v>83</v>
      </c>
      <c r="M481">
        <v>4</v>
      </c>
      <c r="N481" t="str">
        <f>HYPERLINK("Gene1110-zp_tree_all.dnd", "Gene1110-tree")</f>
        <v>Gene1110-tree</v>
      </c>
      <c r="O481">
        <v>1</v>
      </c>
      <c r="P481">
        <v>3</v>
      </c>
      <c r="Q481">
        <v>1</v>
      </c>
      <c r="R481">
        <v>3</v>
      </c>
      <c r="S481">
        <v>0.75</v>
      </c>
      <c r="T481" t="s">
        <v>61</v>
      </c>
      <c r="U481" t="s">
        <v>84</v>
      </c>
      <c r="V481" t="s">
        <v>62</v>
      </c>
      <c r="W481" t="s">
        <v>62</v>
      </c>
      <c r="X481">
        <v>0</v>
      </c>
      <c r="Y481">
        <v>0</v>
      </c>
      <c r="Z481">
        <v>9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9</v>
      </c>
      <c r="AK481">
        <v>0</v>
      </c>
      <c r="AL481">
        <v>4</v>
      </c>
      <c r="AM481">
        <v>1</v>
      </c>
      <c r="AN481">
        <v>38</v>
      </c>
      <c r="AO481">
        <v>9</v>
      </c>
      <c r="AP481">
        <v>4</v>
      </c>
      <c r="AQ481">
        <v>0</v>
      </c>
      <c r="AR481" t="s">
        <v>1589</v>
      </c>
      <c r="AS481" t="s">
        <v>64</v>
      </c>
      <c r="AT481">
        <v>0.70499999999999996</v>
      </c>
      <c r="AU481" t="s">
        <v>65</v>
      </c>
      <c r="AV481">
        <v>42</v>
      </c>
      <c r="AW481">
        <v>9</v>
      </c>
      <c r="AX481" t="s">
        <v>1590</v>
      </c>
      <c r="AY481" t="s">
        <v>1591</v>
      </c>
      <c r="AZ481" t="s">
        <v>1592</v>
      </c>
      <c r="BA481">
        <v>5.6930000000000001E-2</v>
      </c>
      <c r="BB481">
        <v>1</v>
      </c>
      <c r="BC481" t="s">
        <v>69</v>
      </c>
      <c r="BD481">
        <v>-0.47799999999999998</v>
      </c>
      <c r="BE481">
        <v>-0.47799999999999998</v>
      </c>
    </row>
    <row r="482" spans="1:57">
      <c r="A482">
        <v>0</v>
      </c>
      <c r="B482">
        <v>0</v>
      </c>
      <c r="C482">
        <v>4</v>
      </c>
      <c r="D482">
        <v>2632</v>
      </c>
      <c r="E482" t="s">
        <v>3498</v>
      </c>
      <c r="F482" t="s">
        <v>5762</v>
      </c>
      <c r="G482" t="s">
        <v>62</v>
      </c>
      <c r="H482">
        <v>2610044</v>
      </c>
      <c r="I482">
        <v>2610946</v>
      </c>
      <c r="J482" t="s">
        <v>3499</v>
      </c>
      <c r="K482">
        <v>301</v>
      </c>
      <c r="L482" t="s">
        <v>59</v>
      </c>
      <c r="M482">
        <v>5</v>
      </c>
      <c r="N482" t="str">
        <f>HYPERLINK("Gene2632-zp_tree_all.dnd", "Gene2632-tree")</f>
        <v>Gene2632-tree</v>
      </c>
      <c r="O482">
        <v>2</v>
      </c>
      <c r="P482">
        <v>3</v>
      </c>
      <c r="Q482">
        <v>2</v>
      </c>
      <c r="R482">
        <v>2</v>
      </c>
      <c r="S482">
        <v>0.5</v>
      </c>
      <c r="T482" t="s">
        <v>135</v>
      </c>
      <c r="U482" t="s">
        <v>217</v>
      </c>
      <c r="V482">
        <v>0.30599999999999999</v>
      </c>
      <c r="W482" t="s">
        <v>65</v>
      </c>
      <c r="X482">
        <v>2</v>
      </c>
      <c r="Y482">
        <v>4</v>
      </c>
      <c r="Z482">
        <v>1</v>
      </c>
      <c r="AA482">
        <v>0.8</v>
      </c>
      <c r="AB482">
        <v>0</v>
      </c>
      <c r="AC482">
        <v>0</v>
      </c>
      <c r="AD482">
        <v>0</v>
      </c>
      <c r="AE482">
        <v>2</v>
      </c>
      <c r="AF482">
        <v>0</v>
      </c>
      <c r="AG482">
        <v>0</v>
      </c>
      <c r="AH482">
        <v>0</v>
      </c>
      <c r="AI482">
        <v>0</v>
      </c>
      <c r="AJ482">
        <v>3</v>
      </c>
      <c r="AK482">
        <v>0</v>
      </c>
      <c r="AL482">
        <v>4</v>
      </c>
      <c r="AM482">
        <v>1</v>
      </c>
      <c r="AN482">
        <v>21</v>
      </c>
      <c r="AO482">
        <v>3</v>
      </c>
      <c r="AP482">
        <v>25</v>
      </c>
      <c r="AQ482">
        <v>2</v>
      </c>
      <c r="AR482" t="s">
        <v>3500</v>
      </c>
      <c r="AS482" t="s">
        <v>3501</v>
      </c>
      <c r="AT482">
        <v>0.629</v>
      </c>
      <c r="AU482" t="s">
        <v>65</v>
      </c>
      <c r="AV482">
        <v>46</v>
      </c>
      <c r="AW482">
        <v>5</v>
      </c>
      <c r="AX482" t="s">
        <v>3502</v>
      </c>
      <c r="AY482" t="s">
        <v>3503</v>
      </c>
      <c r="AZ482" t="s">
        <v>3504</v>
      </c>
      <c r="BA482">
        <v>2.333E-2</v>
      </c>
      <c r="BB482">
        <v>1</v>
      </c>
      <c r="BC482" t="s">
        <v>69</v>
      </c>
      <c r="BD482">
        <v>0.86</v>
      </c>
      <c r="BE482">
        <v>0.86</v>
      </c>
    </row>
    <row r="483" spans="1:57">
      <c r="A483">
        <v>0</v>
      </c>
      <c r="B483">
        <v>2</v>
      </c>
      <c r="C483">
        <v>0</v>
      </c>
      <c r="D483">
        <v>321</v>
      </c>
      <c r="E483" t="s">
        <v>748</v>
      </c>
      <c r="F483" t="s">
        <v>5762</v>
      </c>
      <c r="G483" t="s">
        <v>57</v>
      </c>
      <c r="H483">
        <v>344551</v>
      </c>
      <c r="I483">
        <v>345459</v>
      </c>
      <c r="J483" t="s">
        <v>749</v>
      </c>
      <c r="K483">
        <v>303</v>
      </c>
      <c r="L483" t="s">
        <v>59</v>
      </c>
      <c r="M483">
        <v>5</v>
      </c>
      <c r="N483" t="str">
        <f>HYPERLINK("Gene321-zp_tree_all.dnd", "Gene321-tree")</f>
        <v>Gene321-tree</v>
      </c>
      <c r="O483">
        <v>3</v>
      </c>
      <c r="P483">
        <v>2</v>
      </c>
      <c r="Q483">
        <v>3</v>
      </c>
      <c r="R483">
        <v>2</v>
      </c>
      <c r="S483">
        <v>0.4</v>
      </c>
      <c r="T483" t="s">
        <v>84</v>
      </c>
      <c r="U483" t="s">
        <v>135</v>
      </c>
      <c r="V483" t="s">
        <v>62</v>
      </c>
      <c r="W483" t="s">
        <v>62</v>
      </c>
      <c r="X483">
        <v>1</v>
      </c>
      <c r="Y483">
        <v>2</v>
      </c>
      <c r="Z483">
        <v>12</v>
      </c>
      <c r="AA483">
        <v>0.14285999999999999</v>
      </c>
      <c r="AB483">
        <v>0</v>
      </c>
      <c r="AC483">
        <v>0</v>
      </c>
      <c r="AD483">
        <v>0</v>
      </c>
      <c r="AE483">
        <v>4</v>
      </c>
      <c r="AF483">
        <v>0</v>
      </c>
      <c r="AG483">
        <v>0</v>
      </c>
      <c r="AH483">
        <v>0</v>
      </c>
      <c r="AI483">
        <v>0</v>
      </c>
      <c r="AJ483">
        <v>6</v>
      </c>
      <c r="AK483">
        <v>0</v>
      </c>
      <c r="AL483">
        <v>5</v>
      </c>
      <c r="AM483">
        <v>2</v>
      </c>
      <c r="AN483">
        <v>27</v>
      </c>
      <c r="AO483">
        <v>6</v>
      </c>
      <c r="AP483">
        <v>16</v>
      </c>
      <c r="AQ483">
        <v>8</v>
      </c>
      <c r="AR483" t="s">
        <v>750</v>
      </c>
      <c r="AS483" t="s">
        <v>751</v>
      </c>
      <c r="AT483">
        <v>1.2689999999999999</v>
      </c>
      <c r="AU483" t="s">
        <v>65</v>
      </c>
      <c r="AV483">
        <v>43</v>
      </c>
      <c r="AW483">
        <v>14</v>
      </c>
      <c r="AX483" t="s">
        <v>752</v>
      </c>
      <c r="AY483" t="s">
        <v>753</v>
      </c>
      <c r="AZ483" t="s">
        <v>754</v>
      </c>
      <c r="BA483">
        <v>8.695E-2</v>
      </c>
      <c r="BB483">
        <v>1</v>
      </c>
      <c r="BC483" t="s">
        <v>69</v>
      </c>
      <c r="BD483">
        <v>0.19800000000000001</v>
      </c>
      <c r="BE483">
        <v>0.19800000000000001</v>
      </c>
    </row>
    <row r="484" spans="1:57">
      <c r="A484">
        <v>0</v>
      </c>
      <c r="B484">
        <v>0</v>
      </c>
      <c r="C484">
        <v>2</v>
      </c>
      <c r="D484">
        <v>1496</v>
      </c>
      <c r="E484" t="s">
        <v>1982</v>
      </c>
      <c r="F484" t="s">
        <v>5762</v>
      </c>
      <c r="G484" t="s">
        <v>57</v>
      </c>
      <c r="H484">
        <v>1508330</v>
      </c>
      <c r="I484">
        <v>1509238</v>
      </c>
      <c r="J484" t="s">
        <v>1983</v>
      </c>
      <c r="K484">
        <v>303</v>
      </c>
      <c r="L484" t="s">
        <v>83</v>
      </c>
      <c r="M484">
        <v>4</v>
      </c>
      <c r="N484" t="str">
        <f>HYPERLINK("Gene1496-zp_tree_all.dnd", "Gene1496-tree")</f>
        <v>Gene1496-tree</v>
      </c>
      <c r="O484">
        <v>2</v>
      </c>
      <c r="P484">
        <v>2</v>
      </c>
      <c r="Q484">
        <v>2</v>
      </c>
      <c r="R484">
        <v>2</v>
      </c>
      <c r="S484">
        <v>0.5</v>
      </c>
      <c r="T484" t="s">
        <v>135</v>
      </c>
      <c r="U484" t="s">
        <v>135</v>
      </c>
      <c r="V484" t="s">
        <v>62</v>
      </c>
      <c r="W484" t="s">
        <v>62</v>
      </c>
      <c r="X484">
        <v>1</v>
      </c>
      <c r="Y484">
        <v>2</v>
      </c>
      <c r="Z484">
        <v>4</v>
      </c>
      <c r="AA484">
        <v>0.33333000000000002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2</v>
      </c>
      <c r="AI484">
        <v>2</v>
      </c>
      <c r="AJ484">
        <v>4</v>
      </c>
      <c r="AK484">
        <v>0.33333000000000002</v>
      </c>
      <c r="AL484">
        <v>3</v>
      </c>
      <c r="AM484">
        <v>1</v>
      </c>
      <c r="AN484">
        <v>33</v>
      </c>
      <c r="AO484">
        <v>7</v>
      </c>
      <c r="AP484">
        <v>6</v>
      </c>
      <c r="AQ484">
        <v>0</v>
      </c>
      <c r="AR484" t="s">
        <v>1984</v>
      </c>
      <c r="AS484" t="s">
        <v>64</v>
      </c>
      <c r="AT484">
        <v>0.72399999999999998</v>
      </c>
      <c r="AU484" t="s">
        <v>65</v>
      </c>
      <c r="AV484">
        <v>39</v>
      </c>
      <c r="AW484">
        <v>7</v>
      </c>
      <c r="AX484" t="s">
        <v>1985</v>
      </c>
      <c r="AY484" t="s">
        <v>1986</v>
      </c>
      <c r="AZ484" t="s">
        <v>1987</v>
      </c>
      <c r="BA484">
        <v>5.135E-2</v>
      </c>
      <c r="BB484">
        <v>1</v>
      </c>
      <c r="BC484" t="s">
        <v>69</v>
      </c>
      <c r="BD484">
        <v>-0.372</v>
      </c>
      <c r="BE484">
        <v>-0.58399999999999996</v>
      </c>
    </row>
    <row r="485" spans="1:57">
      <c r="A485">
        <v>0</v>
      </c>
      <c r="B485">
        <v>0</v>
      </c>
      <c r="C485">
        <v>0</v>
      </c>
      <c r="D485">
        <v>707</v>
      </c>
      <c r="E485" t="s">
        <v>1173</v>
      </c>
      <c r="F485" t="s">
        <v>5762</v>
      </c>
      <c r="G485" t="s">
        <v>57</v>
      </c>
      <c r="H485">
        <v>736436</v>
      </c>
      <c r="I485">
        <v>737344</v>
      </c>
      <c r="J485" t="s">
        <v>1174</v>
      </c>
      <c r="K485">
        <v>303</v>
      </c>
      <c r="L485" t="s">
        <v>59</v>
      </c>
      <c r="M485">
        <v>5</v>
      </c>
      <c r="N485" t="str">
        <f>HYPERLINK("Gene707-zp_tree_all.dnd", "Gene707-tree")</f>
        <v>Gene707-tree</v>
      </c>
      <c r="O485">
        <v>4</v>
      </c>
      <c r="P485">
        <v>1</v>
      </c>
      <c r="Q485">
        <v>4</v>
      </c>
      <c r="R485">
        <v>1</v>
      </c>
      <c r="S485">
        <v>0.2</v>
      </c>
      <c r="T485" t="s">
        <v>60</v>
      </c>
      <c r="U485" t="s">
        <v>61</v>
      </c>
      <c r="V485" t="s">
        <v>62</v>
      </c>
      <c r="W485" t="s">
        <v>62</v>
      </c>
      <c r="X485">
        <v>0</v>
      </c>
      <c r="Y485">
        <v>0</v>
      </c>
      <c r="Z485">
        <v>3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1</v>
      </c>
      <c r="AK485">
        <v>0</v>
      </c>
      <c r="AL485">
        <v>5</v>
      </c>
      <c r="AM485">
        <v>2</v>
      </c>
      <c r="AN485">
        <v>56</v>
      </c>
      <c r="AO485">
        <v>1</v>
      </c>
      <c r="AP485">
        <v>13</v>
      </c>
      <c r="AQ485">
        <v>3</v>
      </c>
      <c r="AR485" t="s">
        <v>1175</v>
      </c>
      <c r="AS485" t="s">
        <v>1176</v>
      </c>
      <c r="AT485">
        <v>0.995</v>
      </c>
      <c r="AU485" t="s">
        <v>65</v>
      </c>
      <c r="AV485">
        <v>69</v>
      </c>
      <c r="AW485">
        <v>4</v>
      </c>
      <c r="AX485" t="s">
        <v>1177</v>
      </c>
      <c r="AY485" t="s">
        <v>1178</v>
      </c>
      <c r="AZ485" t="s">
        <v>1179</v>
      </c>
      <c r="BA485">
        <v>2.5760000000000002E-2</v>
      </c>
      <c r="BB485">
        <v>1</v>
      </c>
      <c r="BC485" t="s">
        <v>69</v>
      </c>
      <c r="BD485">
        <v>0.36899999999999999</v>
      </c>
      <c r="BE485">
        <v>-0.22800000000000001</v>
      </c>
    </row>
    <row r="486" spans="1:57">
      <c r="A486">
        <v>0</v>
      </c>
      <c r="B486">
        <v>0</v>
      </c>
      <c r="C486">
        <v>0</v>
      </c>
      <c r="D486">
        <v>1584</v>
      </c>
      <c r="E486" t="s">
        <v>2198</v>
      </c>
      <c r="F486" t="s">
        <v>5762</v>
      </c>
      <c r="G486" t="s">
        <v>57</v>
      </c>
      <c r="H486">
        <v>1592663</v>
      </c>
      <c r="I486">
        <v>1593571</v>
      </c>
      <c r="J486" t="s">
        <v>2199</v>
      </c>
      <c r="K486">
        <v>303</v>
      </c>
      <c r="L486" t="s">
        <v>59</v>
      </c>
      <c r="M486">
        <v>5</v>
      </c>
      <c r="N486" t="str">
        <f>HYPERLINK("Gene1584-zp_tree_all.dnd", "Gene1584-tree")</f>
        <v>Gene1584-tree</v>
      </c>
      <c r="O486">
        <v>4</v>
      </c>
      <c r="P486">
        <v>1</v>
      </c>
      <c r="Q486">
        <v>4</v>
      </c>
      <c r="R486">
        <v>1</v>
      </c>
      <c r="S486">
        <v>0.2</v>
      </c>
      <c r="T486" t="s">
        <v>60</v>
      </c>
      <c r="U486" t="s">
        <v>61</v>
      </c>
      <c r="V486" t="s">
        <v>62</v>
      </c>
      <c r="W486" t="s">
        <v>62</v>
      </c>
      <c r="X486">
        <v>0</v>
      </c>
      <c r="Y486">
        <v>0</v>
      </c>
      <c r="Z486">
        <v>2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</v>
      </c>
      <c r="AK486">
        <v>0</v>
      </c>
      <c r="AL486">
        <v>5</v>
      </c>
      <c r="AM486">
        <v>2</v>
      </c>
      <c r="AN486">
        <v>26</v>
      </c>
      <c r="AO486">
        <v>1</v>
      </c>
      <c r="AP486">
        <v>28</v>
      </c>
      <c r="AQ486">
        <v>1</v>
      </c>
      <c r="AR486" t="s">
        <v>2200</v>
      </c>
      <c r="AS486" t="s">
        <v>2201</v>
      </c>
      <c r="AT486">
        <v>6.2E-2</v>
      </c>
      <c r="AU486" t="s">
        <v>65</v>
      </c>
      <c r="AV486">
        <v>54</v>
      </c>
      <c r="AW486">
        <v>2</v>
      </c>
      <c r="AX486" t="s">
        <v>2202</v>
      </c>
      <c r="AY486" t="s">
        <v>2203</v>
      </c>
      <c r="AZ486" t="s">
        <v>2204</v>
      </c>
      <c r="BA486">
        <v>9.9500000000000005E-3</v>
      </c>
      <c r="BB486">
        <v>1</v>
      </c>
      <c r="BC486" t="s">
        <v>69</v>
      </c>
      <c r="BD486">
        <v>0.73799999999999999</v>
      </c>
      <c r="BE486">
        <v>0.496</v>
      </c>
    </row>
    <row r="487" spans="1:57">
      <c r="A487">
        <v>0</v>
      </c>
      <c r="B487">
        <v>0</v>
      </c>
      <c r="C487">
        <v>0</v>
      </c>
      <c r="D487">
        <v>1675</v>
      </c>
      <c r="E487" t="s">
        <v>2430</v>
      </c>
      <c r="F487" t="s">
        <v>5762</v>
      </c>
      <c r="G487" t="s">
        <v>57</v>
      </c>
      <c r="H487">
        <v>1687187</v>
      </c>
      <c r="I487">
        <v>1688098</v>
      </c>
      <c r="J487" t="s">
        <v>2431</v>
      </c>
      <c r="K487">
        <v>304</v>
      </c>
      <c r="L487" t="s">
        <v>59</v>
      </c>
      <c r="M487">
        <v>5</v>
      </c>
      <c r="N487" t="str">
        <f>HYPERLINK("Gene1675-zp_tree_all.dnd", "Gene1675-tree")</f>
        <v>Gene1675-tree</v>
      </c>
      <c r="O487">
        <v>4</v>
      </c>
      <c r="P487">
        <v>1</v>
      </c>
      <c r="Q487">
        <v>4</v>
      </c>
      <c r="R487">
        <v>1</v>
      </c>
      <c r="S487">
        <v>0.2</v>
      </c>
      <c r="T487" t="s">
        <v>60</v>
      </c>
      <c r="U487" t="s">
        <v>61</v>
      </c>
      <c r="V487" t="s">
        <v>62</v>
      </c>
      <c r="W487" t="s">
        <v>62</v>
      </c>
      <c r="X487">
        <v>0</v>
      </c>
      <c r="Y487">
        <v>0</v>
      </c>
      <c r="Z487">
        <v>6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1</v>
      </c>
      <c r="AK487">
        <v>0</v>
      </c>
      <c r="AL487">
        <v>5</v>
      </c>
      <c r="AM487">
        <v>2</v>
      </c>
      <c r="AN487">
        <v>15</v>
      </c>
      <c r="AO487">
        <v>1</v>
      </c>
      <c r="AP487">
        <v>18</v>
      </c>
      <c r="AQ487">
        <v>5</v>
      </c>
      <c r="AR487" t="s">
        <v>2432</v>
      </c>
      <c r="AS487" t="s">
        <v>2433</v>
      </c>
      <c r="AT487">
        <v>0.78400000000000003</v>
      </c>
      <c r="AU487" t="s">
        <v>65</v>
      </c>
      <c r="AV487">
        <v>33</v>
      </c>
      <c r="AW487">
        <v>6</v>
      </c>
      <c r="AX487" t="s">
        <v>2434</v>
      </c>
      <c r="AY487" t="s">
        <v>2435</v>
      </c>
      <c r="AZ487" t="s">
        <v>2436</v>
      </c>
      <c r="BA487">
        <v>5.8779999999999999E-2</v>
      </c>
      <c r="BB487">
        <v>1</v>
      </c>
      <c r="BC487" t="s">
        <v>69</v>
      </c>
      <c r="BD487">
        <v>0.82</v>
      </c>
      <c r="BE487">
        <v>0.60899999999999999</v>
      </c>
    </row>
    <row r="488" spans="1:57">
      <c r="A488">
        <v>0</v>
      </c>
      <c r="B488">
        <v>0</v>
      </c>
      <c r="C488">
        <v>0</v>
      </c>
      <c r="D488">
        <v>1184</v>
      </c>
      <c r="E488" t="s">
        <v>1656</v>
      </c>
      <c r="F488" t="s">
        <v>5762</v>
      </c>
      <c r="G488" t="s">
        <v>57</v>
      </c>
      <c r="H488">
        <v>1224533</v>
      </c>
      <c r="I488">
        <v>1225447</v>
      </c>
      <c r="J488" t="s">
        <v>1625</v>
      </c>
      <c r="K488">
        <v>305</v>
      </c>
      <c r="L488" t="s">
        <v>83</v>
      </c>
      <c r="M488">
        <v>4</v>
      </c>
      <c r="N488" t="str">
        <f>HYPERLINK("Gene1184-zp_tree_all.dnd", "Gene1184-tree")</f>
        <v>Gene1184-tree</v>
      </c>
      <c r="O488">
        <v>3</v>
      </c>
      <c r="P488">
        <v>1</v>
      </c>
      <c r="Q488">
        <v>3</v>
      </c>
      <c r="R488">
        <v>1</v>
      </c>
      <c r="S488">
        <v>0.25</v>
      </c>
      <c r="T488" t="s">
        <v>84</v>
      </c>
      <c r="U488" t="s">
        <v>61</v>
      </c>
      <c r="V488" t="s">
        <v>62</v>
      </c>
      <c r="W488" t="s">
        <v>62</v>
      </c>
      <c r="X488">
        <v>0</v>
      </c>
      <c r="Y488">
        <v>0</v>
      </c>
      <c r="Z488">
        <v>4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4</v>
      </c>
      <c r="AK488">
        <v>0</v>
      </c>
      <c r="AL488">
        <v>4</v>
      </c>
      <c r="AM488">
        <v>1</v>
      </c>
      <c r="AN488">
        <v>56</v>
      </c>
      <c r="AO488">
        <v>4</v>
      </c>
      <c r="AP488">
        <v>2</v>
      </c>
      <c r="AQ488">
        <v>0</v>
      </c>
      <c r="AR488" t="s">
        <v>1657</v>
      </c>
      <c r="AS488" t="s">
        <v>64</v>
      </c>
      <c r="AT488">
        <v>0.56000000000000005</v>
      </c>
      <c r="AU488" t="s">
        <v>65</v>
      </c>
      <c r="AV488">
        <v>58</v>
      </c>
      <c r="AW488">
        <v>4</v>
      </c>
      <c r="AX488" t="s">
        <v>1658</v>
      </c>
      <c r="AY488" t="s">
        <v>1659</v>
      </c>
      <c r="AZ488" t="s">
        <v>1660</v>
      </c>
      <c r="BA488">
        <v>1.883E-2</v>
      </c>
      <c r="BB488">
        <v>1</v>
      </c>
      <c r="BC488" t="s">
        <v>69</v>
      </c>
      <c r="BD488">
        <v>-0.48399999999999999</v>
      </c>
      <c r="BE488">
        <v>-0.64900000000000002</v>
      </c>
    </row>
    <row r="489" spans="1:57">
      <c r="A489">
        <v>0</v>
      </c>
      <c r="B489">
        <v>0</v>
      </c>
      <c r="C489">
        <v>0</v>
      </c>
      <c r="D489">
        <v>1548</v>
      </c>
      <c r="E489" t="s">
        <v>2083</v>
      </c>
      <c r="F489" t="s">
        <v>5762</v>
      </c>
      <c r="G489" t="s">
        <v>57</v>
      </c>
      <c r="H489">
        <v>1559309</v>
      </c>
      <c r="I489">
        <v>1560223</v>
      </c>
      <c r="J489" t="s">
        <v>2084</v>
      </c>
      <c r="K489">
        <v>305</v>
      </c>
      <c r="L489" t="s">
        <v>59</v>
      </c>
      <c r="M489">
        <v>5</v>
      </c>
      <c r="N489" t="str">
        <f>HYPERLINK("Gene1548-zp_tree_all.dnd", "Gene1548-tree")</f>
        <v>Gene1548-tree</v>
      </c>
      <c r="O489">
        <v>5</v>
      </c>
      <c r="P489">
        <v>0</v>
      </c>
      <c r="Q489">
        <v>5</v>
      </c>
      <c r="R489">
        <v>0</v>
      </c>
      <c r="S489">
        <v>0</v>
      </c>
      <c r="T489" t="s">
        <v>98</v>
      </c>
      <c r="U489" t="s">
        <v>62</v>
      </c>
      <c r="V489" t="s">
        <v>62</v>
      </c>
      <c r="W489" t="s">
        <v>62</v>
      </c>
      <c r="X489">
        <v>0</v>
      </c>
      <c r="Y489">
        <v>0</v>
      </c>
      <c r="Z489">
        <v>2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5</v>
      </c>
      <c r="AM489">
        <v>2</v>
      </c>
      <c r="AN489">
        <v>27</v>
      </c>
      <c r="AO489">
        <v>0</v>
      </c>
      <c r="AP489">
        <v>15</v>
      </c>
      <c r="AQ489">
        <v>2</v>
      </c>
      <c r="AR489" t="s">
        <v>64</v>
      </c>
      <c r="AS489" t="s">
        <v>2085</v>
      </c>
      <c r="AT489">
        <v>1.032</v>
      </c>
      <c r="AU489" t="s">
        <v>65</v>
      </c>
      <c r="AV489">
        <v>42</v>
      </c>
      <c r="AW489">
        <v>2</v>
      </c>
      <c r="AX489" t="s">
        <v>2086</v>
      </c>
      <c r="AY489" t="s">
        <v>2087</v>
      </c>
      <c r="AZ489" t="s">
        <v>2088</v>
      </c>
      <c r="BA489">
        <v>1.8149999999999999E-2</v>
      </c>
      <c r="BB489">
        <v>1</v>
      </c>
      <c r="BC489" t="s">
        <v>69</v>
      </c>
      <c r="BD489">
        <v>0.09</v>
      </c>
      <c r="BE489">
        <v>-0.06</v>
      </c>
    </row>
    <row r="490" spans="1:57">
      <c r="A490">
        <v>0</v>
      </c>
      <c r="B490">
        <v>0</v>
      </c>
      <c r="C490">
        <v>0</v>
      </c>
      <c r="D490">
        <v>1182</v>
      </c>
      <c r="E490" t="s">
        <v>1644</v>
      </c>
      <c r="F490" t="s">
        <v>5762</v>
      </c>
      <c r="G490" t="s">
        <v>57</v>
      </c>
      <c r="H490">
        <v>1222533</v>
      </c>
      <c r="I490">
        <v>1223447</v>
      </c>
      <c r="J490" t="s">
        <v>1639</v>
      </c>
      <c r="K490">
        <v>305</v>
      </c>
      <c r="L490" t="s">
        <v>59</v>
      </c>
      <c r="M490">
        <v>5</v>
      </c>
      <c r="N490" t="str">
        <f>HYPERLINK("Gene1182-zp_tree_all.dnd", "Gene1182-tree")</f>
        <v>Gene1182-tree</v>
      </c>
      <c r="O490">
        <v>3</v>
      </c>
      <c r="P490">
        <v>2</v>
      </c>
      <c r="Q490">
        <v>3</v>
      </c>
      <c r="R490">
        <v>2</v>
      </c>
      <c r="S490">
        <v>0.4</v>
      </c>
      <c r="T490" t="s">
        <v>84</v>
      </c>
      <c r="U490" t="s">
        <v>135</v>
      </c>
      <c r="V490" t="s">
        <v>62</v>
      </c>
      <c r="W490" t="s">
        <v>62</v>
      </c>
      <c r="X490">
        <v>0</v>
      </c>
      <c r="Y490">
        <v>0</v>
      </c>
      <c r="Z490">
        <v>3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2</v>
      </c>
      <c r="AK490">
        <v>0</v>
      </c>
      <c r="AL490">
        <v>5</v>
      </c>
      <c r="AM490">
        <v>2</v>
      </c>
      <c r="AN490">
        <v>32</v>
      </c>
      <c r="AO490">
        <v>2</v>
      </c>
      <c r="AP490">
        <v>22</v>
      </c>
      <c r="AQ490">
        <v>1</v>
      </c>
      <c r="AR490" t="s">
        <v>1645</v>
      </c>
      <c r="AS490" t="s">
        <v>1646</v>
      </c>
      <c r="AT490">
        <v>0.313</v>
      </c>
      <c r="AU490" t="s">
        <v>65</v>
      </c>
      <c r="AV490">
        <v>54</v>
      </c>
      <c r="AW490">
        <v>3</v>
      </c>
      <c r="AX490" t="s">
        <v>1647</v>
      </c>
      <c r="AY490" t="s">
        <v>1648</v>
      </c>
      <c r="AZ490" t="s">
        <v>1649</v>
      </c>
      <c r="BA490">
        <v>1.5810000000000001E-2</v>
      </c>
      <c r="BB490">
        <v>1</v>
      </c>
      <c r="BC490" t="s">
        <v>69</v>
      </c>
      <c r="BD490">
        <v>0.374</v>
      </c>
      <c r="BE490">
        <v>0.22600000000000001</v>
      </c>
    </row>
    <row r="491" spans="1:57">
      <c r="A491">
        <v>0</v>
      </c>
      <c r="B491">
        <v>0</v>
      </c>
      <c r="C491">
        <v>0</v>
      </c>
      <c r="D491">
        <v>1343</v>
      </c>
      <c r="E491" t="s">
        <v>1804</v>
      </c>
      <c r="F491" t="s">
        <v>5762</v>
      </c>
      <c r="G491" t="s">
        <v>57</v>
      </c>
      <c r="H491">
        <v>1361242</v>
      </c>
      <c r="I491">
        <v>1362165</v>
      </c>
      <c r="J491" t="s">
        <v>1805</v>
      </c>
      <c r="K491">
        <v>308</v>
      </c>
      <c r="L491" t="s">
        <v>59</v>
      </c>
      <c r="M491">
        <v>5</v>
      </c>
      <c r="N491" t="str">
        <f>HYPERLINK("Gene1343-zp_tree_all.dnd", "Gene1343-tree")</f>
        <v>Gene1343-tree</v>
      </c>
      <c r="O491">
        <v>3</v>
      </c>
      <c r="P491">
        <v>2</v>
      </c>
      <c r="Q491">
        <v>3</v>
      </c>
      <c r="R491">
        <v>2</v>
      </c>
      <c r="S491">
        <v>0.4</v>
      </c>
      <c r="T491" t="s">
        <v>84</v>
      </c>
      <c r="U491" t="s">
        <v>135</v>
      </c>
      <c r="V491" t="s">
        <v>62</v>
      </c>
      <c r="W491" t="s">
        <v>62</v>
      </c>
      <c r="X491">
        <v>0</v>
      </c>
      <c r="Y491">
        <v>0</v>
      </c>
      <c r="Z491">
        <v>6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3</v>
      </c>
      <c r="AK491">
        <v>0</v>
      </c>
      <c r="AL491">
        <v>5</v>
      </c>
      <c r="AM491">
        <v>2</v>
      </c>
      <c r="AN491">
        <v>29</v>
      </c>
      <c r="AO491">
        <v>3</v>
      </c>
      <c r="AP491">
        <v>21</v>
      </c>
      <c r="AQ491">
        <v>3</v>
      </c>
      <c r="AR491" t="s">
        <v>1806</v>
      </c>
      <c r="AS491" t="s">
        <v>1807</v>
      </c>
      <c r="AT491">
        <v>0.187</v>
      </c>
      <c r="AU491" t="s">
        <v>65</v>
      </c>
      <c r="AV491">
        <v>50</v>
      </c>
      <c r="AW491">
        <v>6</v>
      </c>
      <c r="AX491" t="s">
        <v>1808</v>
      </c>
      <c r="AY491" t="s">
        <v>1809</v>
      </c>
      <c r="AZ491" t="s">
        <v>1810</v>
      </c>
      <c r="BA491">
        <v>3.9030000000000002E-2</v>
      </c>
      <c r="BB491">
        <v>1</v>
      </c>
      <c r="BC491" t="s">
        <v>69</v>
      </c>
      <c r="BD491">
        <v>0.19600000000000001</v>
      </c>
      <c r="BE491">
        <v>4.7E-2</v>
      </c>
    </row>
    <row r="492" spans="1:57">
      <c r="A492">
        <v>0</v>
      </c>
      <c r="B492">
        <v>0</v>
      </c>
      <c r="C492">
        <v>0</v>
      </c>
      <c r="D492">
        <v>73</v>
      </c>
      <c r="E492" t="s">
        <v>283</v>
      </c>
      <c r="F492" t="s">
        <v>5762</v>
      </c>
      <c r="G492" t="s">
        <v>57</v>
      </c>
      <c r="H492">
        <v>81771</v>
      </c>
      <c r="I492">
        <v>82694</v>
      </c>
      <c r="J492" t="s">
        <v>284</v>
      </c>
      <c r="K492">
        <v>308</v>
      </c>
      <c r="L492" t="s">
        <v>59</v>
      </c>
      <c r="M492">
        <v>5</v>
      </c>
      <c r="N492" t="str">
        <f>HYPERLINK("Gene73-zp_tree_all.dnd", "Gene73-tree")</f>
        <v>Gene73-tree</v>
      </c>
      <c r="O492">
        <v>2</v>
      </c>
      <c r="P492">
        <v>3</v>
      </c>
      <c r="Q492">
        <v>2</v>
      </c>
      <c r="R492">
        <v>3</v>
      </c>
      <c r="S492">
        <v>0.6</v>
      </c>
      <c r="T492" t="s">
        <v>135</v>
      </c>
      <c r="U492" t="s">
        <v>84</v>
      </c>
      <c r="V492" t="s">
        <v>62</v>
      </c>
      <c r="W492" t="s">
        <v>62</v>
      </c>
      <c r="X492">
        <v>0</v>
      </c>
      <c r="Y492">
        <v>0</v>
      </c>
      <c r="Z492">
        <v>3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3</v>
      </c>
      <c r="AK492">
        <v>0</v>
      </c>
      <c r="AL492">
        <v>5</v>
      </c>
      <c r="AM492">
        <v>2</v>
      </c>
      <c r="AN492">
        <v>40</v>
      </c>
      <c r="AO492">
        <v>3</v>
      </c>
      <c r="AP492">
        <v>23</v>
      </c>
      <c r="AQ492">
        <v>0</v>
      </c>
      <c r="AR492" t="s">
        <v>285</v>
      </c>
      <c r="AS492" t="s">
        <v>64</v>
      </c>
      <c r="AT492">
        <v>2.57</v>
      </c>
      <c r="AU492" t="s">
        <v>286</v>
      </c>
      <c r="AV492">
        <v>63</v>
      </c>
      <c r="AW492">
        <v>3</v>
      </c>
      <c r="AX492" t="s">
        <v>287</v>
      </c>
      <c r="AY492" t="s">
        <v>288</v>
      </c>
      <c r="AZ492" t="s">
        <v>289</v>
      </c>
      <c r="BA492">
        <v>1.205E-2</v>
      </c>
      <c r="BB492">
        <v>1</v>
      </c>
      <c r="BC492" t="s">
        <v>69</v>
      </c>
      <c r="BD492">
        <v>0.109</v>
      </c>
      <c r="BE492">
        <v>-0.27900000000000003</v>
      </c>
    </row>
    <row r="493" spans="1:57">
      <c r="A493">
        <v>0</v>
      </c>
      <c r="B493">
        <v>0</v>
      </c>
      <c r="C493">
        <v>4</v>
      </c>
      <c r="D493">
        <v>4198</v>
      </c>
      <c r="E493" t="s">
        <v>5680</v>
      </c>
      <c r="F493" t="s">
        <v>5762</v>
      </c>
      <c r="G493" t="s">
        <v>62</v>
      </c>
      <c r="H493">
        <v>4165662</v>
      </c>
      <c r="I493">
        <v>4166588</v>
      </c>
      <c r="J493" t="s">
        <v>2782</v>
      </c>
      <c r="K493">
        <v>309</v>
      </c>
      <c r="L493" t="s">
        <v>59</v>
      </c>
      <c r="M493">
        <v>5</v>
      </c>
      <c r="N493" t="str">
        <f>HYPERLINK("Gene4198-zp_tree_all.dnd", "Gene4198-tree")</f>
        <v>Gene4198-tree</v>
      </c>
      <c r="O493">
        <v>1</v>
      </c>
      <c r="P493">
        <v>4</v>
      </c>
      <c r="Q493">
        <v>1</v>
      </c>
      <c r="R493">
        <v>4</v>
      </c>
      <c r="S493">
        <v>0.8</v>
      </c>
      <c r="T493" t="s">
        <v>61</v>
      </c>
      <c r="U493" t="s">
        <v>60</v>
      </c>
      <c r="V493" t="s">
        <v>62</v>
      </c>
      <c r="W493" t="s">
        <v>62</v>
      </c>
      <c r="X493">
        <v>2</v>
      </c>
      <c r="Y493">
        <v>4</v>
      </c>
      <c r="Z493">
        <v>20</v>
      </c>
      <c r="AA493">
        <v>0.16667000000000001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11</v>
      </c>
      <c r="AK493">
        <v>0</v>
      </c>
      <c r="AL493">
        <v>5</v>
      </c>
      <c r="AM493">
        <v>2</v>
      </c>
      <c r="AN493">
        <v>15</v>
      </c>
      <c r="AO493">
        <v>11</v>
      </c>
      <c r="AP493">
        <v>21</v>
      </c>
      <c r="AQ493">
        <v>13</v>
      </c>
      <c r="AR493" t="s">
        <v>5681</v>
      </c>
      <c r="AS493" t="s">
        <v>5682</v>
      </c>
      <c r="AT493">
        <v>0.158</v>
      </c>
      <c r="AU493" t="s">
        <v>65</v>
      </c>
      <c r="AV493">
        <v>36</v>
      </c>
      <c r="AW493">
        <v>24</v>
      </c>
      <c r="AX493" t="s">
        <v>5683</v>
      </c>
      <c r="AY493" t="s">
        <v>5684</v>
      </c>
      <c r="AZ493" t="s">
        <v>5685</v>
      </c>
      <c r="BA493">
        <v>0.19347</v>
      </c>
      <c r="BB493">
        <v>1</v>
      </c>
      <c r="BC493" t="s">
        <v>69</v>
      </c>
      <c r="BD493">
        <v>0.66800000000000004</v>
      </c>
      <c r="BE493">
        <v>0.53200000000000003</v>
      </c>
    </row>
    <row r="494" spans="1:57">
      <c r="A494">
        <v>0</v>
      </c>
      <c r="B494">
        <v>0</v>
      </c>
      <c r="C494">
        <v>0</v>
      </c>
      <c r="D494">
        <v>735</v>
      </c>
      <c r="E494" t="s">
        <v>1189</v>
      </c>
      <c r="F494" t="s">
        <v>5762</v>
      </c>
      <c r="G494" t="s">
        <v>57</v>
      </c>
      <c r="H494">
        <v>762942</v>
      </c>
      <c r="I494">
        <v>763868</v>
      </c>
      <c r="J494" t="s">
        <v>1190</v>
      </c>
      <c r="K494">
        <v>309</v>
      </c>
      <c r="L494" t="s">
        <v>83</v>
      </c>
      <c r="M494">
        <v>4</v>
      </c>
      <c r="N494" t="str">
        <f>HYPERLINK("Gene735-zp_tree_all.dnd", "Gene735-tree")</f>
        <v>Gene735-tree</v>
      </c>
      <c r="O494">
        <v>3</v>
      </c>
      <c r="P494">
        <v>1</v>
      </c>
      <c r="Q494">
        <v>3</v>
      </c>
      <c r="R494">
        <v>1</v>
      </c>
      <c r="S494">
        <v>0.25</v>
      </c>
      <c r="T494" t="s">
        <v>84</v>
      </c>
      <c r="U494" t="s">
        <v>61</v>
      </c>
      <c r="V494" t="s">
        <v>62</v>
      </c>
      <c r="W494" t="s">
        <v>62</v>
      </c>
      <c r="X494">
        <v>0</v>
      </c>
      <c r="Y494">
        <v>0</v>
      </c>
      <c r="Z494">
        <v>6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6</v>
      </c>
      <c r="AK494">
        <v>0</v>
      </c>
      <c r="AL494">
        <v>4</v>
      </c>
      <c r="AM494">
        <v>1</v>
      </c>
      <c r="AN494">
        <v>32</v>
      </c>
      <c r="AO494">
        <v>6</v>
      </c>
      <c r="AP494">
        <v>6</v>
      </c>
      <c r="AQ494">
        <v>0</v>
      </c>
      <c r="AR494" t="s">
        <v>1191</v>
      </c>
      <c r="AS494" t="s">
        <v>64</v>
      </c>
      <c r="AT494">
        <v>0.40400000000000003</v>
      </c>
      <c r="AU494" t="s">
        <v>65</v>
      </c>
      <c r="AV494">
        <v>38</v>
      </c>
      <c r="AW494">
        <v>6</v>
      </c>
      <c r="AX494" t="s">
        <v>1192</v>
      </c>
      <c r="AY494" t="s">
        <v>1193</v>
      </c>
      <c r="AZ494" t="s">
        <v>1194</v>
      </c>
      <c r="BA494">
        <v>4.9950000000000001E-2</v>
      </c>
      <c r="BB494">
        <v>1</v>
      </c>
      <c r="BC494" t="s">
        <v>69</v>
      </c>
      <c r="BD494">
        <v>-0.433</v>
      </c>
      <c r="BE494">
        <v>-0.433</v>
      </c>
    </row>
    <row r="495" spans="1:57">
      <c r="A495">
        <v>0</v>
      </c>
      <c r="B495">
        <v>0</v>
      </c>
      <c r="C495">
        <v>0</v>
      </c>
      <c r="D495">
        <v>2847</v>
      </c>
      <c r="E495" t="s">
        <v>3668</v>
      </c>
      <c r="F495" t="s">
        <v>5762</v>
      </c>
      <c r="G495" t="s">
        <v>62</v>
      </c>
      <c r="H495">
        <v>2794150</v>
      </c>
      <c r="I495">
        <v>2795076</v>
      </c>
      <c r="J495" t="s">
        <v>3669</v>
      </c>
      <c r="K495">
        <v>309</v>
      </c>
      <c r="L495" t="s">
        <v>59</v>
      </c>
      <c r="M495">
        <v>5</v>
      </c>
      <c r="N495" t="str">
        <f>HYPERLINK("Gene2847-zp_tree_all.dnd", "Gene2847-tree")</f>
        <v>Gene2847-tree</v>
      </c>
      <c r="O495">
        <v>1</v>
      </c>
      <c r="P495">
        <v>4</v>
      </c>
      <c r="Q495">
        <v>1</v>
      </c>
      <c r="R495">
        <v>4</v>
      </c>
      <c r="S495">
        <v>0.8</v>
      </c>
      <c r="T495" t="s">
        <v>61</v>
      </c>
      <c r="U495" t="s">
        <v>60</v>
      </c>
      <c r="V495" t="s">
        <v>62</v>
      </c>
      <c r="W495" t="s">
        <v>62</v>
      </c>
      <c r="X495">
        <v>0</v>
      </c>
      <c r="Y495">
        <v>0</v>
      </c>
      <c r="Z495">
        <v>8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5</v>
      </c>
      <c r="AK495">
        <v>0</v>
      </c>
      <c r="AL495">
        <v>5</v>
      </c>
      <c r="AM495">
        <v>2</v>
      </c>
      <c r="AN495">
        <v>22</v>
      </c>
      <c r="AO495">
        <v>5</v>
      </c>
      <c r="AP495">
        <v>37</v>
      </c>
      <c r="AQ495">
        <v>3</v>
      </c>
      <c r="AR495" t="s">
        <v>3670</v>
      </c>
      <c r="AS495" t="s">
        <v>3671</v>
      </c>
      <c r="AT495">
        <v>1.27</v>
      </c>
      <c r="AU495" t="s">
        <v>65</v>
      </c>
      <c r="AV495">
        <v>59</v>
      </c>
      <c r="AW495">
        <v>8</v>
      </c>
      <c r="AX495" t="s">
        <v>3672</v>
      </c>
      <c r="AY495" t="s">
        <v>3673</v>
      </c>
      <c r="AZ495" t="s">
        <v>3674</v>
      </c>
      <c r="BA495">
        <v>2.9839999999999998E-2</v>
      </c>
      <c r="BB495">
        <v>1</v>
      </c>
      <c r="BC495" t="s">
        <v>69</v>
      </c>
      <c r="BD495">
        <v>0.65</v>
      </c>
      <c r="BE495">
        <v>0.55500000000000005</v>
      </c>
    </row>
    <row r="496" spans="1:57">
      <c r="A496">
        <v>0</v>
      </c>
      <c r="B496">
        <v>0</v>
      </c>
      <c r="C496">
        <v>0</v>
      </c>
      <c r="D496">
        <v>1575</v>
      </c>
      <c r="E496" t="s">
        <v>2169</v>
      </c>
      <c r="F496" t="s">
        <v>5762</v>
      </c>
      <c r="G496" t="s">
        <v>57</v>
      </c>
      <c r="H496">
        <v>1580622</v>
      </c>
      <c r="I496">
        <v>1581554</v>
      </c>
      <c r="J496" t="s">
        <v>2170</v>
      </c>
      <c r="K496">
        <v>311</v>
      </c>
      <c r="L496" t="s">
        <v>83</v>
      </c>
      <c r="M496">
        <v>4</v>
      </c>
      <c r="N496" t="str">
        <f>HYPERLINK("Gene1575-zp_tree_all.dnd", "Gene1575-tree")</f>
        <v>Gene1575-tree</v>
      </c>
      <c r="O496">
        <v>1</v>
      </c>
      <c r="P496">
        <v>3</v>
      </c>
      <c r="Q496">
        <v>1</v>
      </c>
      <c r="R496">
        <v>3</v>
      </c>
      <c r="S496">
        <v>0.75</v>
      </c>
      <c r="T496" t="s">
        <v>61</v>
      </c>
      <c r="U496" t="s">
        <v>84</v>
      </c>
      <c r="V496" t="s">
        <v>62</v>
      </c>
      <c r="W496" t="s">
        <v>62</v>
      </c>
      <c r="X496">
        <v>0</v>
      </c>
      <c r="Y496">
        <v>0</v>
      </c>
      <c r="Z496">
        <v>9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8</v>
      </c>
      <c r="AK496">
        <v>0</v>
      </c>
      <c r="AL496">
        <v>4</v>
      </c>
      <c r="AM496">
        <v>1</v>
      </c>
      <c r="AN496">
        <v>39</v>
      </c>
      <c r="AO496">
        <v>8</v>
      </c>
      <c r="AP496">
        <v>2</v>
      </c>
      <c r="AQ496">
        <v>1</v>
      </c>
      <c r="AR496" t="s">
        <v>2171</v>
      </c>
      <c r="AS496" t="s">
        <v>2172</v>
      </c>
      <c r="AT496">
        <v>1.022</v>
      </c>
      <c r="AU496" t="s">
        <v>65</v>
      </c>
      <c r="AV496">
        <v>41</v>
      </c>
      <c r="AW496">
        <v>9</v>
      </c>
      <c r="AX496" t="s">
        <v>2173</v>
      </c>
      <c r="AY496" t="s">
        <v>2174</v>
      </c>
      <c r="AZ496" t="s">
        <v>2175</v>
      </c>
      <c r="BA496">
        <v>5.9339999999999997E-2</v>
      </c>
      <c r="BB496">
        <v>1</v>
      </c>
      <c r="BC496" t="s">
        <v>69</v>
      </c>
      <c r="BD496">
        <v>-0.40300000000000002</v>
      </c>
      <c r="BE496">
        <v>-0.80100000000000005</v>
      </c>
    </row>
    <row r="497" spans="1:57">
      <c r="A497">
        <v>0</v>
      </c>
      <c r="B497">
        <v>0</v>
      </c>
      <c r="C497">
        <v>2</v>
      </c>
      <c r="D497">
        <v>3986</v>
      </c>
      <c r="E497" t="s">
        <v>5366</v>
      </c>
      <c r="F497" t="s">
        <v>5762</v>
      </c>
      <c r="G497" t="s">
        <v>62</v>
      </c>
      <c r="H497">
        <v>3950729</v>
      </c>
      <c r="I497">
        <v>3951661</v>
      </c>
      <c r="J497" t="s">
        <v>5367</v>
      </c>
      <c r="K497">
        <v>311</v>
      </c>
      <c r="L497" t="s">
        <v>59</v>
      </c>
      <c r="M497">
        <v>5</v>
      </c>
      <c r="N497" t="str">
        <f>HYPERLINK("Gene3986-zp_tree_all.dnd", "Gene3986-tree")</f>
        <v>Gene3986-tree</v>
      </c>
      <c r="O497">
        <v>3</v>
      </c>
      <c r="P497">
        <v>2</v>
      </c>
      <c r="Q497">
        <v>3</v>
      </c>
      <c r="R497">
        <v>2</v>
      </c>
      <c r="S497">
        <v>0.4</v>
      </c>
      <c r="T497" t="s">
        <v>84</v>
      </c>
      <c r="U497" t="s">
        <v>135</v>
      </c>
      <c r="V497" t="s">
        <v>62</v>
      </c>
      <c r="W497" t="s">
        <v>62</v>
      </c>
      <c r="X497">
        <v>1</v>
      </c>
      <c r="Y497">
        <v>2</v>
      </c>
      <c r="Z497">
        <v>4</v>
      </c>
      <c r="AA497">
        <v>0.33333000000000002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3</v>
      </c>
      <c r="AK497">
        <v>0</v>
      </c>
      <c r="AL497">
        <v>5</v>
      </c>
      <c r="AM497">
        <v>2</v>
      </c>
      <c r="AN497">
        <v>40</v>
      </c>
      <c r="AO497">
        <v>3</v>
      </c>
      <c r="AP497">
        <v>18</v>
      </c>
      <c r="AQ497">
        <v>3</v>
      </c>
      <c r="AR497" t="s">
        <v>5368</v>
      </c>
      <c r="AS497" t="s">
        <v>5369</v>
      </c>
      <c r="AT497">
        <v>0.85299999999999998</v>
      </c>
      <c r="AU497" t="s">
        <v>65</v>
      </c>
      <c r="AV497">
        <v>58</v>
      </c>
      <c r="AW497">
        <v>6</v>
      </c>
      <c r="AX497" t="s">
        <v>5370</v>
      </c>
      <c r="AY497" t="s">
        <v>5371</v>
      </c>
      <c r="AZ497" t="s">
        <v>5372</v>
      </c>
      <c r="BA497">
        <v>3.6569999999999998E-2</v>
      </c>
      <c r="BB497">
        <v>1</v>
      </c>
      <c r="BC497" t="s">
        <v>69</v>
      </c>
      <c r="BD497">
        <v>0.49299999999999999</v>
      </c>
      <c r="BE497">
        <v>-0.309</v>
      </c>
    </row>
    <row r="498" spans="1:57">
      <c r="A498">
        <v>0</v>
      </c>
      <c r="B498">
        <v>0</v>
      </c>
      <c r="C498">
        <v>0</v>
      </c>
      <c r="D498">
        <v>2648</v>
      </c>
      <c r="E498" t="s">
        <v>3541</v>
      </c>
      <c r="F498" t="s">
        <v>5762</v>
      </c>
      <c r="G498" t="s">
        <v>62</v>
      </c>
      <c r="H498">
        <v>2623828</v>
      </c>
      <c r="I498">
        <v>2624760</v>
      </c>
      <c r="J498" t="s">
        <v>3542</v>
      </c>
      <c r="K498">
        <v>311</v>
      </c>
      <c r="L498" t="s">
        <v>83</v>
      </c>
      <c r="M498">
        <v>4</v>
      </c>
      <c r="N498" t="str">
        <f>HYPERLINK("Gene2648-zp_tree_all.dnd", "Gene2648-tree")</f>
        <v>Gene2648-tree</v>
      </c>
      <c r="O498">
        <v>3</v>
      </c>
      <c r="P498">
        <v>1</v>
      </c>
      <c r="Q498">
        <v>3</v>
      </c>
      <c r="R498">
        <v>1</v>
      </c>
      <c r="S498">
        <v>0.25</v>
      </c>
      <c r="T498" t="s">
        <v>84</v>
      </c>
      <c r="U498" t="s">
        <v>61</v>
      </c>
      <c r="V498" t="s">
        <v>62</v>
      </c>
      <c r="W498" t="s">
        <v>62</v>
      </c>
      <c r="X498">
        <v>0</v>
      </c>
      <c r="Y498">
        <v>0</v>
      </c>
      <c r="Z498">
        <v>3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3</v>
      </c>
      <c r="AK498">
        <v>0</v>
      </c>
      <c r="AL498">
        <v>4</v>
      </c>
      <c r="AM498">
        <v>1</v>
      </c>
      <c r="AN498">
        <v>38</v>
      </c>
      <c r="AO498">
        <v>3</v>
      </c>
      <c r="AP498">
        <v>1</v>
      </c>
      <c r="AQ498">
        <v>0</v>
      </c>
      <c r="AR498" t="s">
        <v>3543</v>
      </c>
      <c r="AS498" t="s">
        <v>64</v>
      </c>
      <c r="AT498">
        <v>0.39100000000000001</v>
      </c>
      <c r="AU498" t="s">
        <v>65</v>
      </c>
      <c r="AV498">
        <v>39</v>
      </c>
      <c r="AW498">
        <v>3</v>
      </c>
      <c r="AX498" t="s">
        <v>3544</v>
      </c>
      <c r="AY498" t="s">
        <v>3545</v>
      </c>
      <c r="AZ498" t="s">
        <v>3546</v>
      </c>
      <c r="BA498">
        <v>1.9949999999999999E-2</v>
      </c>
      <c r="BB498">
        <v>1</v>
      </c>
      <c r="BC498" t="s">
        <v>69</v>
      </c>
      <c r="BD498">
        <v>-0.79</v>
      </c>
      <c r="BE498">
        <v>-0.79</v>
      </c>
    </row>
    <row r="499" spans="1:57">
      <c r="A499">
        <v>0</v>
      </c>
      <c r="B499">
        <v>0</v>
      </c>
      <c r="C499">
        <v>0</v>
      </c>
      <c r="D499">
        <v>1181</v>
      </c>
      <c r="E499" t="s">
        <v>1638</v>
      </c>
      <c r="F499" t="s">
        <v>5762</v>
      </c>
      <c r="G499" t="s">
        <v>57</v>
      </c>
      <c r="H499">
        <v>1221594</v>
      </c>
      <c r="I499">
        <v>1222526</v>
      </c>
      <c r="J499" t="s">
        <v>1639</v>
      </c>
      <c r="K499">
        <v>311</v>
      </c>
      <c r="L499" t="s">
        <v>83</v>
      </c>
      <c r="M499">
        <v>4</v>
      </c>
      <c r="N499" t="str">
        <f>HYPERLINK("Gene1181-zp_tree_all.dnd", "Gene1181-tree")</f>
        <v>Gene1181-tree</v>
      </c>
      <c r="O499">
        <v>3</v>
      </c>
      <c r="P499">
        <v>1</v>
      </c>
      <c r="Q499">
        <v>3</v>
      </c>
      <c r="R499">
        <v>1</v>
      </c>
      <c r="S499">
        <v>0.25</v>
      </c>
      <c r="T499" t="s">
        <v>84</v>
      </c>
      <c r="U499" t="s">
        <v>61</v>
      </c>
      <c r="V499" t="s">
        <v>62</v>
      </c>
      <c r="W499" t="s">
        <v>62</v>
      </c>
      <c r="X499">
        <v>0</v>
      </c>
      <c r="Y499">
        <v>0</v>
      </c>
      <c r="Z499">
        <v>3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3</v>
      </c>
      <c r="AK499">
        <v>0</v>
      </c>
      <c r="AL499">
        <v>4</v>
      </c>
      <c r="AM499">
        <v>1</v>
      </c>
      <c r="AN499">
        <v>45</v>
      </c>
      <c r="AO499">
        <v>3</v>
      </c>
      <c r="AP499">
        <v>1</v>
      </c>
      <c r="AQ499">
        <v>0</v>
      </c>
      <c r="AR499" t="s">
        <v>1640</v>
      </c>
      <c r="AS499" t="s">
        <v>64</v>
      </c>
      <c r="AT499">
        <v>0.42499999999999999</v>
      </c>
      <c r="AU499" t="s">
        <v>65</v>
      </c>
      <c r="AV499">
        <v>46</v>
      </c>
      <c r="AW499">
        <v>3</v>
      </c>
      <c r="AX499" t="s">
        <v>1641</v>
      </c>
      <c r="AY499" t="s">
        <v>1642</v>
      </c>
      <c r="AZ499" t="s">
        <v>1643</v>
      </c>
      <c r="BA499">
        <v>1.9179999999999999E-2</v>
      </c>
      <c r="BB499">
        <v>1</v>
      </c>
      <c r="BC499" t="s">
        <v>69</v>
      </c>
      <c r="BD499">
        <v>-0.73499999999999999</v>
      </c>
      <c r="BE499">
        <v>-0.73499999999999999</v>
      </c>
    </row>
    <row r="500" spans="1:57">
      <c r="A500">
        <v>0</v>
      </c>
      <c r="B500">
        <v>0</v>
      </c>
      <c r="C500">
        <v>0</v>
      </c>
      <c r="D500">
        <v>1307</v>
      </c>
      <c r="E500" t="s">
        <v>1787</v>
      </c>
      <c r="F500" t="s">
        <v>5762</v>
      </c>
      <c r="G500" t="s">
        <v>57</v>
      </c>
      <c r="H500">
        <v>1329555</v>
      </c>
      <c r="I500">
        <v>1330487</v>
      </c>
      <c r="J500" t="s">
        <v>1788</v>
      </c>
      <c r="K500">
        <v>311</v>
      </c>
      <c r="L500" t="s">
        <v>59</v>
      </c>
      <c r="M500">
        <v>5</v>
      </c>
      <c r="N500" t="str">
        <f>HYPERLINK("Gene1307-zp_tree_all.dnd", "Gene1307-tree")</f>
        <v>Gene1307-tree</v>
      </c>
      <c r="O500">
        <v>5</v>
      </c>
      <c r="P500">
        <v>0</v>
      </c>
      <c r="Q500">
        <v>5</v>
      </c>
      <c r="R500">
        <v>0</v>
      </c>
      <c r="S500">
        <v>0</v>
      </c>
      <c r="T500" t="s">
        <v>98</v>
      </c>
      <c r="U500" t="s">
        <v>62</v>
      </c>
      <c r="V500" t="s">
        <v>62</v>
      </c>
      <c r="W500" t="s">
        <v>62</v>
      </c>
      <c r="X500">
        <v>0</v>
      </c>
      <c r="Y500">
        <v>0</v>
      </c>
      <c r="Z500">
        <v>1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5</v>
      </c>
      <c r="AM500">
        <v>2</v>
      </c>
      <c r="AN500">
        <v>30</v>
      </c>
      <c r="AO500">
        <v>0</v>
      </c>
      <c r="AP500">
        <v>23</v>
      </c>
      <c r="AQ500">
        <v>1</v>
      </c>
      <c r="AR500" t="s">
        <v>64</v>
      </c>
      <c r="AS500" t="s">
        <v>1789</v>
      </c>
      <c r="AT500">
        <v>0.83299999999999996</v>
      </c>
      <c r="AU500" t="s">
        <v>65</v>
      </c>
      <c r="AV500">
        <v>53</v>
      </c>
      <c r="AW500">
        <v>1</v>
      </c>
      <c r="AX500" t="s">
        <v>1790</v>
      </c>
      <c r="AY500" t="s">
        <v>1791</v>
      </c>
      <c r="AZ500" t="s">
        <v>1792</v>
      </c>
      <c r="BA500">
        <v>6.4000000000000003E-3</v>
      </c>
      <c r="BB500">
        <v>1</v>
      </c>
      <c r="BC500" t="s">
        <v>69</v>
      </c>
      <c r="BD500">
        <v>0.28399999999999997</v>
      </c>
      <c r="BE500">
        <v>0.13300000000000001</v>
      </c>
    </row>
    <row r="501" spans="1:57">
      <c r="A501">
        <v>0</v>
      </c>
      <c r="B501">
        <v>0</v>
      </c>
      <c r="C501">
        <v>0</v>
      </c>
      <c r="D501">
        <v>3028</v>
      </c>
      <c r="E501" t="s">
        <v>4048</v>
      </c>
      <c r="F501" t="s">
        <v>5762</v>
      </c>
      <c r="G501" t="s">
        <v>62</v>
      </c>
      <c r="H501">
        <v>2978737</v>
      </c>
      <c r="I501">
        <v>2979672</v>
      </c>
      <c r="J501" t="s">
        <v>4049</v>
      </c>
      <c r="K501">
        <v>312</v>
      </c>
      <c r="L501" t="s">
        <v>59</v>
      </c>
      <c r="M501">
        <v>5</v>
      </c>
      <c r="N501" t="str">
        <f>HYPERLINK("Gene3028-zp_tree_all.dnd", "Gene3028-tree")</f>
        <v>Gene3028-tree</v>
      </c>
      <c r="O501">
        <v>3</v>
      </c>
      <c r="P501">
        <v>2</v>
      </c>
      <c r="Q501">
        <v>3</v>
      </c>
      <c r="R501">
        <v>2</v>
      </c>
      <c r="S501">
        <v>0.4</v>
      </c>
      <c r="T501" t="s">
        <v>84</v>
      </c>
      <c r="U501" t="s">
        <v>135</v>
      </c>
      <c r="V501" t="s">
        <v>62</v>
      </c>
      <c r="W501" t="s">
        <v>62</v>
      </c>
      <c r="X501">
        <v>0</v>
      </c>
      <c r="Y501">
        <v>0</v>
      </c>
      <c r="Z501">
        <v>3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2</v>
      </c>
      <c r="AK501">
        <v>0</v>
      </c>
      <c r="AL501">
        <v>5</v>
      </c>
      <c r="AM501">
        <v>2</v>
      </c>
      <c r="AN501">
        <v>23</v>
      </c>
      <c r="AO501">
        <v>2</v>
      </c>
      <c r="AP501">
        <v>17</v>
      </c>
      <c r="AQ501">
        <v>1</v>
      </c>
      <c r="AR501" t="s">
        <v>4050</v>
      </c>
      <c r="AS501" t="s">
        <v>4051</v>
      </c>
      <c r="AT501">
        <v>0.29699999999999999</v>
      </c>
      <c r="AU501" t="s">
        <v>65</v>
      </c>
      <c r="AV501">
        <v>40</v>
      </c>
      <c r="AW501">
        <v>3</v>
      </c>
      <c r="AX501" t="s">
        <v>4052</v>
      </c>
      <c r="AY501" t="s">
        <v>4053</v>
      </c>
      <c r="AZ501" t="s">
        <v>4054</v>
      </c>
      <c r="BA501">
        <v>2.3550000000000001E-2</v>
      </c>
      <c r="BB501">
        <v>1</v>
      </c>
      <c r="BC501" t="s">
        <v>69</v>
      </c>
      <c r="BD501">
        <v>0.313</v>
      </c>
      <c r="BE501">
        <v>0.157</v>
      </c>
    </row>
    <row r="502" spans="1:57">
      <c r="A502">
        <v>0</v>
      </c>
      <c r="B502">
        <v>0</v>
      </c>
      <c r="C502">
        <v>2</v>
      </c>
      <c r="D502">
        <v>3043</v>
      </c>
      <c r="E502" t="s">
        <v>4100</v>
      </c>
      <c r="F502" t="s">
        <v>5762</v>
      </c>
      <c r="G502" t="s">
        <v>62</v>
      </c>
      <c r="H502">
        <v>2995911</v>
      </c>
      <c r="I502">
        <v>2996849</v>
      </c>
      <c r="J502" t="s">
        <v>4101</v>
      </c>
      <c r="K502">
        <v>313</v>
      </c>
      <c r="L502" t="s">
        <v>59</v>
      </c>
      <c r="M502">
        <v>5</v>
      </c>
      <c r="N502" t="str">
        <f>HYPERLINK("Gene3043-zp_tree_all.dnd", "Gene3043-tree")</f>
        <v>Gene3043-tree</v>
      </c>
      <c r="O502">
        <v>3</v>
      </c>
      <c r="P502">
        <v>2</v>
      </c>
      <c r="Q502">
        <v>3</v>
      </c>
      <c r="R502">
        <v>2</v>
      </c>
      <c r="S502">
        <v>0.4</v>
      </c>
      <c r="T502" t="s">
        <v>84</v>
      </c>
      <c r="U502" t="s">
        <v>135</v>
      </c>
      <c r="V502" t="s">
        <v>62</v>
      </c>
      <c r="W502" t="s">
        <v>62</v>
      </c>
      <c r="X502">
        <v>1</v>
      </c>
      <c r="Y502">
        <v>2</v>
      </c>
      <c r="Z502">
        <v>3</v>
      </c>
      <c r="AA502">
        <v>0.4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2</v>
      </c>
      <c r="AI502">
        <v>2</v>
      </c>
      <c r="AJ502">
        <v>2</v>
      </c>
      <c r="AK502">
        <v>0.5</v>
      </c>
      <c r="AL502">
        <v>5</v>
      </c>
      <c r="AM502">
        <v>2</v>
      </c>
      <c r="AN502">
        <v>18</v>
      </c>
      <c r="AO502">
        <v>4</v>
      </c>
      <c r="AP502">
        <v>22</v>
      </c>
      <c r="AQ502">
        <v>2</v>
      </c>
      <c r="AR502" t="s">
        <v>4102</v>
      </c>
      <c r="AS502" t="s">
        <v>4103</v>
      </c>
      <c r="AT502">
        <v>0.46600000000000003</v>
      </c>
      <c r="AU502" t="s">
        <v>65</v>
      </c>
      <c r="AV502">
        <v>40</v>
      </c>
      <c r="AW502">
        <v>6</v>
      </c>
      <c r="AX502" t="s">
        <v>4104</v>
      </c>
      <c r="AY502" t="s">
        <v>4105</v>
      </c>
      <c r="AZ502" t="s">
        <v>4106</v>
      </c>
      <c r="BA502">
        <v>4.1419999999999998E-2</v>
      </c>
      <c r="BB502">
        <v>1</v>
      </c>
      <c r="BC502" t="s">
        <v>69</v>
      </c>
      <c r="BD502">
        <v>0.68700000000000006</v>
      </c>
      <c r="BE502">
        <v>0.16400000000000001</v>
      </c>
    </row>
    <row r="503" spans="1:57">
      <c r="A503">
        <v>0</v>
      </c>
      <c r="B503">
        <v>0</v>
      </c>
      <c r="C503">
        <v>2</v>
      </c>
      <c r="D503">
        <v>2991</v>
      </c>
      <c r="E503" t="s">
        <v>3990</v>
      </c>
      <c r="F503" t="s">
        <v>5762</v>
      </c>
      <c r="G503" t="s">
        <v>62</v>
      </c>
      <c r="H503">
        <v>2940700</v>
      </c>
      <c r="I503">
        <v>2941638</v>
      </c>
      <c r="J503" t="s">
        <v>3984</v>
      </c>
      <c r="K503">
        <v>313</v>
      </c>
      <c r="L503" t="s">
        <v>59</v>
      </c>
      <c r="M503">
        <v>5</v>
      </c>
      <c r="N503" t="str">
        <f>HYPERLINK("Gene2991-zp_tree_all.dnd", "Gene2991-tree")</f>
        <v>Gene2991-tree</v>
      </c>
      <c r="O503">
        <v>3</v>
      </c>
      <c r="P503">
        <v>2</v>
      </c>
      <c r="Q503">
        <v>3</v>
      </c>
      <c r="R503">
        <v>2</v>
      </c>
      <c r="S503">
        <v>0.4</v>
      </c>
      <c r="T503" t="s">
        <v>84</v>
      </c>
      <c r="U503" t="s">
        <v>135</v>
      </c>
      <c r="V503" t="s">
        <v>62</v>
      </c>
      <c r="W503" t="s">
        <v>62</v>
      </c>
      <c r="X503">
        <v>1</v>
      </c>
      <c r="Y503">
        <v>2</v>
      </c>
      <c r="Z503">
        <v>3</v>
      </c>
      <c r="AA503">
        <v>0.4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3</v>
      </c>
      <c r="AK503">
        <v>0</v>
      </c>
      <c r="AL503">
        <v>5</v>
      </c>
      <c r="AM503">
        <v>2</v>
      </c>
      <c r="AN503">
        <v>29</v>
      </c>
      <c r="AO503">
        <v>3</v>
      </c>
      <c r="AP503">
        <v>36</v>
      </c>
      <c r="AQ503">
        <v>2</v>
      </c>
      <c r="AR503" t="s">
        <v>3991</v>
      </c>
      <c r="AS503" t="s">
        <v>3992</v>
      </c>
      <c r="AT503">
        <v>0.505</v>
      </c>
      <c r="AU503" t="s">
        <v>65</v>
      </c>
      <c r="AV503">
        <v>65</v>
      </c>
      <c r="AW503">
        <v>5</v>
      </c>
      <c r="AX503" t="s">
        <v>3993</v>
      </c>
      <c r="AY503" t="s">
        <v>3994</v>
      </c>
      <c r="AZ503" t="s">
        <v>3995</v>
      </c>
      <c r="BA503">
        <v>2.1829999999999999E-2</v>
      </c>
      <c r="BB503">
        <v>1</v>
      </c>
      <c r="BC503" t="s">
        <v>69</v>
      </c>
      <c r="BD503">
        <v>0.70399999999999996</v>
      </c>
      <c r="BE503">
        <v>0.38800000000000001</v>
      </c>
    </row>
    <row r="504" spans="1:57">
      <c r="A504">
        <v>0</v>
      </c>
      <c r="B504">
        <v>0</v>
      </c>
      <c r="C504">
        <v>0</v>
      </c>
      <c r="D504">
        <v>144</v>
      </c>
      <c r="E504" t="s">
        <v>556</v>
      </c>
      <c r="F504" t="s">
        <v>5762</v>
      </c>
      <c r="G504" t="s">
        <v>57</v>
      </c>
      <c r="H504">
        <v>148931</v>
      </c>
      <c r="I504">
        <v>149872</v>
      </c>
      <c r="J504" t="s">
        <v>557</v>
      </c>
      <c r="K504">
        <v>314</v>
      </c>
      <c r="L504" t="s">
        <v>59</v>
      </c>
      <c r="M504">
        <v>5</v>
      </c>
      <c r="N504" t="str">
        <f>HYPERLINK("Gene144-zp_tree_all.dnd", "Gene144-tree")</f>
        <v>Gene144-tree</v>
      </c>
      <c r="O504">
        <v>4</v>
      </c>
      <c r="P504">
        <v>0</v>
      </c>
      <c r="Q504">
        <v>4</v>
      </c>
      <c r="R504">
        <v>0</v>
      </c>
      <c r="S504">
        <v>0</v>
      </c>
      <c r="T504" t="s">
        <v>60</v>
      </c>
      <c r="U504" t="s">
        <v>62</v>
      </c>
      <c r="V504" t="s">
        <v>62</v>
      </c>
      <c r="W504" t="s">
        <v>62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2</v>
      </c>
      <c r="AM504">
        <v>1</v>
      </c>
      <c r="AN504">
        <v>7</v>
      </c>
      <c r="AO504">
        <v>0</v>
      </c>
      <c r="AP504">
        <v>4</v>
      </c>
      <c r="AQ504">
        <v>0</v>
      </c>
      <c r="AR504" t="s">
        <v>64</v>
      </c>
      <c r="AS504" t="s">
        <v>64</v>
      </c>
      <c r="AT504">
        <v>0</v>
      </c>
      <c r="AU504" t="s">
        <v>65</v>
      </c>
      <c r="AV504">
        <v>11</v>
      </c>
      <c r="AW504">
        <v>0</v>
      </c>
      <c r="AX504" t="s">
        <v>558</v>
      </c>
      <c r="AY504" t="s">
        <v>559</v>
      </c>
      <c r="AZ504" t="s">
        <v>64</v>
      </c>
      <c r="BA504">
        <v>0</v>
      </c>
      <c r="BB504">
        <v>1</v>
      </c>
      <c r="BC504" t="s">
        <v>69</v>
      </c>
      <c r="BD504">
        <v>-0.109</v>
      </c>
      <c r="BE504">
        <v>-0.109</v>
      </c>
    </row>
    <row r="505" spans="1:57">
      <c r="A505">
        <v>0</v>
      </c>
      <c r="B505">
        <v>0</v>
      </c>
      <c r="C505">
        <v>0</v>
      </c>
      <c r="D505">
        <v>387</v>
      </c>
      <c r="E505" t="s">
        <v>843</v>
      </c>
      <c r="F505" t="s">
        <v>5762</v>
      </c>
      <c r="G505" t="s">
        <v>57</v>
      </c>
      <c r="H505">
        <v>433315</v>
      </c>
      <c r="I505">
        <v>434259</v>
      </c>
      <c r="J505" t="s">
        <v>837</v>
      </c>
      <c r="K505">
        <v>315</v>
      </c>
      <c r="L505" t="s">
        <v>59</v>
      </c>
      <c r="M505">
        <v>5</v>
      </c>
      <c r="N505" t="str">
        <f>HYPERLINK("Gene387-zp_tree_all.dnd", "Gene387-tree")</f>
        <v>Gene387-tree</v>
      </c>
      <c r="O505">
        <v>3</v>
      </c>
      <c r="P505">
        <v>2</v>
      </c>
      <c r="Q505">
        <v>3</v>
      </c>
      <c r="R505">
        <v>2</v>
      </c>
      <c r="S505">
        <v>0.4</v>
      </c>
      <c r="T505" t="s">
        <v>84</v>
      </c>
      <c r="U505" t="s">
        <v>135</v>
      </c>
      <c r="V505" t="s">
        <v>62</v>
      </c>
      <c r="W505" t="s">
        <v>62</v>
      </c>
      <c r="X505">
        <v>0</v>
      </c>
      <c r="Y505">
        <v>0</v>
      </c>
      <c r="Z505">
        <v>7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3</v>
      </c>
      <c r="AK505">
        <v>0</v>
      </c>
      <c r="AL505">
        <v>5</v>
      </c>
      <c r="AM505">
        <v>2</v>
      </c>
      <c r="AN505">
        <v>20</v>
      </c>
      <c r="AO505">
        <v>3</v>
      </c>
      <c r="AP505">
        <v>25</v>
      </c>
      <c r="AQ505">
        <v>5</v>
      </c>
      <c r="AR505" t="s">
        <v>844</v>
      </c>
      <c r="AS505" t="s">
        <v>845</v>
      </c>
      <c r="AT505">
        <v>0.13900000000000001</v>
      </c>
      <c r="AU505" t="s">
        <v>65</v>
      </c>
      <c r="AV505">
        <v>45</v>
      </c>
      <c r="AW505">
        <v>8</v>
      </c>
      <c r="AX505" t="s">
        <v>846</v>
      </c>
      <c r="AY505" t="s">
        <v>847</v>
      </c>
      <c r="AZ505" t="s">
        <v>848</v>
      </c>
      <c r="BA505">
        <v>5.2979999999999999E-2</v>
      </c>
      <c r="BB505">
        <v>1</v>
      </c>
      <c r="BC505" t="s">
        <v>69</v>
      </c>
      <c r="BD505">
        <v>0.84899999999999998</v>
      </c>
      <c r="BE505">
        <v>0.69199999999999995</v>
      </c>
    </row>
    <row r="506" spans="1:57">
      <c r="A506">
        <v>0</v>
      </c>
      <c r="B506">
        <v>0</v>
      </c>
      <c r="C506">
        <v>0</v>
      </c>
      <c r="D506">
        <v>386</v>
      </c>
      <c r="E506" t="s">
        <v>836</v>
      </c>
      <c r="F506" t="s">
        <v>5762</v>
      </c>
      <c r="G506" t="s">
        <v>57</v>
      </c>
      <c r="H506">
        <v>432372</v>
      </c>
      <c r="I506">
        <v>433319</v>
      </c>
      <c r="J506" t="s">
        <v>837</v>
      </c>
      <c r="K506">
        <v>316</v>
      </c>
      <c r="L506" t="s">
        <v>59</v>
      </c>
      <c r="M506">
        <v>5</v>
      </c>
      <c r="N506" t="str">
        <f>HYPERLINK("Gene386-zp_tree_all.dnd", "Gene386-tree")</f>
        <v>Gene386-tree</v>
      </c>
      <c r="O506">
        <v>2</v>
      </c>
      <c r="P506">
        <v>3</v>
      </c>
      <c r="Q506">
        <v>2</v>
      </c>
      <c r="R506">
        <v>3</v>
      </c>
      <c r="S506">
        <v>0.6</v>
      </c>
      <c r="T506" t="s">
        <v>135</v>
      </c>
      <c r="U506" t="s">
        <v>84</v>
      </c>
      <c r="V506" t="s">
        <v>62</v>
      </c>
      <c r="W506" t="s">
        <v>62</v>
      </c>
      <c r="X506">
        <v>0</v>
      </c>
      <c r="Y506">
        <v>0</v>
      </c>
      <c r="Z506">
        <v>6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4</v>
      </c>
      <c r="AK506">
        <v>0</v>
      </c>
      <c r="AL506">
        <v>5</v>
      </c>
      <c r="AM506">
        <v>2</v>
      </c>
      <c r="AN506">
        <v>32</v>
      </c>
      <c r="AO506">
        <v>4</v>
      </c>
      <c r="AP506">
        <v>16</v>
      </c>
      <c r="AQ506">
        <v>2</v>
      </c>
      <c r="AR506" t="s">
        <v>838</v>
      </c>
      <c r="AS506" t="s">
        <v>839</v>
      </c>
      <c r="AT506">
        <v>1.0999999999999999E-2</v>
      </c>
      <c r="AU506" t="s">
        <v>65</v>
      </c>
      <c r="AV506">
        <v>48</v>
      </c>
      <c r="AW506">
        <v>6</v>
      </c>
      <c r="AX506" t="s">
        <v>840</v>
      </c>
      <c r="AY506" t="s">
        <v>841</v>
      </c>
      <c r="AZ506" t="s">
        <v>842</v>
      </c>
      <c r="BA506">
        <v>4.0750000000000001E-2</v>
      </c>
      <c r="BB506">
        <v>1</v>
      </c>
      <c r="BC506" t="s">
        <v>69</v>
      </c>
      <c r="BD506">
        <v>9.4E-2</v>
      </c>
      <c r="BE506">
        <v>-6.3E-2</v>
      </c>
    </row>
    <row r="507" spans="1:57">
      <c r="A507">
        <v>0</v>
      </c>
      <c r="B507">
        <v>0</v>
      </c>
      <c r="C507">
        <v>0</v>
      </c>
      <c r="D507">
        <v>3606</v>
      </c>
      <c r="E507" t="s">
        <v>4910</v>
      </c>
      <c r="F507" t="s">
        <v>5762</v>
      </c>
      <c r="G507" t="s">
        <v>62</v>
      </c>
      <c r="H507">
        <v>3573210</v>
      </c>
      <c r="I507">
        <v>3574157</v>
      </c>
      <c r="J507" t="s">
        <v>4911</v>
      </c>
      <c r="K507">
        <v>316</v>
      </c>
      <c r="L507" t="s">
        <v>83</v>
      </c>
      <c r="M507">
        <v>4</v>
      </c>
      <c r="N507" t="str">
        <f>HYPERLINK("Gene3606-zp_tree_all.dnd", "Gene3606-tree")</f>
        <v>Gene3606-tree</v>
      </c>
      <c r="O507">
        <v>3</v>
      </c>
      <c r="P507">
        <v>1</v>
      </c>
      <c r="Q507">
        <v>3</v>
      </c>
      <c r="R507">
        <v>1</v>
      </c>
      <c r="S507">
        <v>0.25</v>
      </c>
      <c r="T507" t="s">
        <v>84</v>
      </c>
      <c r="U507" t="s">
        <v>61</v>
      </c>
      <c r="V507" t="s">
        <v>62</v>
      </c>
      <c r="W507" t="s">
        <v>62</v>
      </c>
      <c r="X507">
        <v>0</v>
      </c>
      <c r="Y507">
        <v>0</v>
      </c>
      <c r="Z507">
        <v>2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1</v>
      </c>
      <c r="AK507">
        <v>0</v>
      </c>
      <c r="AL507">
        <v>3</v>
      </c>
      <c r="AM507">
        <v>1</v>
      </c>
      <c r="AN507">
        <v>41</v>
      </c>
      <c r="AO507">
        <v>1</v>
      </c>
      <c r="AP507">
        <v>10</v>
      </c>
      <c r="AQ507">
        <v>1</v>
      </c>
      <c r="AR507" t="s">
        <v>4912</v>
      </c>
      <c r="AS507" t="s">
        <v>4913</v>
      </c>
      <c r="AT507">
        <v>1.9770000000000001</v>
      </c>
      <c r="AU507" t="s">
        <v>65</v>
      </c>
      <c r="AV507">
        <v>51</v>
      </c>
      <c r="AW507">
        <v>2</v>
      </c>
      <c r="AX507" t="s">
        <v>4914</v>
      </c>
      <c r="AY507" t="s">
        <v>4915</v>
      </c>
      <c r="AZ507" t="s">
        <v>4916</v>
      </c>
      <c r="BA507">
        <v>1.188E-2</v>
      </c>
      <c r="BB507">
        <v>1</v>
      </c>
      <c r="BC507" t="s">
        <v>69</v>
      </c>
      <c r="BD507">
        <v>-0.13300000000000001</v>
      </c>
      <c r="BE507">
        <v>-0.317</v>
      </c>
    </row>
    <row r="508" spans="1:57">
      <c r="A508">
        <v>0</v>
      </c>
      <c r="B508">
        <v>0</v>
      </c>
      <c r="C508">
        <v>0</v>
      </c>
      <c r="D508">
        <v>3602</v>
      </c>
      <c r="E508" t="s">
        <v>4891</v>
      </c>
      <c r="F508" t="s">
        <v>5762</v>
      </c>
      <c r="G508" t="s">
        <v>62</v>
      </c>
      <c r="H508">
        <v>3569576</v>
      </c>
      <c r="I508">
        <v>3570523</v>
      </c>
      <c r="J508" t="s">
        <v>4892</v>
      </c>
      <c r="K508">
        <v>316</v>
      </c>
      <c r="L508" t="s">
        <v>59</v>
      </c>
      <c r="M508">
        <v>5</v>
      </c>
      <c r="N508" t="str">
        <f>HYPERLINK("Gene3602-zp_tree_all.dnd", "Gene3602-tree")</f>
        <v>Gene3602-tree</v>
      </c>
      <c r="O508">
        <v>5</v>
      </c>
      <c r="P508">
        <v>0</v>
      </c>
      <c r="Q508">
        <v>5</v>
      </c>
      <c r="R508">
        <v>0</v>
      </c>
      <c r="S508">
        <v>0</v>
      </c>
      <c r="T508" t="s">
        <v>98</v>
      </c>
      <c r="U508" t="s">
        <v>62</v>
      </c>
      <c r="V508" t="s">
        <v>62</v>
      </c>
      <c r="W508" t="s">
        <v>62</v>
      </c>
      <c r="X508">
        <v>0</v>
      </c>
      <c r="Y508">
        <v>0</v>
      </c>
      <c r="Z508">
        <v>1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5</v>
      </c>
      <c r="AM508">
        <v>2</v>
      </c>
      <c r="AN508">
        <v>21</v>
      </c>
      <c r="AO508">
        <v>0</v>
      </c>
      <c r="AP508">
        <v>30</v>
      </c>
      <c r="AQ508">
        <v>1</v>
      </c>
      <c r="AR508" t="s">
        <v>64</v>
      </c>
      <c r="AS508" t="s">
        <v>4893</v>
      </c>
      <c r="AT508">
        <v>0.96299999999999997</v>
      </c>
      <c r="AU508" t="s">
        <v>65</v>
      </c>
      <c r="AV508">
        <v>51</v>
      </c>
      <c r="AW508">
        <v>1</v>
      </c>
      <c r="AX508" t="s">
        <v>4894</v>
      </c>
      <c r="AY508" t="s">
        <v>4895</v>
      </c>
      <c r="AZ508" t="s">
        <v>4896</v>
      </c>
      <c r="BA508">
        <v>6.4200000000000004E-3</v>
      </c>
      <c r="BB508">
        <v>1</v>
      </c>
      <c r="BC508" t="s">
        <v>69</v>
      </c>
      <c r="BD508">
        <v>0.80500000000000005</v>
      </c>
      <c r="BE508">
        <v>0.51100000000000001</v>
      </c>
    </row>
    <row r="509" spans="1:57">
      <c r="A509">
        <v>0</v>
      </c>
      <c r="B509">
        <v>0</v>
      </c>
      <c r="C509">
        <v>0</v>
      </c>
      <c r="D509">
        <v>3603</v>
      </c>
      <c r="E509" t="s">
        <v>4897</v>
      </c>
      <c r="F509" t="s">
        <v>5762</v>
      </c>
      <c r="G509" t="s">
        <v>62</v>
      </c>
      <c r="H509">
        <v>3570549</v>
      </c>
      <c r="I509">
        <v>3571499</v>
      </c>
      <c r="J509" t="s">
        <v>4898</v>
      </c>
      <c r="K509">
        <v>317</v>
      </c>
      <c r="L509" t="s">
        <v>59</v>
      </c>
      <c r="M509">
        <v>5</v>
      </c>
      <c r="N509" t="str">
        <f>HYPERLINK("Gene3603-zp_tree_all.dnd", "Gene3603-tree")</f>
        <v>Gene3603-tree</v>
      </c>
      <c r="O509">
        <v>3</v>
      </c>
      <c r="P509">
        <v>2</v>
      </c>
      <c r="Q509">
        <v>3</v>
      </c>
      <c r="R509">
        <v>2</v>
      </c>
      <c r="S509">
        <v>0.4</v>
      </c>
      <c r="T509" t="s">
        <v>84</v>
      </c>
      <c r="U509" t="s">
        <v>135</v>
      </c>
      <c r="V509" t="s">
        <v>62</v>
      </c>
      <c r="W509" t="s">
        <v>62</v>
      </c>
      <c r="X509">
        <v>0</v>
      </c>
      <c r="Y509">
        <v>0</v>
      </c>
      <c r="Z509">
        <v>8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6</v>
      </c>
      <c r="AK509">
        <v>0</v>
      </c>
      <c r="AL509">
        <v>5</v>
      </c>
      <c r="AM509">
        <v>2</v>
      </c>
      <c r="AN509">
        <v>37</v>
      </c>
      <c r="AO509">
        <v>6</v>
      </c>
      <c r="AP509">
        <v>24</v>
      </c>
      <c r="AQ509">
        <v>2</v>
      </c>
      <c r="AR509" t="s">
        <v>4899</v>
      </c>
      <c r="AS509" t="s">
        <v>4900</v>
      </c>
      <c r="AT509">
        <v>0.42199999999999999</v>
      </c>
      <c r="AU509" t="s">
        <v>65</v>
      </c>
      <c r="AV509">
        <v>61</v>
      </c>
      <c r="AW509">
        <v>8</v>
      </c>
      <c r="AX509" t="s">
        <v>4901</v>
      </c>
      <c r="AY509" t="s">
        <v>4902</v>
      </c>
      <c r="AZ509" t="s">
        <v>4903</v>
      </c>
      <c r="BA509">
        <v>3.4610000000000002E-2</v>
      </c>
      <c r="BB509">
        <v>1</v>
      </c>
      <c r="BC509" t="s">
        <v>69</v>
      </c>
      <c r="BD509">
        <v>0.124</v>
      </c>
      <c r="BE509">
        <v>2.9000000000000001E-2</v>
      </c>
    </row>
    <row r="510" spans="1:57">
      <c r="A510">
        <v>0</v>
      </c>
      <c r="B510">
        <v>0</v>
      </c>
      <c r="C510">
        <v>0</v>
      </c>
      <c r="D510">
        <v>51</v>
      </c>
      <c r="E510" t="s">
        <v>204</v>
      </c>
      <c r="F510" t="s">
        <v>5762</v>
      </c>
      <c r="G510" t="s">
        <v>57</v>
      </c>
      <c r="H510">
        <v>57745</v>
      </c>
      <c r="I510">
        <v>58695</v>
      </c>
      <c r="J510" t="s">
        <v>205</v>
      </c>
      <c r="K510">
        <v>317</v>
      </c>
      <c r="L510" t="s">
        <v>59</v>
      </c>
      <c r="M510">
        <v>5</v>
      </c>
      <c r="N510" t="str">
        <f>HYPERLINK("Gene51-zp_tree_all.dnd", "Gene51-tree")</f>
        <v>Gene51-tree</v>
      </c>
      <c r="O510">
        <v>5</v>
      </c>
      <c r="P510">
        <v>0</v>
      </c>
      <c r="Q510">
        <v>4</v>
      </c>
      <c r="R510">
        <v>0</v>
      </c>
      <c r="S510">
        <v>0</v>
      </c>
      <c r="T510" t="s">
        <v>150</v>
      </c>
      <c r="U510" t="s">
        <v>62</v>
      </c>
      <c r="V510" t="s">
        <v>62</v>
      </c>
      <c r="W510" t="s">
        <v>62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4</v>
      </c>
      <c r="AM510">
        <v>1</v>
      </c>
      <c r="AN510">
        <v>20</v>
      </c>
      <c r="AO510">
        <v>0</v>
      </c>
      <c r="AP510">
        <v>16</v>
      </c>
      <c r="AQ510">
        <v>0</v>
      </c>
      <c r="AR510" t="s">
        <v>64</v>
      </c>
      <c r="AS510" t="s">
        <v>64</v>
      </c>
      <c r="AT510">
        <v>0</v>
      </c>
      <c r="AU510" t="s">
        <v>65</v>
      </c>
      <c r="AV510">
        <v>36</v>
      </c>
      <c r="AW510">
        <v>0</v>
      </c>
      <c r="AX510" t="s">
        <v>206</v>
      </c>
      <c r="AY510" t="s">
        <v>207</v>
      </c>
      <c r="AZ510" t="s">
        <v>64</v>
      </c>
      <c r="BA510">
        <v>0</v>
      </c>
      <c r="BB510">
        <v>1</v>
      </c>
      <c r="BC510" t="s">
        <v>69</v>
      </c>
      <c r="BD510">
        <v>0.44700000000000001</v>
      </c>
      <c r="BE510">
        <v>0.26800000000000002</v>
      </c>
    </row>
    <row r="511" spans="1:57">
      <c r="A511">
        <v>0</v>
      </c>
      <c r="B511">
        <v>0</v>
      </c>
      <c r="C511">
        <v>0</v>
      </c>
      <c r="D511">
        <v>748</v>
      </c>
      <c r="E511" t="s">
        <v>1209</v>
      </c>
      <c r="F511" t="s">
        <v>5762</v>
      </c>
      <c r="G511" t="s">
        <v>57</v>
      </c>
      <c r="H511">
        <v>781092</v>
      </c>
      <c r="I511">
        <v>782045</v>
      </c>
      <c r="J511" t="s">
        <v>1210</v>
      </c>
      <c r="K511">
        <v>318</v>
      </c>
      <c r="L511" t="s">
        <v>83</v>
      </c>
      <c r="M511">
        <v>4</v>
      </c>
      <c r="N511" t="str">
        <f>HYPERLINK("Gene748-zp_tree_all.dnd", "Gene748-tree")</f>
        <v>Gene748-tree</v>
      </c>
      <c r="O511">
        <v>0</v>
      </c>
      <c r="P511">
        <v>4</v>
      </c>
      <c r="Q511">
        <v>0</v>
      </c>
      <c r="R511">
        <v>4</v>
      </c>
      <c r="S511">
        <v>1</v>
      </c>
      <c r="T511" t="s">
        <v>62</v>
      </c>
      <c r="U511" t="s">
        <v>60</v>
      </c>
      <c r="V511" t="s">
        <v>62</v>
      </c>
      <c r="W511" t="s">
        <v>62</v>
      </c>
      <c r="X511">
        <v>0</v>
      </c>
      <c r="Y511">
        <v>0</v>
      </c>
      <c r="Z511">
        <v>6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5</v>
      </c>
      <c r="AK511">
        <v>0</v>
      </c>
      <c r="AL511">
        <v>4</v>
      </c>
      <c r="AM511">
        <v>1</v>
      </c>
      <c r="AN511">
        <v>45</v>
      </c>
      <c r="AO511">
        <v>5</v>
      </c>
      <c r="AP511">
        <v>5</v>
      </c>
      <c r="AQ511">
        <v>1</v>
      </c>
      <c r="AR511" t="s">
        <v>1211</v>
      </c>
      <c r="AS511" t="s">
        <v>1212</v>
      </c>
      <c r="AT511">
        <v>0.98099999999999998</v>
      </c>
      <c r="AU511" t="s">
        <v>65</v>
      </c>
      <c r="AV511">
        <v>50</v>
      </c>
      <c r="AW511">
        <v>6</v>
      </c>
      <c r="AX511" t="s">
        <v>1213</v>
      </c>
      <c r="AY511" t="s">
        <v>1214</v>
      </c>
      <c r="AZ511" t="s">
        <v>1215</v>
      </c>
      <c r="BA511">
        <v>3.184E-2</v>
      </c>
      <c r="BB511">
        <v>1</v>
      </c>
      <c r="BC511" t="s">
        <v>69</v>
      </c>
      <c r="BD511">
        <v>-0.40500000000000003</v>
      </c>
      <c r="BE511">
        <v>-0.57899999999999996</v>
      </c>
    </row>
    <row r="512" spans="1:57">
      <c r="A512">
        <v>0</v>
      </c>
      <c r="B512">
        <v>0</v>
      </c>
      <c r="C512">
        <v>0</v>
      </c>
      <c r="D512">
        <v>2637</v>
      </c>
      <c r="E512" t="s">
        <v>3511</v>
      </c>
      <c r="F512" t="s">
        <v>5762</v>
      </c>
      <c r="G512" t="s">
        <v>62</v>
      </c>
      <c r="H512">
        <v>2614499</v>
      </c>
      <c r="I512">
        <v>2615455</v>
      </c>
      <c r="J512" t="s">
        <v>3512</v>
      </c>
      <c r="K512">
        <v>319</v>
      </c>
      <c r="L512" t="s">
        <v>59</v>
      </c>
      <c r="M512">
        <v>5</v>
      </c>
      <c r="N512" t="str">
        <f>HYPERLINK("Gene2637-zp_tree_all.dnd", "Gene2637-tree")</f>
        <v>Gene2637-tree</v>
      </c>
      <c r="O512">
        <v>4</v>
      </c>
      <c r="P512">
        <v>1</v>
      </c>
      <c r="Q512">
        <v>4</v>
      </c>
      <c r="R512">
        <v>1</v>
      </c>
      <c r="S512">
        <v>0.2</v>
      </c>
      <c r="T512" t="s">
        <v>60</v>
      </c>
      <c r="U512" t="s">
        <v>61</v>
      </c>
      <c r="V512" t="s">
        <v>62</v>
      </c>
      <c r="W512" t="s">
        <v>62</v>
      </c>
      <c r="X512">
        <v>0</v>
      </c>
      <c r="Y512">
        <v>0</v>
      </c>
      <c r="Z512">
        <v>7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1</v>
      </c>
      <c r="AK512">
        <v>0</v>
      </c>
      <c r="AL512">
        <v>4</v>
      </c>
      <c r="AM512">
        <v>1</v>
      </c>
      <c r="AN512">
        <v>13</v>
      </c>
      <c r="AO512">
        <v>1</v>
      </c>
      <c r="AP512">
        <v>9</v>
      </c>
      <c r="AQ512">
        <v>6</v>
      </c>
      <c r="AR512" t="s">
        <v>3513</v>
      </c>
      <c r="AS512" t="s">
        <v>3514</v>
      </c>
      <c r="AT512">
        <v>4.1790000000000003</v>
      </c>
      <c r="AU512" t="s">
        <v>65</v>
      </c>
      <c r="AV512">
        <v>22</v>
      </c>
      <c r="AW512">
        <v>7</v>
      </c>
      <c r="AX512" t="s">
        <v>3515</v>
      </c>
      <c r="AY512" t="s">
        <v>3516</v>
      </c>
      <c r="AZ512" t="s">
        <v>3517</v>
      </c>
      <c r="BA512">
        <v>0.10943</v>
      </c>
      <c r="BB512">
        <v>1</v>
      </c>
      <c r="BC512" t="s">
        <v>69</v>
      </c>
      <c r="BD512">
        <v>0.36499999999999999</v>
      </c>
      <c r="BE512">
        <v>0.36499999999999999</v>
      </c>
    </row>
    <row r="513" spans="1:57">
      <c r="A513">
        <v>0</v>
      </c>
      <c r="B513">
        <v>0</v>
      </c>
      <c r="C513">
        <v>0</v>
      </c>
      <c r="D513">
        <v>3035</v>
      </c>
      <c r="E513" t="s">
        <v>4068</v>
      </c>
      <c r="F513" t="s">
        <v>5762</v>
      </c>
      <c r="G513" t="s">
        <v>62</v>
      </c>
      <c r="H513">
        <v>2986591</v>
      </c>
      <c r="I513">
        <v>2987547</v>
      </c>
      <c r="J513" t="s">
        <v>4069</v>
      </c>
      <c r="K513">
        <v>319</v>
      </c>
      <c r="L513" t="s">
        <v>59</v>
      </c>
      <c r="M513">
        <v>5</v>
      </c>
      <c r="N513" t="str">
        <f>HYPERLINK("Gene3035-zp_tree_all.dnd", "Gene3035-tree")</f>
        <v>Gene3035-tree</v>
      </c>
      <c r="O513">
        <v>5</v>
      </c>
      <c r="P513">
        <v>0</v>
      </c>
      <c r="Q513">
        <v>5</v>
      </c>
      <c r="R513">
        <v>0</v>
      </c>
      <c r="S513">
        <v>0</v>
      </c>
      <c r="T513" t="s">
        <v>98</v>
      </c>
      <c r="U513" t="s">
        <v>62</v>
      </c>
      <c r="V513" t="s">
        <v>62</v>
      </c>
      <c r="W513" t="s">
        <v>62</v>
      </c>
      <c r="X513">
        <v>0</v>
      </c>
      <c r="Y513">
        <v>0</v>
      </c>
      <c r="Z513">
        <v>2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5</v>
      </c>
      <c r="AM513">
        <v>2</v>
      </c>
      <c r="AN513">
        <v>19</v>
      </c>
      <c r="AO513">
        <v>0</v>
      </c>
      <c r="AP513">
        <v>29</v>
      </c>
      <c r="AQ513">
        <v>2</v>
      </c>
      <c r="AR513" t="s">
        <v>64</v>
      </c>
      <c r="AS513" t="s">
        <v>4070</v>
      </c>
      <c r="AT513">
        <v>0.91400000000000003</v>
      </c>
      <c r="AU513" t="s">
        <v>65</v>
      </c>
      <c r="AV513">
        <v>48</v>
      </c>
      <c r="AW513">
        <v>2</v>
      </c>
      <c r="AX513" t="s">
        <v>4071</v>
      </c>
      <c r="AY513" t="s">
        <v>4072</v>
      </c>
      <c r="AZ513" t="s">
        <v>4073</v>
      </c>
      <c r="BA513">
        <v>1.787E-2</v>
      </c>
      <c r="BB513">
        <v>1</v>
      </c>
      <c r="BC513" t="s">
        <v>69</v>
      </c>
      <c r="BD513">
        <v>0.73099999999999998</v>
      </c>
      <c r="BE513">
        <v>0.73099999999999998</v>
      </c>
    </row>
    <row r="514" spans="1:57">
      <c r="A514">
        <v>0</v>
      </c>
      <c r="B514">
        <v>2</v>
      </c>
      <c r="C514">
        <v>1</v>
      </c>
      <c r="D514">
        <v>3129</v>
      </c>
      <c r="E514" t="s">
        <v>4252</v>
      </c>
      <c r="F514" t="s">
        <v>5762</v>
      </c>
      <c r="G514" t="s">
        <v>62</v>
      </c>
      <c r="H514">
        <v>3082263</v>
      </c>
      <c r="I514">
        <v>3083225</v>
      </c>
      <c r="J514" t="s">
        <v>4253</v>
      </c>
      <c r="K514">
        <v>321</v>
      </c>
      <c r="L514" t="s">
        <v>59</v>
      </c>
      <c r="M514">
        <v>5</v>
      </c>
      <c r="N514" t="str">
        <f>HYPERLINK("Gene3129-zp_tree_all.dnd", "Gene3129-tree")</f>
        <v>Gene3129-tree</v>
      </c>
      <c r="O514">
        <v>1</v>
      </c>
      <c r="P514">
        <v>4</v>
      </c>
      <c r="Q514">
        <v>1</v>
      </c>
      <c r="R514">
        <v>4</v>
      </c>
      <c r="S514">
        <v>0.8</v>
      </c>
      <c r="T514" t="s">
        <v>61</v>
      </c>
      <c r="U514" t="s">
        <v>60</v>
      </c>
      <c r="V514" t="s">
        <v>62</v>
      </c>
      <c r="W514" t="s">
        <v>62</v>
      </c>
      <c r="X514">
        <v>1</v>
      </c>
      <c r="Y514">
        <v>3</v>
      </c>
      <c r="Z514">
        <v>6</v>
      </c>
      <c r="AA514">
        <v>0.33333000000000002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2</v>
      </c>
      <c r="AH514">
        <v>1</v>
      </c>
      <c r="AI514">
        <v>3</v>
      </c>
      <c r="AJ514">
        <v>4</v>
      </c>
      <c r="AK514">
        <v>0.42857000000000001</v>
      </c>
      <c r="AL514">
        <v>5</v>
      </c>
      <c r="AM514">
        <v>2</v>
      </c>
      <c r="AN514">
        <v>34</v>
      </c>
      <c r="AO514">
        <v>5</v>
      </c>
      <c r="AP514">
        <v>20</v>
      </c>
      <c r="AQ514">
        <v>4</v>
      </c>
      <c r="AR514" t="s">
        <v>4254</v>
      </c>
      <c r="AS514" t="s">
        <v>4255</v>
      </c>
      <c r="AT514">
        <v>0.60599999999999998</v>
      </c>
      <c r="AU514" t="s">
        <v>65</v>
      </c>
      <c r="AV514">
        <v>54</v>
      </c>
      <c r="AW514">
        <v>9</v>
      </c>
      <c r="AX514" t="s">
        <v>4256</v>
      </c>
      <c r="AY514" t="s">
        <v>4257</v>
      </c>
      <c r="AZ514" t="s">
        <v>4258</v>
      </c>
      <c r="BA514">
        <v>4.4049999999999999E-2</v>
      </c>
      <c r="BB514">
        <v>1</v>
      </c>
      <c r="BC514" t="s">
        <v>69</v>
      </c>
      <c r="BD514">
        <v>0.34300000000000003</v>
      </c>
      <c r="BE514">
        <v>-7.9000000000000001E-2</v>
      </c>
    </row>
    <row r="515" spans="1:57">
      <c r="A515">
        <v>0</v>
      </c>
      <c r="B515">
        <v>0</v>
      </c>
      <c r="C515">
        <v>0</v>
      </c>
      <c r="D515">
        <v>3953</v>
      </c>
      <c r="E515" t="s">
        <v>5333</v>
      </c>
      <c r="F515" t="s">
        <v>5762</v>
      </c>
      <c r="G515" t="s">
        <v>62</v>
      </c>
      <c r="H515">
        <v>3917299</v>
      </c>
      <c r="I515">
        <v>3918261</v>
      </c>
      <c r="J515" t="s">
        <v>5334</v>
      </c>
      <c r="K515">
        <v>321</v>
      </c>
      <c r="L515" t="s">
        <v>59</v>
      </c>
      <c r="M515">
        <v>5</v>
      </c>
      <c r="N515" t="str">
        <f>HYPERLINK("Gene3953-zp_tree_all.dnd", "Gene3953-tree")</f>
        <v>Gene3953-tree</v>
      </c>
      <c r="O515">
        <v>4</v>
      </c>
      <c r="P515">
        <v>1</v>
      </c>
      <c r="Q515">
        <v>4</v>
      </c>
      <c r="R515">
        <v>1</v>
      </c>
      <c r="S515">
        <v>0.2</v>
      </c>
      <c r="T515" t="s">
        <v>60</v>
      </c>
      <c r="U515" t="s">
        <v>61</v>
      </c>
      <c r="V515" t="s">
        <v>62</v>
      </c>
      <c r="W515" t="s">
        <v>62</v>
      </c>
      <c r="X515">
        <v>0</v>
      </c>
      <c r="Y515">
        <v>0</v>
      </c>
      <c r="Z515">
        <v>6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2</v>
      </c>
      <c r="AK515">
        <v>0</v>
      </c>
      <c r="AL515">
        <v>4</v>
      </c>
      <c r="AM515">
        <v>2</v>
      </c>
      <c r="AN515">
        <v>19</v>
      </c>
      <c r="AO515">
        <v>2</v>
      </c>
      <c r="AP515">
        <v>25</v>
      </c>
      <c r="AQ515">
        <v>4</v>
      </c>
      <c r="AR515" t="s">
        <v>5335</v>
      </c>
      <c r="AS515" t="s">
        <v>5336</v>
      </c>
      <c r="AT515">
        <v>0.17100000000000001</v>
      </c>
      <c r="AU515" t="s">
        <v>65</v>
      </c>
      <c r="AV515">
        <v>44</v>
      </c>
      <c r="AW515">
        <v>6</v>
      </c>
      <c r="AX515" t="s">
        <v>5337</v>
      </c>
      <c r="AY515" t="s">
        <v>5338</v>
      </c>
      <c r="AZ515" t="s">
        <v>5339</v>
      </c>
      <c r="BA515">
        <v>3.8510000000000003E-2</v>
      </c>
      <c r="BB515">
        <v>1</v>
      </c>
      <c r="BC515" t="s">
        <v>69</v>
      </c>
      <c r="BD515">
        <v>0.74</v>
      </c>
      <c r="BE515">
        <v>0.44500000000000001</v>
      </c>
    </row>
    <row r="516" spans="1:57">
      <c r="A516">
        <v>0</v>
      </c>
      <c r="B516">
        <v>0</v>
      </c>
      <c r="C516">
        <v>0</v>
      </c>
      <c r="D516">
        <v>3845</v>
      </c>
      <c r="E516" t="s">
        <v>5195</v>
      </c>
      <c r="F516" t="s">
        <v>5762</v>
      </c>
      <c r="G516" t="s">
        <v>62</v>
      </c>
      <c r="H516">
        <v>3805093</v>
      </c>
      <c r="I516">
        <v>3806055</v>
      </c>
      <c r="J516" t="s">
        <v>5196</v>
      </c>
      <c r="K516">
        <v>321</v>
      </c>
      <c r="L516" t="s">
        <v>83</v>
      </c>
      <c r="M516">
        <v>4</v>
      </c>
      <c r="N516" t="str">
        <f>HYPERLINK("Gene3845-zp_tree_all.dnd", "Gene3845-tree")</f>
        <v>Gene3845-tree</v>
      </c>
      <c r="O516">
        <v>4</v>
      </c>
      <c r="P516">
        <v>0</v>
      </c>
      <c r="Q516">
        <v>4</v>
      </c>
      <c r="R516">
        <v>0</v>
      </c>
      <c r="S516">
        <v>0</v>
      </c>
      <c r="T516" t="s">
        <v>60</v>
      </c>
      <c r="U516" t="s">
        <v>62</v>
      </c>
      <c r="V516" t="s">
        <v>62</v>
      </c>
      <c r="W516" t="s">
        <v>62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4</v>
      </c>
      <c r="AM516">
        <v>1</v>
      </c>
      <c r="AN516">
        <v>48</v>
      </c>
      <c r="AO516">
        <v>0</v>
      </c>
      <c r="AP516">
        <v>3</v>
      </c>
      <c r="AQ516">
        <v>0</v>
      </c>
      <c r="AR516" t="s">
        <v>64</v>
      </c>
      <c r="AS516" t="s">
        <v>64</v>
      </c>
      <c r="AT516">
        <v>0</v>
      </c>
      <c r="AU516" t="s">
        <v>65</v>
      </c>
      <c r="AV516">
        <v>51</v>
      </c>
      <c r="AW516">
        <v>0</v>
      </c>
      <c r="AX516" t="s">
        <v>5197</v>
      </c>
      <c r="AY516" t="s">
        <v>5198</v>
      </c>
      <c r="AZ516" t="s">
        <v>64</v>
      </c>
      <c r="BA516">
        <v>0</v>
      </c>
      <c r="BB516">
        <v>1</v>
      </c>
      <c r="BC516" t="s">
        <v>69</v>
      </c>
      <c r="BD516">
        <v>-0.61299999999999999</v>
      </c>
      <c r="BE516">
        <v>-0.61299999999999999</v>
      </c>
    </row>
    <row r="517" spans="1:57">
      <c r="A517">
        <v>0</v>
      </c>
      <c r="B517">
        <v>0</v>
      </c>
      <c r="C517">
        <v>0</v>
      </c>
      <c r="D517">
        <v>233</v>
      </c>
      <c r="E517" t="s">
        <v>676</v>
      </c>
      <c r="F517" t="s">
        <v>5762</v>
      </c>
      <c r="G517" t="s">
        <v>57</v>
      </c>
      <c r="H517">
        <v>252514</v>
      </c>
      <c r="I517">
        <v>253479</v>
      </c>
      <c r="J517" t="s">
        <v>677</v>
      </c>
      <c r="K517">
        <v>322</v>
      </c>
      <c r="L517" t="s">
        <v>59</v>
      </c>
      <c r="M517">
        <v>5</v>
      </c>
      <c r="N517" t="str">
        <f>HYPERLINK("Gene233-zp_tree_all.dnd", "Gene233-tree")</f>
        <v>Gene233-tree</v>
      </c>
      <c r="O517">
        <v>4</v>
      </c>
      <c r="P517">
        <v>1</v>
      </c>
      <c r="Q517">
        <v>4</v>
      </c>
      <c r="R517">
        <v>1</v>
      </c>
      <c r="S517">
        <v>0.2</v>
      </c>
      <c r="T517" t="s">
        <v>60</v>
      </c>
      <c r="U517" t="s">
        <v>61</v>
      </c>
      <c r="V517" t="s">
        <v>62</v>
      </c>
      <c r="W517" t="s">
        <v>62</v>
      </c>
      <c r="X517">
        <v>0</v>
      </c>
      <c r="Y517">
        <v>0</v>
      </c>
      <c r="Z517">
        <v>6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1</v>
      </c>
      <c r="AK517">
        <v>0</v>
      </c>
      <c r="AL517">
        <v>5</v>
      </c>
      <c r="AM517">
        <v>2</v>
      </c>
      <c r="AN517">
        <v>18</v>
      </c>
      <c r="AO517">
        <v>1</v>
      </c>
      <c r="AP517">
        <v>28</v>
      </c>
      <c r="AQ517">
        <v>6</v>
      </c>
      <c r="AR517" t="s">
        <v>678</v>
      </c>
      <c r="AS517" t="s">
        <v>679</v>
      </c>
      <c r="AT517">
        <v>0.53900000000000003</v>
      </c>
      <c r="AU517" t="s">
        <v>65</v>
      </c>
      <c r="AV517">
        <v>46</v>
      </c>
      <c r="AW517">
        <v>7</v>
      </c>
      <c r="AX517" t="s">
        <v>680</v>
      </c>
      <c r="AY517" t="s">
        <v>681</v>
      </c>
      <c r="AZ517" t="s">
        <v>682</v>
      </c>
      <c r="BA517">
        <v>4.1369999999999997E-2</v>
      </c>
      <c r="BB517">
        <v>1</v>
      </c>
      <c r="BC517" t="s">
        <v>69</v>
      </c>
      <c r="BD517">
        <v>0.85899999999999999</v>
      </c>
      <c r="BE517">
        <v>0.73799999999999999</v>
      </c>
    </row>
    <row r="518" spans="1:57">
      <c r="A518">
        <v>0</v>
      </c>
      <c r="B518">
        <v>0</v>
      </c>
      <c r="C518">
        <v>0</v>
      </c>
      <c r="D518">
        <v>1805</v>
      </c>
      <c r="E518" t="s">
        <v>2717</v>
      </c>
      <c r="F518" t="s">
        <v>5762</v>
      </c>
      <c r="G518" t="s">
        <v>57</v>
      </c>
      <c r="H518">
        <v>1874203</v>
      </c>
      <c r="I518">
        <v>1875168</v>
      </c>
      <c r="J518" t="s">
        <v>2718</v>
      </c>
      <c r="K518">
        <v>322</v>
      </c>
      <c r="L518" t="s">
        <v>59</v>
      </c>
      <c r="M518">
        <v>5</v>
      </c>
      <c r="N518" t="str">
        <f>HYPERLINK("Gene1805-zp_tree_all.dnd", "Gene1805-tree")</f>
        <v>Gene1805-tree</v>
      </c>
      <c r="O518">
        <v>4</v>
      </c>
      <c r="P518">
        <v>1</v>
      </c>
      <c r="Q518">
        <v>4</v>
      </c>
      <c r="R518">
        <v>1</v>
      </c>
      <c r="S518">
        <v>0.2</v>
      </c>
      <c r="T518" t="s">
        <v>60</v>
      </c>
      <c r="U518" t="s">
        <v>61</v>
      </c>
      <c r="V518" t="s">
        <v>62</v>
      </c>
      <c r="W518" t="s">
        <v>62</v>
      </c>
      <c r="X518">
        <v>0</v>
      </c>
      <c r="Y518">
        <v>0</v>
      </c>
      <c r="Z518">
        <v>3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1</v>
      </c>
      <c r="AK518">
        <v>0</v>
      </c>
      <c r="AL518">
        <v>5</v>
      </c>
      <c r="AM518">
        <v>2</v>
      </c>
      <c r="AN518">
        <v>32</v>
      </c>
      <c r="AO518">
        <v>1</v>
      </c>
      <c r="AP518">
        <v>31</v>
      </c>
      <c r="AQ518">
        <v>2</v>
      </c>
      <c r="AR518" t="s">
        <v>2719</v>
      </c>
      <c r="AS518" t="s">
        <v>2720</v>
      </c>
      <c r="AT518">
        <v>0.29799999999999999</v>
      </c>
      <c r="AU518" t="s">
        <v>65</v>
      </c>
      <c r="AV518">
        <v>63</v>
      </c>
      <c r="AW518">
        <v>3</v>
      </c>
      <c r="AX518" t="s">
        <v>2721</v>
      </c>
      <c r="AY518" t="s">
        <v>2722</v>
      </c>
      <c r="AZ518" t="s">
        <v>2723</v>
      </c>
      <c r="BA518">
        <v>1.183E-2</v>
      </c>
      <c r="BB518">
        <v>1</v>
      </c>
      <c r="BC518" t="s">
        <v>69</v>
      </c>
      <c r="BD518">
        <v>0.34</v>
      </c>
      <c r="BE518">
        <v>0.34</v>
      </c>
    </row>
    <row r="519" spans="1:57">
      <c r="A519">
        <v>0</v>
      </c>
      <c r="B519">
        <v>0</v>
      </c>
      <c r="C519">
        <v>0</v>
      </c>
      <c r="D519">
        <v>1339</v>
      </c>
      <c r="E519" t="s">
        <v>1798</v>
      </c>
      <c r="F519" t="s">
        <v>5762</v>
      </c>
      <c r="G519" t="s">
        <v>57</v>
      </c>
      <c r="H519">
        <v>1356447</v>
      </c>
      <c r="I519">
        <v>1357415</v>
      </c>
      <c r="J519" t="s">
        <v>1799</v>
      </c>
      <c r="K519">
        <v>323</v>
      </c>
      <c r="L519" t="s">
        <v>83</v>
      </c>
      <c r="M519">
        <v>4</v>
      </c>
      <c r="N519" t="str">
        <f>HYPERLINK("Gene1339-zp_tree_all.dnd", "Gene1339-tree")</f>
        <v>Gene1339-tree</v>
      </c>
      <c r="O519">
        <v>1</v>
      </c>
      <c r="P519">
        <v>3</v>
      </c>
      <c r="Q519">
        <v>1</v>
      </c>
      <c r="R519">
        <v>3</v>
      </c>
      <c r="S519">
        <v>0.75</v>
      </c>
      <c r="T519" t="s">
        <v>61</v>
      </c>
      <c r="U519" t="s">
        <v>84</v>
      </c>
      <c r="V519" t="s">
        <v>62</v>
      </c>
      <c r="W519" t="s">
        <v>62</v>
      </c>
      <c r="X519">
        <v>0</v>
      </c>
      <c r="Y519">
        <v>0</v>
      </c>
      <c r="Z519">
        <v>9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9</v>
      </c>
      <c r="AK519">
        <v>0</v>
      </c>
      <c r="AL519">
        <v>4</v>
      </c>
      <c r="AM519">
        <v>1</v>
      </c>
      <c r="AN519">
        <v>42</v>
      </c>
      <c r="AO519">
        <v>9</v>
      </c>
      <c r="AP519">
        <v>3</v>
      </c>
      <c r="AQ519">
        <v>0</v>
      </c>
      <c r="AR519" t="s">
        <v>1800</v>
      </c>
      <c r="AS519" t="s">
        <v>64</v>
      </c>
      <c r="AT519">
        <v>0.77600000000000002</v>
      </c>
      <c r="AU519" t="s">
        <v>65</v>
      </c>
      <c r="AV519">
        <v>45</v>
      </c>
      <c r="AW519">
        <v>9</v>
      </c>
      <c r="AX519" t="s">
        <v>1801</v>
      </c>
      <c r="AY519" t="s">
        <v>1802</v>
      </c>
      <c r="AZ519" t="s">
        <v>1803</v>
      </c>
      <c r="BA519">
        <v>5.0970000000000001E-2</v>
      </c>
      <c r="BB519">
        <v>1</v>
      </c>
      <c r="BC519" t="s">
        <v>69</v>
      </c>
      <c r="BD519">
        <v>-0.69099999999999995</v>
      </c>
      <c r="BE519">
        <v>-0.69099999999999995</v>
      </c>
    </row>
    <row r="520" spans="1:57">
      <c r="A520">
        <v>0</v>
      </c>
      <c r="B520">
        <v>0</v>
      </c>
      <c r="C520">
        <v>2</v>
      </c>
      <c r="D520">
        <v>3902</v>
      </c>
      <c r="E520" t="s">
        <v>5272</v>
      </c>
      <c r="F520" t="s">
        <v>5762</v>
      </c>
      <c r="G520" t="s">
        <v>62</v>
      </c>
      <c r="H520">
        <v>3865358</v>
      </c>
      <c r="I520">
        <v>3866326</v>
      </c>
      <c r="J520" t="s">
        <v>5273</v>
      </c>
      <c r="K520">
        <v>323</v>
      </c>
      <c r="L520" t="s">
        <v>59</v>
      </c>
      <c r="M520">
        <v>5</v>
      </c>
      <c r="N520" t="str">
        <f>HYPERLINK("Gene3902-zp_tree_all.dnd", "Gene3902-tree")</f>
        <v>Gene3902-tree</v>
      </c>
      <c r="O520">
        <v>1</v>
      </c>
      <c r="P520">
        <v>4</v>
      </c>
      <c r="Q520">
        <v>1</v>
      </c>
      <c r="R520">
        <v>4</v>
      </c>
      <c r="S520">
        <v>0.8</v>
      </c>
      <c r="T520" t="s">
        <v>61</v>
      </c>
      <c r="U520" t="s">
        <v>60</v>
      </c>
      <c r="V520" t="s">
        <v>62</v>
      </c>
      <c r="W520" t="s">
        <v>62</v>
      </c>
      <c r="X520">
        <v>1</v>
      </c>
      <c r="Y520">
        <v>2</v>
      </c>
      <c r="Z520">
        <v>5</v>
      </c>
      <c r="AA520">
        <v>0.28571000000000002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4</v>
      </c>
      <c r="AK520">
        <v>0</v>
      </c>
      <c r="AL520">
        <v>5</v>
      </c>
      <c r="AM520">
        <v>2</v>
      </c>
      <c r="AN520">
        <v>25</v>
      </c>
      <c r="AO520">
        <v>4</v>
      </c>
      <c r="AP520">
        <v>17</v>
      </c>
      <c r="AQ520">
        <v>3</v>
      </c>
      <c r="AR520" t="s">
        <v>5274</v>
      </c>
      <c r="AS520" t="s">
        <v>5275</v>
      </c>
      <c r="AT520">
        <v>7.8E-2</v>
      </c>
      <c r="AU520" t="s">
        <v>65</v>
      </c>
      <c r="AV520">
        <v>42</v>
      </c>
      <c r="AW520">
        <v>7</v>
      </c>
      <c r="AX520" t="s">
        <v>5276</v>
      </c>
      <c r="AY520" t="s">
        <v>5277</v>
      </c>
      <c r="AZ520" t="s">
        <v>5278</v>
      </c>
      <c r="BA520">
        <v>4.8230000000000002E-2</v>
      </c>
      <c r="BB520">
        <v>1</v>
      </c>
      <c r="BC520" t="s">
        <v>69</v>
      </c>
      <c r="BD520">
        <v>5.1999999999999998E-2</v>
      </c>
      <c r="BE520">
        <v>5.1999999999999998E-2</v>
      </c>
    </row>
    <row r="521" spans="1:57">
      <c r="A521">
        <v>0</v>
      </c>
      <c r="B521">
        <v>0</v>
      </c>
      <c r="C521">
        <v>2</v>
      </c>
      <c r="D521">
        <v>2930</v>
      </c>
      <c r="E521" t="s">
        <v>3853</v>
      </c>
      <c r="F521" t="s">
        <v>5762</v>
      </c>
      <c r="G521" t="s">
        <v>62</v>
      </c>
      <c r="H521">
        <v>2874205</v>
      </c>
      <c r="I521">
        <v>2875176</v>
      </c>
      <c r="J521" t="s">
        <v>3854</v>
      </c>
      <c r="K521">
        <v>324</v>
      </c>
      <c r="L521" t="s">
        <v>83</v>
      </c>
      <c r="M521">
        <v>4</v>
      </c>
      <c r="N521" t="str">
        <f>HYPERLINK("Gene2930-zp_tree_all.dnd", "Gene2930-tree")</f>
        <v>Gene2930-tree</v>
      </c>
      <c r="O521">
        <v>1</v>
      </c>
      <c r="P521">
        <v>3</v>
      </c>
      <c r="Q521">
        <v>1</v>
      </c>
      <c r="R521">
        <v>3</v>
      </c>
      <c r="S521">
        <v>0.75</v>
      </c>
      <c r="T521" t="s">
        <v>61</v>
      </c>
      <c r="U521" t="s">
        <v>84</v>
      </c>
      <c r="V521" t="s">
        <v>62</v>
      </c>
      <c r="W521" t="s">
        <v>62</v>
      </c>
      <c r="X521">
        <v>1</v>
      </c>
      <c r="Y521">
        <v>2</v>
      </c>
      <c r="Z521">
        <v>4</v>
      </c>
      <c r="AA521">
        <v>0.33333000000000002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2</v>
      </c>
      <c r="AI521">
        <v>2</v>
      </c>
      <c r="AJ521">
        <v>4</v>
      </c>
      <c r="AK521">
        <v>0.33333000000000002</v>
      </c>
      <c r="AL521">
        <v>4</v>
      </c>
      <c r="AM521">
        <v>1</v>
      </c>
      <c r="AN521">
        <v>44</v>
      </c>
      <c r="AO521">
        <v>6</v>
      </c>
      <c r="AP521">
        <v>3</v>
      </c>
      <c r="AQ521">
        <v>0</v>
      </c>
      <c r="AR521" t="s">
        <v>3855</v>
      </c>
      <c r="AS521" t="s">
        <v>64</v>
      </c>
      <c r="AT521">
        <v>1.0640000000000001</v>
      </c>
      <c r="AU521" t="s">
        <v>65</v>
      </c>
      <c r="AV521">
        <v>47</v>
      </c>
      <c r="AW521">
        <v>6</v>
      </c>
      <c r="AX521" t="s">
        <v>3856</v>
      </c>
      <c r="AY521" t="s">
        <v>3857</v>
      </c>
      <c r="AZ521" t="s">
        <v>3858</v>
      </c>
      <c r="BA521">
        <v>3.3210000000000003E-2</v>
      </c>
      <c r="BB521">
        <v>1</v>
      </c>
      <c r="BC521" t="s">
        <v>69</v>
      </c>
      <c r="BD521">
        <v>-0.49299999999999999</v>
      </c>
      <c r="BE521">
        <v>-0.68</v>
      </c>
    </row>
    <row r="522" spans="1:57">
      <c r="A522">
        <v>0</v>
      </c>
      <c r="B522">
        <v>2</v>
      </c>
      <c r="C522">
        <v>0</v>
      </c>
      <c r="D522">
        <v>1580</v>
      </c>
      <c r="E522" t="s">
        <v>2178</v>
      </c>
      <c r="F522" t="s">
        <v>5762</v>
      </c>
      <c r="G522" t="s">
        <v>57</v>
      </c>
      <c r="H522">
        <v>1587926</v>
      </c>
      <c r="I522">
        <v>1588897</v>
      </c>
      <c r="J522" t="s">
        <v>2179</v>
      </c>
      <c r="K522">
        <v>324</v>
      </c>
      <c r="L522" t="s">
        <v>59</v>
      </c>
      <c r="M522">
        <v>5</v>
      </c>
      <c r="N522" t="str">
        <f>HYPERLINK("Gene1580-zp_tree_all.dnd", "Gene1580-tree")</f>
        <v>Gene1580-tree</v>
      </c>
      <c r="O522">
        <v>2</v>
      </c>
      <c r="P522">
        <v>3</v>
      </c>
      <c r="Q522">
        <v>2</v>
      </c>
      <c r="R522">
        <v>3</v>
      </c>
      <c r="S522">
        <v>0.6</v>
      </c>
      <c r="T522" t="s">
        <v>135</v>
      </c>
      <c r="U522" t="s">
        <v>84</v>
      </c>
      <c r="V522" t="s">
        <v>62</v>
      </c>
      <c r="W522" t="s">
        <v>62</v>
      </c>
      <c r="X522">
        <v>1</v>
      </c>
      <c r="Y522">
        <v>2</v>
      </c>
      <c r="Z522">
        <v>3</v>
      </c>
      <c r="AA522">
        <v>0.4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3</v>
      </c>
      <c r="AK522">
        <v>0</v>
      </c>
      <c r="AL522">
        <v>5</v>
      </c>
      <c r="AM522">
        <v>2</v>
      </c>
      <c r="AN522">
        <v>22</v>
      </c>
      <c r="AO522">
        <v>3</v>
      </c>
      <c r="AP522">
        <v>28</v>
      </c>
      <c r="AQ522">
        <v>2</v>
      </c>
      <c r="AR522" t="s">
        <v>2180</v>
      </c>
      <c r="AS522" t="s">
        <v>2181</v>
      </c>
      <c r="AT522">
        <v>1.099</v>
      </c>
      <c r="AU522" t="s">
        <v>65</v>
      </c>
      <c r="AV522">
        <v>50</v>
      </c>
      <c r="AW522">
        <v>5</v>
      </c>
      <c r="AX522" t="s">
        <v>2182</v>
      </c>
      <c r="AY522" t="s">
        <v>2183</v>
      </c>
      <c r="AZ522" t="s">
        <v>2184</v>
      </c>
      <c r="BA522">
        <v>2.4309999999999998E-2</v>
      </c>
      <c r="BB522">
        <v>1</v>
      </c>
      <c r="BC522" t="s">
        <v>69</v>
      </c>
      <c r="BD522">
        <v>0.623</v>
      </c>
      <c r="BE522">
        <v>0.46899999999999997</v>
      </c>
    </row>
    <row r="523" spans="1:57">
      <c r="A523">
        <v>0</v>
      </c>
      <c r="B523">
        <v>0</v>
      </c>
      <c r="C523">
        <v>0</v>
      </c>
      <c r="D523">
        <v>4106</v>
      </c>
      <c r="E523" t="s">
        <v>5543</v>
      </c>
      <c r="F523" t="s">
        <v>5762</v>
      </c>
      <c r="G523" t="s">
        <v>62</v>
      </c>
      <c r="H523">
        <v>4071313</v>
      </c>
      <c r="I523">
        <v>4072287</v>
      </c>
      <c r="J523" t="s">
        <v>5544</v>
      </c>
      <c r="K523">
        <v>325</v>
      </c>
      <c r="L523" t="s">
        <v>83</v>
      </c>
      <c r="M523">
        <v>4</v>
      </c>
      <c r="N523" t="str">
        <f>HYPERLINK("Gene4106-zp_tree_all.dnd", "Gene4106-tree")</f>
        <v>Gene4106-tree</v>
      </c>
      <c r="O523">
        <v>0</v>
      </c>
      <c r="P523">
        <v>4</v>
      </c>
      <c r="Q523">
        <v>0</v>
      </c>
      <c r="R523">
        <v>4</v>
      </c>
      <c r="S523">
        <v>1</v>
      </c>
      <c r="T523" t="s">
        <v>62</v>
      </c>
      <c r="U523" t="s">
        <v>60</v>
      </c>
      <c r="V523" t="s">
        <v>62</v>
      </c>
      <c r="W523" t="s">
        <v>62</v>
      </c>
      <c r="X523">
        <v>0</v>
      </c>
      <c r="Y523">
        <v>0</v>
      </c>
      <c r="Z523">
        <v>11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10</v>
      </c>
      <c r="AK523">
        <v>0</v>
      </c>
      <c r="AL523">
        <v>4</v>
      </c>
      <c r="AM523">
        <v>1</v>
      </c>
      <c r="AN523">
        <v>25</v>
      </c>
      <c r="AO523">
        <v>10</v>
      </c>
      <c r="AP523">
        <v>2</v>
      </c>
      <c r="AQ523">
        <v>1</v>
      </c>
      <c r="AR523" t="s">
        <v>5545</v>
      </c>
      <c r="AS523" t="s">
        <v>5546</v>
      </c>
      <c r="AT523">
        <v>0.47299999999999998</v>
      </c>
      <c r="AU523" t="s">
        <v>65</v>
      </c>
      <c r="AV523">
        <v>27</v>
      </c>
      <c r="AW523">
        <v>11</v>
      </c>
      <c r="AX523" t="s">
        <v>5547</v>
      </c>
      <c r="AY523" t="s">
        <v>5548</v>
      </c>
      <c r="AZ523" t="s">
        <v>5549</v>
      </c>
      <c r="BA523">
        <v>0.12032</v>
      </c>
      <c r="BB523">
        <v>1</v>
      </c>
      <c r="BC523" t="s">
        <v>69</v>
      </c>
      <c r="BD523">
        <v>-0.61399999999999999</v>
      </c>
      <c r="BE523">
        <v>-0.61399999999999999</v>
      </c>
    </row>
    <row r="524" spans="1:57">
      <c r="A524">
        <v>0</v>
      </c>
      <c r="B524">
        <v>0</v>
      </c>
      <c r="C524">
        <v>0</v>
      </c>
      <c r="D524">
        <v>4115</v>
      </c>
      <c r="E524" t="s">
        <v>5577</v>
      </c>
      <c r="F524" t="s">
        <v>5762</v>
      </c>
      <c r="G524" t="s">
        <v>62</v>
      </c>
      <c r="H524">
        <v>4081032</v>
      </c>
      <c r="I524">
        <v>4082006</v>
      </c>
      <c r="J524" t="s">
        <v>5578</v>
      </c>
      <c r="K524">
        <v>325</v>
      </c>
      <c r="L524" t="s">
        <v>59</v>
      </c>
      <c r="M524">
        <v>5</v>
      </c>
      <c r="N524" t="str">
        <f>HYPERLINK("Gene4115-zp_tree_all.dnd", "Gene4115-tree")</f>
        <v>Gene4115-tree</v>
      </c>
      <c r="O524">
        <v>0</v>
      </c>
      <c r="P524">
        <v>5</v>
      </c>
      <c r="Q524">
        <v>0</v>
      </c>
      <c r="R524">
        <v>5</v>
      </c>
      <c r="S524">
        <v>1</v>
      </c>
      <c r="T524" t="s">
        <v>62</v>
      </c>
      <c r="U524" t="s">
        <v>98</v>
      </c>
      <c r="V524" t="s">
        <v>62</v>
      </c>
      <c r="W524" t="s">
        <v>62</v>
      </c>
      <c r="X524">
        <v>0</v>
      </c>
      <c r="Y524">
        <v>0</v>
      </c>
      <c r="Z524">
        <v>12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9</v>
      </c>
      <c r="AK524">
        <v>0</v>
      </c>
      <c r="AL524">
        <v>5</v>
      </c>
      <c r="AM524">
        <v>2</v>
      </c>
      <c r="AN524">
        <v>49</v>
      </c>
      <c r="AO524">
        <v>8</v>
      </c>
      <c r="AP524">
        <v>15</v>
      </c>
      <c r="AQ524">
        <v>4</v>
      </c>
      <c r="AR524" t="s">
        <v>5579</v>
      </c>
      <c r="AS524" t="s">
        <v>5580</v>
      </c>
      <c r="AT524">
        <v>1.0840000000000001</v>
      </c>
      <c r="AU524" t="s">
        <v>65</v>
      </c>
      <c r="AV524">
        <v>64</v>
      </c>
      <c r="AW524">
        <v>12</v>
      </c>
      <c r="AX524" t="s">
        <v>5581</v>
      </c>
      <c r="AY524" t="s">
        <v>5582</v>
      </c>
      <c r="AZ524" t="s">
        <v>5583</v>
      </c>
      <c r="BA524">
        <v>5.6820000000000002E-2</v>
      </c>
      <c r="BB524">
        <v>1</v>
      </c>
      <c r="BC524" t="s">
        <v>69</v>
      </c>
      <c r="BD524">
        <v>-0.32</v>
      </c>
      <c r="BE524">
        <v>-0.64900000000000002</v>
      </c>
    </row>
    <row r="525" spans="1:57">
      <c r="A525">
        <v>0</v>
      </c>
      <c r="B525">
        <v>0</v>
      </c>
      <c r="C525">
        <v>0</v>
      </c>
      <c r="D525">
        <v>3036</v>
      </c>
      <c r="E525" t="s">
        <v>4074</v>
      </c>
      <c r="F525" t="s">
        <v>5762</v>
      </c>
      <c r="G525" t="s">
        <v>62</v>
      </c>
      <c r="H525">
        <v>2987734</v>
      </c>
      <c r="I525">
        <v>2988708</v>
      </c>
      <c r="J525" t="s">
        <v>4075</v>
      </c>
      <c r="K525">
        <v>325</v>
      </c>
      <c r="L525" t="s">
        <v>59</v>
      </c>
      <c r="M525">
        <v>5</v>
      </c>
      <c r="N525" t="str">
        <f>HYPERLINK("Gene3036-zp_tree_all.dnd", "Gene3036-tree")</f>
        <v>Gene3036-tree</v>
      </c>
      <c r="O525">
        <v>2</v>
      </c>
      <c r="P525">
        <v>3</v>
      </c>
      <c r="Q525">
        <v>2</v>
      </c>
      <c r="R525">
        <v>3</v>
      </c>
      <c r="S525">
        <v>0.6</v>
      </c>
      <c r="T525" t="s">
        <v>135</v>
      </c>
      <c r="U525" t="s">
        <v>84</v>
      </c>
      <c r="V525" t="s">
        <v>62</v>
      </c>
      <c r="W525" t="s">
        <v>62</v>
      </c>
      <c r="X525">
        <v>0</v>
      </c>
      <c r="Y525">
        <v>0</v>
      </c>
      <c r="Z525">
        <v>6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5</v>
      </c>
      <c r="AK525">
        <v>0</v>
      </c>
      <c r="AL525">
        <v>5</v>
      </c>
      <c r="AM525">
        <v>2</v>
      </c>
      <c r="AN525">
        <v>21</v>
      </c>
      <c r="AO525">
        <v>5</v>
      </c>
      <c r="AP525">
        <v>25</v>
      </c>
      <c r="AQ525">
        <v>1</v>
      </c>
      <c r="AR525" t="s">
        <v>4076</v>
      </c>
      <c r="AS525" t="s">
        <v>4077</v>
      </c>
      <c r="AT525">
        <v>1.0980000000000001</v>
      </c>
      <c r="AU525" t="s">
        <v>65</v>
      </c>
      <c r="AV525">
        <v>46</v>
      </c>
      <c r="AW525">
        <v>6</v>
      </c>
      <c r="AX525" t="s">
        <v>4078</v>
      </c>
      <c r="AY525" t="s">
        <v>4079</v>
      </c>
      <c r="AZ525" t="s">
        <v>4080</v>
      </c>
      <c r="BA525">
        <v>3.0519999999999999E-2</v>
      </c>
      <c r="BB525">
        <v>1</v>
      </c>
      <c r="BC525" t="s">
        <v>69</v>
      </c>
      <c r="BD525">
        <v>0.503</v>
      </c>
      <c r="BE525">
        <v>0.189</v>
      </c>
    </row>
    <row r="526" spans="1:57">
      <c r="A526">
        <v>0</v>
      </c>
      <c r="B526">
        <v>0</v>
      </c>
      <c r="C526">
        <v>0</v>
      </c>
      <c r="D526">
        <v>1518</v>
      </c>
      <c r="E526" t="s">
        <v>2019</v>
      </c>
      <c r="F526" t="s">
        <v>5762</v>
      </c>
      <c r="G526" t="s">
        <v>57</v>
      </c>
      <c r="H526">
        <v>1529445</v>
      </c>
      <c r="I526">
        <v>1530419</v>
      </c>
      <c r="J526" t="s">
        <v>2020</v>
      </c>
      <c r="K526">
        <v>325</v>
      </c>
      <c r="L526" t="s">
        <v>59</v>
      </c>
      <c r="M526">
        <v>5</v>
      </c>
      <c r="N526" t="str">
        <f>HYPERLINK("Gene1518-zp_tree_all.dnd", "Gene1518-tree")</f>
        <v>Gene1518-tree</v>
      </c>
      <c r="O526">
        <v>3</v>
      </c>
      <c r="P526">
        <v>2</v>
      </c>
      <c r="Q526">
        <v>3</v>
      </c>
      <c r="R526">
        <v>2</v>
      </c>
      <c r="S526">
        <v>0.4</v>
      </c>
      <c r="T526" t="s">
        <v>84</v>
      </c>
      <c r="U526" t="s">
        <v>135</v>
      </c>
      <c r="V526" t="s">
        <v>62</v>
      </c>
      <c r="W526" t="s">
        <v>62</v>
      </c>
      <c r="X526">
        <v>0</v>
      </c>
      <c r="Y526">
        <v>0</v>
      </c>
      <c r="Z526">
        <v>2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2</v>
      </c>
      <c r="AK526">
        <v>0</v>
      </c>
      <c r="AL526">
        <v>5</v>
      </c>
      <c r="AM526">
        <v>2</v>
      </c>
      <c r="AN526">
        <v>19</v>
      </c>
      <c r="AO526">
        <v>2</v>
      </c>
      <c r="AP526">
        <v>23</v>
      </c>
      <c r="AQ526">
        <v>0</v>
      </c>
      <c r="AR526" t="s">
        <v>2021</v>
      </c>
      <c r="AS526" t="s">
        <v>64</v>
      </c>
      <c r="AT526">
        <v>1.1910000000000001</v>
      </c>
      <c r="AU526" t="s">
        <v>65</v>
      </c>
      <c r="AV526">
        <v>42</v>
      </c>
      <c r="AW526">
        <v>2</v>
      </c>
      <c r="AX526" t="s">
        <v>2022</v>
      </c>
      <c r="AY526" t="s">
        <v>2023</v>
      </c>
      <c r="AZ526" t="s">
        <v>2024</v>
      </c>
      <c r="BA526">
        <v>1.128E-2</v>
      </c>
      <c r="BB526">
        <v>1</v>
      </c>
      <c r="BC526" t="s">
        <v>69</v>
      </c>
      <c r="BD526">
        <v>0.65800000000000003</v>
      </c>
      <c r="BE526">
        <v>0.122</v>
      </c>
    </row>
    <row r="527" spans="1:57">
      <c r="A527">
        <v>0</v>
      </c>
      <c r="B527">
        <v>2</v>
      </c>
      <c r="C527">
        <v>0</v>
      </c>
      <c r="D527">
        <v>3380</v>
      </c>
      <c r="E527" t="s">
        <v>4604</v>
      </c>
      <c r="F527" t="s">
        <v>5762</v>
      </c>
      <c r="G527" t="s">
        <v>62</v>
      </c>
      <c r="H527">
        <v>3351113</v>
      </c>
      <c r="I527">
        <v>3352096</v>
      </c>
      <c r="J527" t="s">
        <v>4605</v>
      </c>
      <c r="K527">
        <v>328</v>
      </c>
      <c r="L527" t="s">
        <v>59</v>
      </c>
      <c r="M527">
        <v>5</v>
      </c>
      <c r="N527" t="str">
        <f>HYPERLINK("Gene3380-zp_tree_all.dnd", "Gene3380-tree")</f>
        <v>Gene3380-tree</v>
      </c>
      <c r="O527">
        <v>2</v>
      </c>
      <c r="P527">
        <v>3</v>
      </c>
      <c r="Q527">
        <v>2</v>
      </c>
      <c r="R527">
        <v>3</v>
      </c>
      <c r="S527">
        <v>0.6</v>
      </c>
      <c r="T527" t="s">
        <v>135</v>
      </c>
      <c r="U527" t="s">
        <v>84</v>
      </c>
      <c r="V527" t="s">
        <v>62</v>
      </c>
      <c r="W527" t="s">
        <v>62</v>
      </c>
      <c r="X527">
        <v>1</v>
      </c>
      <c r="Y527">
        <v>2</v>
      </c>
      <c r="Z527">
        <v>8</v>
      </c>
      <c r="AA527">
        <v>0.2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5</v>
      </c>
      <c r="AK527">
        <v>0</v>
      </c>
      <c r="AL527">
        <v>5</v>
      </c>
      <c r="AM527">
        <v>2</v>
      </c>
      <c r="AN527">
        <v>14</v>
      </c>
      <c r="AO527">
        <v>5</v>
      </c>
      <c r="AP527">
        <v>28</v>
      </c>
      <c r="AQ527">
        <v>5</v>
      </c>
      <c r="AR527" t="s">
        <v>4606</v>
      </c>
      <c r="AS527" t="s">
        <v>4607</v>
      </c>
      <c r="AT527">
        <v>1.0329999999999999</v>
      </c>
      <c r="AU527" t="s">
        <v>65</v>
      </c>
      <c r="AV527">
        <v>42</v>
      </c>
      <c r="AW527">
        <v>10</v>
      </c>
      <c r="AX527" t="s">
        <v>4608</v>
      </c>
      <c r="AY527" t="s">
        <v>4609</v>
      </c>
      <c r="AZ527" t="s">
        <v>4610</v>
      </c>
      <c r="BA527">
        <v>5.8110000000000002E-2</v>
      </c>
      <c r="BB527">
        <v>1</v>
      </c>
      <c r="BC527" t="s">
        <v>69</v>
      </c>
      <c r="BD527">
        <v>0.86</v>
      </c>
      <c r="BE527">
        <v>0.86</v>
      </c>
    </row>
    <row r="528" spans="1:57">
      <c r="A528">
        <v>0</v>
      </c>
      <c r="B528">
        <v>0</v>
      </c>
      <c r="C528">
        <v>0</v>
      </c>
      <c r="D528">
        <v>1172</v>
      </c>
      <c r="E528" t="s">
        <v>1624</v>
      </c>
      <c r="F528" t="s">
        <v>5762</v>
      </c>
      <c r="G528" t="s">
        <v>57</v>
      </c>
      <c r="H528">
        <v>1211477</v>
      </c>
      <c r="I528">
        <v>1212460</v>
      </c>
      <c r="J528" t="s">
        <v>1625</v>
      </c>
      <c r="K528">
        <v>328</v>
      </c>
      <c r="L528" t="s">
        <v>59</v>
      </c>
      <c r="M528">
        <v>5</v>
      </c>
      <c r="N528" t="str">
        <f>HYPERLINK("Gene1172-zp_tree_all.dnd", "Gene1172-tree")</f>
        <v>Gene1172-tree</v>
      </c>
      <c r="O528">
        <v>3</v>
      </c>
      <c r="P528">
        <v>2</v>
      </c>
      <c r="Q528">
        <v>2</v>
      </c>
      <c r="R528">
        <v>2</v>
      </c>
      <c r="S528">
        <v>0.5</v>
      </c>
      <c r="T528" t="s">
        <v>217</v>
      </c>
      <c r="U528" t="s">
        <v>135</v>
      </c>
      <c r="V528" t="s">
        <v>62</v>
      </c>
      <c r="W528" t="s">
        <v>62</v>
      </c>
      <c r="X528">
        <v>0</v>
      </c>
      <c r="Y528">
        <v>0</v>
      </c>
      <c r="Z528">
        <v>5</v>
      </c>
      <c r="AA528">
        <v>0</v>
      </c>
      <c r="AB528">
        <v>0</v>
      </c>
      <c r="AC528">
        <v>0</v>
      </c>
      <c r="AD528">
        <v>0</v>
      </c>
      <c r="AE528">
        <v>1</v>
      </c>
      <c r="AF528">
        <v>0</v>
      </c>
      <c r="AG528">
        <v>0</v>
      </c>
      <c r="AH528">
        <v>0</v>
      </c>
      <c r="AI528">
        <v>0</v>
      </c>
      <c r="AJ528">
        <v>4</v>
      </c>
      <c r="AK528">
        <v>0</v>
      </c>
      <c r="AL528">
        <v>4</v>
      </c>
      <c r="AM528">
        <v>1</v>
      </c>
      <c r="AN528">
        <v>26</v>
      </c>
      <c r="AO528">
        <v>4</v>
      </c>
      <c r="AP528">
        <v>31</v>
      </c>
      <c r="AQ528">
        <v>2</v>
      </c>
      <c r="AR528" t="s">
        <v>1626</v>
      </c>
      <c r="AS528" t="s">
        <v>1627</v>
      </c>
      <c r="AT528">
        <v>0.93300000000000005</v>
      </c>
      <c r="AU528" t="s">
        <v>65</v>
      </c>
      <c r="AV528">
        <v>57</v>
      </c>
      <c r="AW528">
        <v>6</v>
      </c>
      <c r="AX528" t="s">
        <v>1628</v>
      </c>
      <c r="AY528" t="s">
        <v>1629</v>
      </c>
      <c r="AZ528" t="s">
        <v>1630</v>
      </c>
      <c r="BA528">
        <v>2.5780000000000001E-2</v>
      </c>
      <c r="BB528">
        <v>1</v>
      </c>
      <c r="BC528" t="s">
        <v>69</v>
      </c>
      <c r="BD528">
        <v>0.625</v>
      </c>
      <c r="BE528">
        <v>0.496</v>
      </c>
    </row>
    <row r="529" spans="1:57">
      <c r="A529">
        <v>0</v>
      </c>
      <c r="B529">
        <v>0</v>
      </c>
      <c r="C529">
        <v>4</v>
      </c>
      <c r="D529">
        <v>1091</v>
      </c>
      <c r="E529" t="s">
        <v>1573</v>
      </c>
      <c r="F529" t="s">
        <v>5762</v>
      </c>
      <c r="G529" t="s">
        <v>57</v>
      </c>
      <c r="H529">
        <v>1129715</v>
      </c>
      <c r="I529">
        <v>1130701</v>
      </c>
      <c r="J529" t="s">
        <v>1574</v>
      </c>
      <c r="K529">
        <v>329</v>
      </c>
      <c r="L529" t="s">
        <v>59</v>
      </c>
      <c r="M529">
        <v>5</v>
      </c>
      <c r="N529" t="str">
        <f>HYPERLINK("Gene1091-zp_tree_all.dnd", "Gene1091-tree")</f>
        <v>Gene1091-tree</v>
      </c>
      <c r="O529">
        <v>1</v>
      </c>
      <c r="P529">
        <v>4</v>
      </c>
      <c r="Q529">
        <v>1</v>
      </c>
      <c r="R529">
        <v>4</v>
      </c>
      <c r="S529">
        <v>0.8</v>
      </c>
      <c r="T529" t="s">
        <v>61</v>
      </c>
      <c r="U529" t="s">
        <v>60</v>
      </c>
      <c r="V529" t="s">
        <v>62</v>
      </c>
      <c r="W529" t="s">
        <v>62</v>
      </c>
      <c r="X529">
        <v>2</v>
      </c>
      <c r="Y529">
        <v>4</v>
      </c>
      <c r="Z529">
        <v>17</v>
      </c>
      <c r="AA529">
        <v>0.19048000000000001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14</v>
      </c>
      <c r="AK529">
        <v>0</v>
      </c>
      <c r="AL529">
        <v>5</v>
      </c>
      <c r="AM529">
        <v>2</v>
      </c>
      <c r="AN529">
        <v>34</v>
      </c>
      <c r="AO529">
        <v>15</v>
      </c>
      <c r="AP529">
        <v>15</v>
      </c>
      <c r="AQ529">
        <v>7</v>
      </c>
      <c r="AR529" t="s">
        <v>1575</v>
      </c>
      <c r="AS529" t="s">
        <v>1576</v>
      </c>
      <c r="AT529">
        <v>7.3999999999999996E-2</v>
      </c>
      <c r="AU529" t="s">
        <v>65</v>
      </c>
      <c r="AV529">
        <v>49</v>
      </c>
      <c r="AW529">
        <v>22</v>
      </c>
      <c r="AX529" t="s">
        <v>1577</v>
      </c>
      <c r="AY529" t="s">
        <v>1578</v>
      </c>
      <c r="AZ529" t="s">
        <v>1579</v>
      </c>
      <c r="BA529">
        <v>0.12003</v>
      </c>
      <c r="BB529">
        <v>1</v>
      </c>
      <c r="BC529" t="s">
        <v>69</v>
      </c>
      <c r="BD529">
        <v>-0.14899999999999999</v>
      </c>
      <c r="BE529">
        <v>-0.14899999999999999</v>
      </c>
    </row>
    <row r="530" spans="1:57">
      <c r="A530">
        <v>0</v>
      </c>
      <c r="B530">
        <v>0</v>
      </c>
      <c r="C530">
        <v>0</v>
      </c>
      <c r="D530">
        <v>31</v>
      </c>
      <c r="E530" t="s">
        <v>133</v>
      </c>
      <c r="F530" t="s">
        <v>5762</v>
      </c>
      <c r="G530" t="s">
        <v>57</v>
      </c>
      <c r="H530">
        <v>40665</v>
      </c>
      <c r="I530">
        <v>41651</v>
      </c>
      <c r="J530" t="s">
        <v>134</v>
      </c>
      <c r="K530">
        <v>329</v>
      </c>
      <c r="L530" t="s">
        <v>59</v>
      </c>
      <c r="M530">
        <v>5</v>
      </c>
      <c r="N530" t="str">
        <f>HYPERLINK("Gene31-zp_tree_all.dnd", "Gene31-tree")</f>
        <v>Gene31-tree</v>
      </c>
      <c r="O530">
        <v>3</v>
      </c>
      <c r="P530">
        <v>2</v>
      </c>
      <c r="Q530">
        <v>3</v>
      </c>
      <c r="R530">
        <v>2</v>
      </c>
      <c r="S530">
        <v>0.4</v>
      </c>
      <c r="T530" t="s">
        <v>84</v>
      </c>
      <c r="U530" t="s">
        <v>135</v>
      </c>
      <c r="V530" t="s">
        <v>62</v>
      </c>
      <c r="W530" t="s">
        <v>62</v>
      </c>
      <c r="X530">
        <v>0</v>
      </c>
      <c r="Y530">
        <v>0</v>
      </c>
      <c r="Z530">
        <v>4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2</v>
      </c>
      <c r="AK530">
        <v>0</v>
      </c>
      <c r="AL530">
        <v>5</v>
      </c>
      <c r="AM530">
        <v>2</v>
      </c>
      <c r="AN530">
        <v>21</v>
      </c>
      <c r="AO530">
        <v>2</v>
      </c>
      <c r="AP530">
        <v>14</v>
      </c>
      <c r="AQ530">
        <v>2</v>
      </c>
      <c r="AR530" t="s">
        <v>136</v>
      </c>
      <c r="AS530" t="s">
        <v>137</v>
      </c>
      <c r="AT530">
        <v>0.28599999999999998</v>
      </c>
      <c r="AU530" t="s">
        <v>65</v>
      </c>
      <c r="AV530">
        <v>35</v>
      </c>
      <c r="AW530">
        <v>4</v>
      </c>
      <c r="AX530" t="s">
        <v>138</v>
      </c>
      <c r="AY530" t="s">
        <v>139</v>
      </c>
      <c r="AZ530" t="s">
        <v>140</v>
      </c>
      <c r="BA530">
        <v>3.032E-2</v>
      </c>
      <c r="BB530">
        <v>1</v>
      </c>
      <c r="BC530" t="s">
        <v>69</v>
      </c>
      <c r="BD530">
        <v>0.22800000000000001</v>
      </c>
      <c r="BE530">
        <v>1.7000000000000001E-2</v>
      </c>
    </row>
    <row r="531" spans="1:57">
      <c r="A531">
        <v>0</v>
      </c>
      <c r="B531">
        <v>0</v>
      </c>
      <c r="C531">
        <v>0</v>
      </c>
      <c r="D531">
        <v>2457</v>
      </c>
      <c r="E531" t="s">
        <v>3232</v>
      </c>
      <c r="F531" t="s">
        <v>5762</v>
      </c>
      <c r="G531" t="s">
        <v>62</v>
      </c>
      <c r="H531">
        <v>2455822</v>
      </c>
      <c r="I531">
        <v>2456808</v>
      </c>
      <c r="J531" t="s">
        <v>3233</v>
      </c>
      <c r="K531">
        <v>329</v>
      </c>
      <c r="L531" t="s">
        <v>59</v>
      </c>
      <c r="M531">
        <v>5</v>
      </c>
      <c r="N531" t="str">
        <f>HYPERLINK("Gene2457-zp_tree_all.dnd", "Gene2457-tree")</f>
        <v>Gene2457-tree</v>
      </c>
      <c r="O531">
        <v>3</v>
      </c>
      <c r="P531">
        <v>2</v>
      </c>
      <c r="Q531">
        <v>3</v>
      </c>
      <c r="R531">
        <v>2</v>
      </c>
      <c r="S531">
        <v>0.4</v>
      </c>
      <c r="T531" t="s">
        <v>84</v>
      </c>
      <c r="U531" t="s">
        <v>135</v>
      </c>
      <c r="V531" t="s">
        <v>62</v>
      </c>
      <c r="W531" t="s">
        <v>62</v>
      </c>
      <c r="X531">
        <v>0</v>
      </c>
      <c r="Y531">
        <v>0</v>
      </c>
      <c r="Z531">
        <v>3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2</v>
      </c>
      <c r="AK531">
        <v>0</v>
      </c>
      <c r="AL531">
        <v>5</v>
      </c>
      <c r="AM531">
        <v>2</v>
      </c>
      <c r="AN531">
        <v>31</v>
      </c>
      <c r="AO531">
        <v>2</v>
      </c>
      <c r="AP531">
        <v>26</v>
      </c>
      <c r="AQ531">
        <v>1</v>
      </c>
      <c r="AR531" t="s">
        <v>3234</v>
      </c>
      <c r="AS531" t="s">
        <v>3235</v>
      </c>
      <c r="AT531">
        <v>0.371</v>
      </c>
      <c r="AU531" t="s">
        <v>65</v>
      </c>
      <c r="AV531">
        <v>57</v>
      </c>
      <c r="AW531">
        <v>3</v>
      </c>
      <c r="AX531" t="s">
        <v>3236</v>
      </c>
      <c r="AY531" t="s">
        <v>3237</v>
      </c>
      <c r="AZ531" t="s">
        <v>3238</v>
      </c>
      <c r="BA531">
        <v>1.4149999999999999E-2</v>
      </c>
      <c r="BB531">
        <v>1</v>
      </c>
      <c r="BC531" t="s">
        <v>69</v>
      </c>
      <c r="BD531">
        <v>0.51900000000000002</v>
      </c>
      <c r="BE531">
        <v>0.25600000000000001</v>
      </c>
    </row>
    <row r="532" spans="1:57">
      <c r="A532">
        <v>0</v>
      </c>
      <c r="B532">
        <v>0</v>
      </c>
      <c r="C532">
        <v>0</v>
      </c>
      <c r="D532">
        <v>1802</v>
      </c>
      <c r="E532" t="s">
        <v>2712</v>
      </c>
      <c r="F532" t="s">
        <v>5762</v>
      </c>
      <c r="G532" t="s">
        <v>57</v>
      </c>
      <c r="H532">
        <v>1871089</v>
      </c>
      <c r="I532">
        <v>1872075</v>
      </c>
      <c r="J532" t="s">
        <v>2713</v>
      </c>
      <c r="K532">
        <v>329</v>
      </c>
      <c r="L532" t="s">
        <v>83</v>
      </c>
      <c r="M532">
        <v>4</v>
      </c>
      <c r="N532" t="str">
        <f>HYPERLINK("Gene1802-zp_tree_all.dnd", "Gene1802-tree")</f>
        <v>Gene1802-tree</v>
      </c>
      <c r="O532">
        <v>3</v>
      </c>
      <c r="P532">
        <v>1</v>
      </c>
      <c r="Q532">
        <v>3</v>
      </c>
      <c r="R532">
        <v>1</v>
      </c>
      <c r="S532">
        <v>0.25</v>
      </c>
      <c r="T532" t="s">
        <v>84</v>
      </c>
      <c r="U532" t="s">
        <v>61</v>
      </c>
      <c r="V532" t="s">
        <v>62</v>
      </c>
      <c r="W532" t="s">
        <v>62</v>
      </c>
      <c r="X532">
        <v>0</v>
      </c>
      <c r="Y532">
        <v>0</v>
      </c>
      <c r="Z532">
        <v>3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3</v>
      </c>
      <c r="AK532">
        <v>0</v>
      </c>
      <c r="AL532">
        <v>4</v>
      </c>
      <c r="AM532">
        <v>1</v>
      </c>
      <c r="AN532">
        <v>56</v>
      </c>
      <c r="AO532">
        <v>3</v>
      </c>
      <c r="AP532">
        <v>3</v>
      </c>
      <c r="AQ532">
        <v>0</v>
      </c>
      <c r="AR532" t="s">
        <v>2714</v>
      </c>
      <c r="AS532" t="s">
        <v>64</v>
      </c>
      <c r="AT532">
        <v>0.50900000000000001</v>
      </c>
      <c r="AU532" t="s">
        <v>65</v>
      </c>
      <c r="AV532">
        <v>59</v>
      </c>
      <c r="AW532">
        <v>3</v>
      </c>
      <c r="AX532" t="s">
        <v>2715</v>
      </c>
      <c r="AY532" t="s">
        <v>2716</v>
      </c>
      <c r="AZ532" t="s">
        <v>2395</v>
      </c>
      <c r="BA532">
        <v>1.2160000000000001E-2</v>
      </c>
      <c r="BB532">
        <v>1</v>
      </c>
      <c r="BC532" t="s">
        <v>69</v>
      </c>
      <c r="BD532">
        <v>-0.54500000000000004</v>
      </c>
      <c r="BE532">
        <v>-0.70699999999999996</v>
      </c>
    </row>
    <row r="533" spans="1:57">
      <c r="A533">
        <v>0</v>
      </c>
      <c r="B533">
        <v>0</v>
      </c>
      <c r="C533">
        <v>0</v>
      </c>
      <c r="D533">
        <v>2507</v>
      </c>
      <c r="E533" t="s">
        <v>3284</v>
      </c>
      <c r="F533" t="s">
        <v>5762</v>
      </c>
      <c r="G533" t="s">
        <v>62</v>
      </c>
      <c r="H533">
        <v>2499093</v>
      </c>
      <c r="I533">
        <v>2500082</v>
      </c>
      <c r="J533" t="s">
        <v>3285</v>
      </c>
      <c r="K533">
        <v>330</v>
      </c>
      <c r="L533" t="s">
        <v>112</v>
      </c>
      <c r="M533">
        <v>4</v>
      </c>
      <c r="N533" t="str">
        <f>HYPERLINK("Gene2507-zp_tree_all.dnd", "Gene2507-tree")</f>
        <v>Gene2507-tree</v>
      </c>
      <c r="O533">
        <v>2</v>
      </c>
      <c r="P533">
        <v>2</v>
      </c>
      <c r="Q533">
        <v>2</v>
      </c>
      <c r="R533">
        <v>2</v>
      </c>
      <c r="S533">
        <v>0.5</v>
      </c>
      <c r="T533" t="s">
        <v>135</v>
      </c>
      <c r="U533" t="s">
        <v>135</v>
      </c>
      <c r="V533" t="s">
        <v>62</v>
      </c>
      <c r="W533" t="s">
        <v>62</v>
      </c>
      <c r="X533">
        <v>0</v>
      </c>
      <c r="Y533">
        <v>0</v>
      </c>
      <c r="Z533">
        <v>4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4</v>
      </c>
      <c r="AK533">
        <v>0</v>
      </c>
      <c r="AL533">
        <v>4</v>
      </c>
      <c r="AM533">
        <v>1</v>
      </c>
      <c r="AN533">
        <v>52</v>
      </c>
      <c r="AO533">
        <v>5</v>
      </c>
      <c r="AP533">
        <v>1</v>
      </c>
      <c r="AQ533">
        <v>0</v>
      </c>
      <c r="AR533" t="s">
        <v>3286</v>
      </c>
      <c r="AS533" t="s">
        <v>64</v>
      </c>
      <c r="AT533">
        <v>0.59099999999999997</v>
      </c>
      <c r="AU533" t="s">
        <v>65</v>
      </c>
      <c r="AV533">
        <v>53</v>
      </c>
      <c r="AW533">
        <v>5</v>
      </c>
      <c r="AX533" t="s">
        <v>3287</v>
      </c>
      <c r="AY533" t="s">
        <v>3288</v>
      </c>
      <c r="AZ533" t="s">
        <v>3289</v>
      </c>
      <c r="BA533">
        <v>2.6339999999999999E-2</v>
      </c>
      <c r="BB533">
        <v>1</v>
      </c>
      <c r="BC533" t="s">
        <v>69</v>
      </c>
      <c r="BD533">
        <v>-0.45500000000000002</v>
      </c>
      <c r="BE533">
        <v>-0.80900000000000005</v>
      </c>
    </row>
    <row r="534" spans="1:57">
      <c r="A534">
        <v>0</v>
      </c>
      <c r="B534">
        <v>0</v>
      </c>
      <c r="C534">
        <v>2</v>
      </c>
      <c r="D534">
        <v>692</v>
      </c>
      <c r="E534" t="s">
        <v>1145</v>
      </c>
      <c r="F534" t="s">
        <v>5762</v>
      </c>
      <c r="G534" t="s">
        <v>57</v>
      </c>
      <c r="H534">
        <v>715433</v>
      </c>
      <c r="I534">
        <v>716425</v>
      </c>
      <c r="J534" t="s">
        <v>1146</v>
      </c>
      <c r="K534">
        <v>331</v>
      </c>
      <c r="L534" t="s">
        <v>83</v>
      </c>
      <c r="M534">
        <v>4</v>
      </c>
      <c r="N534" t="str">
        <f>HYPERLINK("Gene692-zp_tree_all.dnd", "Gene692-tree")</f>
        <v>Gene692-tree</v>
      </c>
      <c r="O534">
        <v>2</v>
      </c>
      <c r="P534">
        <v>2</v>
      </c>
      <c r="Q534">
        <v>2</v>
      </c>
      <c r="R534">
        <v>2</v>
      </c>
      <c r="S534">
        <v>0.5</v>
      </c>
      <c r="T534" t="s">
        <v>135</v>
      </c>
      <c r="U534" t="s">
        <v>135</v>
      </c>
      <c r="V534" t="s">
        <v>62</v>
      </c>
      <c r="W534" t="s">
        <v>62</v>
      </c>
      <c r="X534">
        <v>1</v>
      </c>
      <c r="Y534">
        <v>2</v>
      </c>
      <c r="Z534">
        <v>14</v>
      </c>
      <c r="AA534">
        <v>0.125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2</v>
      </c>
      <c r="AI534">
        <v>2</v>
      </c>
      <c r="AJ534">
        <v>9</v>
      </c>
      <c r="AK534">
        <v>0.18182000000000001</v>
      </c>
      <c r="AL534">
        <v>4</v>
      </c>
      <c r="AM534">
        <v>1</v>
      </c>
      <c r="AN534">
        <v>33</v>
      </c>
      <c r="AO534">
        <v>11</v>
      </c>
      <c r="AP534">
        <v>3</v>
      </c>
      <c r="AQ534">
        <v>5</v>
      </c>
      <c r="AR534" t="s">
        <v>1147</v>
      </c>
      <c r="AS534" t="s">
        <v>1148</v>
      </c>
      <c r="AT534">
        <v>2.6080000000000001</v>
      </c>
      <c r="AU534" t="s">
        <v>65</v>
      </c>
      <c r="AV534">
        <v>36</v>
      </c>
      <c r="AW534">
        <v>16</v>
      </c>
      <c r="AX534" t="s">
        <v>1149</v>
      </c>
      <c r="AY534" t="s">
        <v>1150</v>
      </c>
      <c r="AZ534" t="s">
        <v>1151</v>
      </c>
      <c r="BA534">
        <v>0.14030999999999999</v>
      </c>
      <c r="BB534">
        <v>1</v>
      </c>
      <c r="BC534" t="s">
        <v>69</v>
      </c>
      <c r="BD534">
        <v>-0.153</v>
      </c>
      <c r="BE534">
        <v>-0.54300000000000004</v>
      </c>
    </row>
    <row r="535" spans="1:57">
      <c r="A535">
        <v>0</v>
      </c>
      <c r="B535">
        <v>0</v>
      </c>
      <c r="C535">
        <v>0</v>
      </c>
      <c r="D535">
        <v>1693</v>
      </c>
      <c r="E535" t="s">
        <v>2489</v>
      </c>
      <c r="F535" t="s">
        <v>5762</v>
      </c>
      <c r="G535" t="s">
        <v>57</v>
      </c>
      <c r="H535">
        <v>1701684</v>
      </c>
      <c r="I535">
        <v>1702679</v>
      </c>
      <c r="J535" t="s">
        <v>2469</v>
      </c>
      <c r="K535">
        <v>332</v>
      </c>
      <c r="L535" t="s">
        <v>59</v>
      </c>
      <c r="M535">
        <v>5</v>
      </c>
      <c r="N535" t="str">
        <f>HYPERLINK("Gene1693-zp_tree_all.dnd", "Gene1693-tree")</f>
        <v>Gene1693-tree</v>
      </c>
      <c r="O535">
        <v>5</v>
      </c>
      <c r="P535">
        <v>0</v>
      </c>
      <c r="Q535">
        <v>5</v>
      </c>
      <c r="R535">
        <v>0</v>
      </c>
      <c r="S535">
        <v>0</v>
      </c>
      <c r="T535" t="s">
        <v>98</v>
      </c>
      <c r="U535" t="s">
        <v>62</v>
      </c>
      <c r="V535" t="s">
        <v>62</v>
      </c>
      <c r="W535" t="s">
        <v>62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5</v>
      </c>
      <c r="AM535">
        <v>2</v>
      </c>
      <c r="AN535">
        <v>26</v>
      </c>
      <c r="AO535">
        <v>0</v>
      </c>
      <c r="AP535">
        <v>34</v>
      </c>
      <c r="AQ535">
        <v>0</v>
      </c>
      <c r="AR535" t="s">
        <v>64</v>
      </c>
      <c r="AS535" t="s">
        <v>64</v>
      </c>
      <c r="AT535">
        <v>0</v>
      </c>
      <c r="AU535" t="s">
        <v>65</v>
      </c>
      <c r="AV535">
        <v>60</v>
      </c>
      <c r="AW535">
        <v>0</v>
      </c>
      <c r="AX535" t="s">
        <v>2490</v>
      </c>
      <c r="AY535" t="s">
        <v>2491</v>
      </c>
      <c r="AZ535" t="s">
        <v>64</v>
      </c>
      <c r="BA535">
        <v>0</v>
      </c>
      <c r="BB535">
        <v>1</v>
      </c>
      <c r="BC535" t="s">
        <v>69</v>
      </c>
      <c r="BD535">
        <v>0.66800000000000004</v>
      </c>
      <c r="BE535">
        <v>0.42399999999999999</v>
      </c>
    </row>
    <row r="536" spans="1:57">
      <c r="A536">
        <v>0</v>
      </c>
      <c r="B536">
        <v>0</v>
      </c>
      <c r="C536">
        <v>0</v>
      </c>
      <c r="D536">
        <v>1650</v>
      </c>
      <c r="E536" t="s">
        <v>2375</v>
      </c>
      <c r="F536" t="s">
        <v>5762</v>
      </c>
      <c r="G536" t="s">
        <v>57</v>
      </c>
      <c r="H536">
        <v>1662547</v>
      </c>
      <c r="I536">
        <v>1663545</v>
      </c>
      <c r="J536" t="s">
        <v>2376</v>
      </c>
      <c r="K536">
        <v>333</v>
      </c>
      <c r="L536" t="s">
        <v>59</v>
      </c>
      <c r="M536">
        <v>5</v>
      </c>
      <c r="N536" t="str">
        <f>HYPERLINK("Gene1650-zp_tree_all.dnd", "Gene1650-tree")</f>
        <v>Gene1650-tree</v>
      </c>
      <c r="O536">
        <v>3</v>
      </c>
      <c r="P536">
        <v>2</v>
      </c>
      <c r="Q536">
        <v>3</v>
      </c>
      <c r="R536">
        <v>2</v>
      </c>
      <c r="S536">
        <v>0.4</v>
      </c>
      <c r="T536" t="s">
        <v>84</v>
      </c>
      <c r="U536" t="s">
        <v>135</v>
      </c>
      <c r="V536" t="s">
        <v>62</v>
      </c>
      <c r="W536" t="s">
        <v>62</v>
      </c>
      <c r="X536">
        <v>0</v>
      </c>
      <c r="Y536">
        <v>0</v>
      </c>
      <c r="Z536">
        <v>6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3</v>
      </c>
      <c r="AK536">
        <v>0</v>
      </c>
      <c r="AL536">
        <v>5</v>
      </c>
      <c r="AM536">
        <v>2</v>
      </c>
      <c r="AN536">
        <v>21</v>
      </c>
      <c r="AO536">
        <v>3</v>
      </c>
      <c r="AP536">
        <v>28</v>
      </c>
      <c r="AQ536">
        <v>4</v>
      </c>
      <c r="AR536" t="s">
        <v>2377</v>
      </c>
      <c r="AS536" t="s">
        <v>2378</v>
      </c>
      <c r="AT536">
        <v>3.6999999999999998E-2</v>
      </c>
      <c r="AU536" t="s">
        <v>65</v>
      </c>
      <c r="AV536">
        <v>49</v>
      </c>
      <c r="AW536">
        <v>7</v>
      </c>
      <c r="AX536" t="s">
        <v>2379</v>
      </c>
      <c r="AY536" t="s">
        <v>2380</v>
      </c>
      <c r="AZ536" t="s">
        <v>2381</v>
      </c>
      <c r="BA536">
        <v>4.1860000000000001E-2</v>
      </c>
      <c r="BB536">
        <v>1</v>
      </c>
      <c r="BC536" t="s">
        <v>69</v>
      </c>
      <c r="BD536">
        <v>0.63500000000000001</v>
      </c>
      <c r="BE536">
        <v>0.49</v>
      </c>
    </row>
    <row r="537" spans="1:57">
      <c r="A537">
        <v>0</v>
      </c>
      <c r="B537">
        <v>0</v>
      </c>
      <c r="C537">
        <v>0</v>
      </c>
      <c r="D537">
        <v>81</v>
      </c>
      <c r="E537" t="s">
        <v>296</v>
      </c>
      <c r="F537" t="s">
        <v>5762</v>
      </c>
      <c r="G537" t="s">
        <v>57</v>
      </c>
      <c r="H537">
        <v>87634</v>
      </c>
      <c r="I537">
        <v>88632</v>
      </c>
      <c r="J537" t="s">
        <v>297</v>
      </c>
      <c r="K537">
        <v>333</v>
      </c>
      <c r="L537" t="s">
        <v>83</v>
      </c>
      <c r="M537">
        <v>4</v>
      </c>
      <c r="N537" t="str">
        <f>HYPERLINK("Gene81-zp_tree_all.dnd", "Gene81-tree")</f>
        <v>Gene81-tree</v>
      </c>
      <c r="O537">
        <v>2</v>
      </c>
      <c r="P537">
        <v>2</v>
      </c>
      <c r="Q537">
        <v>2</v>
      </c>
      <c r="R537">
        <v>2</v>
      </c>
      <c r="S537">
        <v>0.5</v>
      </c>
      <c r="T537" t="s">
        <v>135</v>
      </c>
      <c r="U537" t="s">
        <v>135</v>
      </c>
      <c r="V537" t="s">
        <v>62</v>
      </c>
      <c r="W537" t="s">
        <v>62</v>
      </c>
      <c r="X537">
        <v>0</v>
      </c>
      <c r="Y537">
        <v>0</v>
      </c>
      <c r="Z537">
        <v>5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5</v>
      </c>
      <c r="AK537">
        <v>0</v>
      </c>
      <c r="AL537">
        <v>3</v>
      </c>
      <c r="AM537">
        <v>1</v>
      </c>
      <c r="AN537">
        <v>41</v>
      </c>
      <c r="AO537">
        <v>5</v>
      </c>
      <c r="AP537">
        <v>1</v>
      </c>
      <c r="AQ537">
        <v>0</v>
      </c>
      <c r="AR537" t="s">
        <v>298</v>
      </c>
      <c r="AS537" t="s">
        <v>64</v>
      </c>
      <c r="AT537">
        <v>0.67900000000000005</v>
      </c>
      <c r="AU537" t="s">
        <v>65</v>
      </c>
      <c r="AV537">
        <v>42</v>
      </c>
      <c r="AW537">
        <v>5</v>
      </c>
      <c r="AX537" t="s">
        <v>299</v>
      </c>
      <c r="AY537" t="s">
        <v>300</v>
      </c>
      <c r="AZ537" t="s">
        <v>301</v>
      </c>
      <c r="BA537">
        <v>2.9819999999999999E-2</v>
      </c>
      <c r="BB537">
        <v>1</v>
      </c>
      <c r="BC537" t="s">
        <v>69</v>
      </c>
      <c r="BD537">
        <v>-0.79900000000000004</v>
      </c>
      <c r="BE537">
        <v>-0.79900000000000004</v>
      </c>
    </row>
    <row r="538" spans="1:57">
      <c r="A538">
        <v>0</v>
      </c>
      <c r="B538">
        <v>0</v>
      </c>
      <c r="C538">
        <v>0</v>
      </c>
      <c r="D538">
        <v>3774</v>
      </c>
      <c r="E538" t="s">
        <v>5057</v>
      </c>
      <c r="F538" t="s">
        <v>5762</v>
      </c>
      <c r="G538" t="s">
        <v>62</v>
      </c>
      <c r="H538">
        <v>3747257</v>
      </c>
      <c r="I538">
        <v>3748255</v>
      </c>
      <c r="J538" t="s">
        <v>5058</v>
      </c>
      <c r="K538">
        <v>333</v>
      </c>
      <c r="L538" t="s">
        <v>59</v>
      </c>
      <c r="M538">
        <v>5</v>
      </c>
      <c r="N538" t="str">
        <f>HYPERLINK("Gene3774-zp_tree_all.dnd", "Gene3774-tree")</f>
        <v>Gene3774-tree</v>
      </c>
      <c r="O538">
        <v>3</v>
      </c>
      <c r="P538">
        <v>2</v>
      </c>
      <c r="Q538">
        <v>3</v>
      </c>
      <c r="R538">
        <v>2</v>
      </c>
      <c r="S538">
        <v>0.4</v>
      </c>
      <c r="T538" t="s">
        <v>84</v>
      </c>
      <c r="U538" t="s">
        <v>135</v>
      </c>
      <c r="V538" t="s">
        <v>62</v>
      </c>
      <c r="W538" t="s">
        <v>62</v>
      </c>
      <c r="X538">
        <v>0</v>
      </c>
      <c r="Y538">
        <v>0</v>
      </c>
      <c r="Z538">
        <v>3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3</v>
      </c>
      <c r="AK538">
        <v>0</v>
      </c>
      <c r="AL538">
        <v>5</v>
      </c>
      <c r="AM538">
        <v>2</v>
      </c>
      <c r="AN538">
        <v>35</v>
      </c>
      <c r="AO538">
        <v>3</v>
      </c>
      <c r="AP538">
        <v>13</v>
      </c>
      <c r="AQ538">
        <v>0</v>
      </c>
      <c r="AR538" t="s">
        <v>5059</v>
      </c>
      <c r="AS538" t="s">
        <v>64</v>
      </c>
      <c r="AT538">
        <v>0.77200000000000002</v>
      </c>
      <c r="AU538" t="s">
        <v>65</v>
      </c>
      <c r="AV538">
        <v>48</v>
      </c>
      <c r="AW538">
        <v>3</v>
      </c>
      <c r="AX538" t="s">
        <v>5060</v>
      </c>
      <c r="AY538" t="s">
        <v>5061</v>
      </c>
      <c r="AZ538" t="s">
        <v>5062</v>
      </c>
      <c r="BA538">
        <v>1.694E-2</v>
      </c>
      <c r="BB538">
        <v>1</v>
      </c>
      <c r="BC538" t="s">
        <v>69</v>
      </c>
      <c r="BD538">
        <v>-0.13</v>
      </c>
      <c r="BE538">
        <v>-0.64200000000000002</v>
      </c>
    </row>
    <row r="539" spans="1:57">
      <c r="A539">
        <v>0</v>
      </c>
      <c r="B539">
        <v>0</v>
      </c>
      <c r="C539">
        <v>0</v>
      </c>
      <c r="D539">
        <v>3092</v>
      </c>
      <c r="E539" t="s">
        <v>4182</v>
      </c>
      <c r="F539" t="s">
        <v>5762</v>
      </c>
      <c r="G539" t="s">
        <v>62</v>
      </c>
      <c r="H539">
        <v>3044168</v>
      </c>
      <c r="I539">
        <v>3045169</v>
      </c>
      <c r="J539" t="s">
        <v>4183</v>
      </c>
      <c r="K539">
        <v>334</v>
      </c>
      <c r="L539" t="s">
        <v>59</v>
      </c>
      <c r="M539">
        <v>5</v>
      </c>
      <c r="N539" t="str">
        <f>HYPERLINK("Gene3092-zp_tree_all.dnd", "Gene3092-tree")</f>
        <v>Gene3092-tree</v>
      </c>
      <c r="O539">
        <v>3</v>
      </c>
      <c r="P539">
        <v>2</v>
      </c>
      <c r="Q539">
        <v>3</v>
      </c>
      <c r="R539">
        <v>2</v>
      </c>
      <c r="S539">
        <v>0.4</v>
      </c>
      <c r="T539" t="s">
        <v>84</v>
      </c>
      <c r="U539" t="s">
        <v>135</v>
      </c>
      <c r="V539" t="s">
        <v>62</v>
      </c>
      <c r="W539" t="s">
        <v>62</v>
      </c>
      <c r="X539">
        <v>0</v>
      </c>
      <c r="Y539">
        <v>0</v>
      </c>
      <c r="Z539">
        <v>5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2</v>
      </c>
      <c r="AK539">
        <v>0</v>
      </c>
      <c r="AL539">
        <v>5</v>
      </c>
      <c r="AM539">
        <v>2</v>
      </c>
      <c r="AN539">
        <v>46</v>
      </c>
      <c r="AO539">
        <v>2</v>
      </c>
      <c r="AP539">
        <v>20</v>
      </c>
      <c r="AQ539">
        <v>3</v>
      </c>
      <c r="AR539" t="s">
        <v>4184</v>
      </c>
      <c r="AS539" t="s">
        <v>4185</v>
      </c>
      <c r="AT539">
        <v>1.1930000000000001</v>
      </c>
      <c r="AU539" t="s">
        <v>65</v>
      </c>
      <c r="AV539">
        <v>66</v>
      </c>
      <c r="AW539">
        <v>5</v>
      </c>
      <c r="AX539" t="s">
        <v>4186</v>
      </c>
      <c r="AY539" t="s">
        <v>4187</v>
      </c>
      <c r="AZ539" t="s">
        <v>4188</v>
      </c>
      <c r="BA539">
        <v>2.894E-2</v>
      </c>
      <c r="BB539">
        <v>1</v>
      </c>
      <c r="BC539" t="s">
        <v>69</v>
      </c>
      <c r="BD539">
        <v>0.41899999999999998</v>
      </c>
      <c r="BE539">
        <v>-7.1999999999999995E-2</v>
      </c>
    </row>
    <row r="540" spans="1:57">
      <c r="A540">
        <v>0</v>
      </c>
      <c r="B540">
        <v>0</v>
      </c>
      <c r="C540">
        <v>0</v>
      </c>
      <c r="D540">
        <v>479</v>
      </c>
      <c r="E540" t="s">
        <v>953</v>
      </c>
      <c r="F540" t="s">
        <v>5762</v>
      </c>
      <c r="G540" t="s">
        <v>57</v>
      </c>
      <c r="H540">
        <v>521019</v>
      </c>
      <c r="I540">
        <v>522023</v>
      </c>
      <c r="J540" t="s">
        <v>954</v>
      </c>
      <c r="K540">
        <v>335</v>
      </c>
      <c r="L540" t="s">
        <v>59</v>
      </c>
      <c r="M540">
        <v>5</v>
      </c>
      <c r="N540" t="str">
        <f>HYPERLINK("Gene479-zp_tree_all.dnd", "Gene479-tree")</f>
        <v>Gene479-tree</v>
      </c>
      <c r="O540">
        <v>3</v>
      </c>
      <c r="P540">
        <v>2</v>
      </c>
      <c r="Q540">
        <v>3</v>
      </c>
      <c r="R540">
        <v>2</v>
      </c>
      <c r="S540">
        <v>0.4</v>
      </c>
      <c r="T540" t="s">
        <v>84</v>
      </c>
      <c r="U540" t="s">
        <v>135</v>
      </c>
      <c r="V540" t="s">
        <v>62</v>
      </c>
      <c r="W540" t="s">
        <v>62</v>
      </c>
      <c r="X540">
        <v>0</v>
      </c>
      <c r="Y540">
        <v>0</v>
      </c>
      <c r="Z540">
        <v>4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2</v>
      </c>
      <c r="AK540">
        <v>0</v>
      </c>
      <c r="AL540">
        <v>4</v>
      </c>
      <c r="AM540">
        <v>2</v>
      </c>
      <c r="AN540">
        <v>30</v>
      </c>
      <c r="AO540">
        <v>2</v>
      </c>
      <c r="AP540">
        <v>35</v>
      </c>
      <c r="AQ540">
        <v>3</v>
      </c>
      <c r="AR540" t="s">
        <v>955</v>
      </c>
      <c r="AS540" t="s">
        <v>956</v>
      </c>
      <c r="AT540">
        <v>0.34899999999999998</v>
      </c>
      <c r="AU540" t="s">
        <v>65</v>
      </c>
      <c r="AV540">
        <v>65</v>
      </c>
      <c r="AW540">
        <v>5</v>
      </c>
      <c r="AX540" t="s">
        <v>957</v>
      </c>
      <c r="AY540" t="s">
        <v>958</v>
      </c>
      <c r="AZ540" t="s">
        <v>959</v>
      </c>
      <c r="BA540">
        <v>2.0109999999999999E-2</v>
      </c>
      <c r="BB540">
        <v>1</v>
      </c>
      <c r="BC540" t="s">
        <v>69</v>
      </c>
      <c r="BD540">
        <v>0.60699999999999998</v>
      </c>
      <c r="BE540">
        <v>0.29099999999999998</v>
      </c>
    </row>
    <row r="541" spans="1:57">
      <c r="A541">
        <v>0</v>
      </c>
      <c r="B541">
        <v>0</v>
      </c>
      <c r="C541">
        <v>0</v>
      </c>
      <c r="D541">
        <v>3521</v>
      </c>
      <c r="E541" t="s">
        <v>4841</v>
      </c>
      <c r="F541" t="s">
        <v>5762</v>
      </c>
      <c r="G541" t="s">
        <v>62</v>
      </c>
      <c r="H541">
        <v>3481701</v>
      </c>
      <c r="I541">
        <v>3482705</v>
      </c>
      <c r="J541" t="s">
        <v>4842</v>
      </c>
      <c r="K541">
        <v>335</v>
      </c>
      <c r="L541" t="s">
        <v>59</v>
      </c>
      <c r="M541">
        <v>5</v>
      </c>
      <c r="N541" t="str">
        <f>HYPERLINK("Gene3521-zp_tree_all.dnd", "Gene3521-tree")</f>
        <v>Gene3521-tree</v>
      </c>
      <c r="O541">
        <v>4</v>
      </c>
      <c r="P541">
        <v>0</v>
      </c>
      <c r="Q541">
        <v>4</v>
      </c>
      <c r="R541">
        <v>0</v>
      </c>
      <c r="S541">
        <v>0</v>
      </c>
      <c r="T541" t="s">
        <v>60</v>
      </c>
      <c r="U541" t="s">
        <v>62</v>
      </c>
      <c r="V541" t="s">
        <v>62</v>
      </c>
      <c r="W541" t="s">
        <v>62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3</v>
      </c>
      <c r="AM541">
        <v>1</v>
      </c>
      <c r="AN541">
        <v>10</v>
      </c>
      <c r="AO541">
        <v>0</v>
      </c>
      <c r="AP541">
        <v>3</v>
      </c>
      <c r="AQ541">
        <v>0</v>
      </c>
      <c r="AR541" t="s">
        <v>64</v>
      </c>
      <c r="AS541" t="s">
        <v>64</v>
      </c>
      <c r="AT541">
        <v>0</v>
      </c>
      <c r="AU541" t="s">
        <v>65</v>
      </c>
      <c r="AV541">
        <v>13</v>
      </c>
      <c r="AW541">
        <v>0</v>
      </c>
      <c r="AX541" t="s">
        <v>4843</v>
      </c>
      <c r="AY541" t="s">
        <v>4844</v>
      </c>
      <c r="AZ541" t="s">
        <v>64</v>
      </c>
      <c r="BA541">
        <v>0</v>
      </c>
      <c r="BB541">
        <v>1</v>
      </c>
      <c r="BC541" t="s">
        <v>69</v>
      </c>
      <c r="BD541">
        <v>-0.51200000000000001</v>
      </c>
      <c r="BE541">
        <v>-0.51200000000000001</v>
      </c>
    </row>
    <row r="542" spans="1:57">
      <c r="A542">
        <v>0</v>
      </c>
      <c r="B542">
        <v>0</v>
      </c>
      <c r="C542">
        <v>0</v>
      </c>
      <c r="D542">
        <v>2919</v>
      </c>
      <c r="E542" t="s">
        <v>3833</v>
      </c>
      <c r="F542" t="s">
        <v>5762</v>
      </c>
      <c r="G542" t="s">
        <v>62</v>
      </c>
      <c r="H542">
        <v>2860738</v>
      </c>
      <c r="I542">
        <v>2861748</v>
      </c>
      <c r="J542" t="s">
        <v>3828</v>
      </c>
      <c r="K542">
        <v>337</v>
      </c>
      <c r="L542" t="s">
        <v>59</v>
      </c>
      <c r="M542">
        <v>5</v>
      </c>
      <c r="N542" t="str">
        <f>HYPERLINK("Gene2919-zp_tree_all.dnd", "Gene2919-tree")</f>
        <v>Gene2919-tree</v>
      </c>
      <c r="O542">
        <v>4</v>
      </c>
      <c r="P542">
        <v>1</v>
      </c>
      <c r="Q542">
        <v>4</v>
      </c>
      <c r="R542">
        <v>1</v>
      </c>
      <c r="S542">
        <v>0.2</v>
      </c>
      <c r="T542" t="s">
        <v>60</v>
      </c>
      <c r="U542" t="s">
        <v>61</v>
      </c>
      <c r="V542" t="s">
        <v>62</v>
      </c>
      <c r="W542" t="s">
        <v>62</v>
      </c>
      <c r="X542">
        <v>0</v>
      </c>
      <c r="Y542">
        <v>0</v>
      </c>
      <c r="Z542">
        <v>2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1</v>
      </c>
      <c r="AK542">
        <v>0</v>
      </c>
      <c r="AL542">
        <v>5</v>
      </c>
      <c r="AM542">
        <v>2</v>
      </c>
      <c r="AN542">
        <v>27</v>
      </c>
      <c r="AO542">
        <v>1</v>
      </c>
      <c r="AP542">
        <v>40</v>
      </c>
      <c r="AQ542">
        <v>2</v>
      </c>
      <c r="AR542" t="s">
        <v>3834</v>
      </c>
      <c r="AS542" t="s">
        <v>3835</v>
      </c>
      <c r="AT542">
        <v>0.10100000000000001</v>
      </c>
      <c r="AU542" t="s">
        <v>65</v>
      </c>
      <c r="AV542">
        <v>67</v>
      </c>
      <c r="AW542">
        <v>3</v>
      </c>
      <c r="AX542" t="s">
        <v>3836</v>
      </c>
      <c r="AY542" t="s">
        <v>3837</v>
      </c>
      <c r="AZ542" t="s">
        <v>3838</v>
      </c>
      <c r="BA542">
        <v>1.302E-2</v>
      </c>
      <c r="BB542">
        <v>1</v>
      </c>
      <c r="BC542" t="s">
        <v>69</v>
      </c>
      <c r="BD542">
        <v>0.70399999999999996</v>
      </c>
      <c r="BE542">
        <v>0.61299999999999999</v>
      </c>
    </row>
    <row r="543" spans="1:57">
      <c r="A543">
        <v>0</v>
      </c>
      <c r="B543">
        <v>0</v>
      </c>
      <c r="C543">
        <v>2</v>
      </c>
      <c r="D543">
        <v>4013</v>
      </c>
      <c r="E543" t="s">
        <v>5413</v>
      </c>
      <c r="F543" t="s">
        <v>5762</v>
      </c>
      <c r="G543" t="s">
        <v>62</v>
      </c>
      <c r="H543">
        <v>3976794</v>
      </c>
      <c r="I543">
        <v>3977807</v>
      </c>
      <c r="J543" t="s">
        <v>5414</v>
      </c>
      <c r="K543">
        <v>338</v>
      </c>
      <c r="L543" t="s">
        <v>59</v>
      </c>
      <c r="M543">
        <v>5</v>
      </c>
      <c r="N543" t="str">
        <f>HYPERLINK("Gene4013-zp_tree_all.dnd", "Gene4013-tree")</f>
        <v>Gene4013-tree</v>
      </c>
      <c r="O543">
        <v>3</v>
      </c>
      <c r="P543">
        <v>2</v>
      </c>
      <c r="Q543">
        <v>3</v>
      </c>
      <c r="R543">
        <v>2</v>
      </c>
      <c r="S543">
        <v>0.4</v>
      </c>
      <c r="T543" t="s">
        <v>84</v>
      </c>
      <c r="U543" t="s">
        <v>135</v>
      </c>
      <c r="V543" t="s">
        <v>62</v>
      </c>
      <c r="W543" t="s">
        <v>62</v>
      </c>
      <c r="X543">
        <v>1</v>
      </c>
      <c r="Y543">
        <v>2</v>
      </c>
      <c r="Z543">
        <v>4</v>
      </c>
      <c r="AA543">
        <v>0.33333000000000002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2</v>
      </c>
      <c r="AK543">
        <v>0</v>
      </c>
      <c r="AL543">
        <v>5</v>
      </c>
      <c r="AM543">
        <v>2</v>
      </c>
      <c r="AN543">
        <v>32</v>
      </c>
      <c r="AO543">
        <v>2</v>
      </c>
      <c r="AP543">
        <v>31</v>
      </c>
      <c r="AQ543">
        <v>4</v>
      </c>
      <c r="AR543" t="s">
        <v>5415</v>
      </c>
      <c r="AS543" t="s">
        <v>5416</v>
      </c>
      <c r="AT543">
        <v>0.68899999999999995</v>
      </c>
      <c r="AU543" t="s">
        <v>65</v>
      </c>
      <c r="AV543">
        <v>63</v>
      </c>
      <c r="AW543">
        <v>6</v>
      </c>
      <c r="AX543" t="s">
        <v>5417</v>
      </c>
      <c r="AY543" t="s">
        <v>5418</v>
      </c>
      <c r="AZ543" t="s">
        <v>5419</v>
      </c>
      <c r="BA543">
        <v>2.921E-2</v>
      </c>
      <c r="BB543">
        <v>1</v>
      </c>
      <c r="BC543" t="s">
        <v>69</v>
      </c>
      <c r="BD543">
        <v>0.72899999999999998</v>
      </c>
      <c r="BE543">
        <v>-0.17599999999999999</v>
      </c>
    </row>
    <row r="544" spans="1:57">
      <c r="A544">
        <v>0</v>
      </c>
      <c r="B544">
        <v>0</v>
      </c>
      <c r="C544">
        <v>0</v>
      </c>
      <c r="D544">
        <v>1683</v>
      </c>
      <c r="E544" t="s">
        <v>2468</v>
      </c>
      <c r="F544" t="s">
        <v>5762</v>
      </c>
      <c r="G544" t="s">
        <v>57</v>
      </c>
      <c r="H544">
        <v>1694119</v>
      </c>
      <c r="I544">
        <v>1695132</v>
      </c>
      <c r="J544" t="s">
        <v>2469</v>
      </c>
      <c r="K544">
        <v>338</v>
      </c>
      <c r="L544" t="s">
        <v>59</v>
      </c>
      <c r="M544">
        <v>5</v>
      </c>
      <c r="N544" t="str">
        <f>HYPERLINK("Gene1683-zp_tree_all.dnd", "Gene1683-tree")</f>
        <v>Gene1683-tree</v>
      </c>
      <c r="O544">
        <v>5</v>
      </c>
      <c r="P544">
        <v>0</v>
      </c>
      <c r="Q544">
        <v>5</v>
      </c>
      <c r="R544">
        <v>0</v>
      </c>
      <c r="S544">
        <v>0</v>
      </c>
      <c r="T544" t="s">
        <v>98</v>
      </c>
      <c r="U544" t="s">
        <v>62</v>
      </c>
      <c r="V544" t="s">
        <v>62</v>
      </c>
      <c r="W544" t="s">
        <v>62</v>
      </c>
      <c r="X544">
        <v>0</v>
      </c>
      <c r="Y544">
        <v>0</v>
      </c>
      <c r="Z544">
        <v>1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4</v>
      </c>
      <c r="AM544">
        <v>2</v>
      </c>
      <c r="AN544">
        <v>24</v>
      </c>
      <c r="AO544">
        <v>0</v>
      </c>
      <c r="AP544">
        <v>36</v>
      </c>
      <c r="AQ544">
        <v>1</v>
      </c>
      <c r="AR544" t="s">
        <v>64</v>
      </c>
      <c r="AS544" t="s">
        <v>2470</v>
      </c>
      <c r="AT544">
        <v>1.0089999999999999</v>
      </c>
      <c r="AU544" t="s">
        <v>65</v>
      </c>
      <c r="AV544">
        <v>60</v>
      </c>
      <c r="AW544">
        <v>1</v>
      </c>
      <c r="AX544" t="s">
        <v>2471</v>
      </c>
      <c r="AY544" t="s">
        <v>2472</v>
      </c>
      <c r="AZ544" t="s">
        <v>2473</v>
      </c>
      <c r="BA544">
        <v>5.1599999999999997E-3</v>
      </c>
      <c r="BB544">
        <v>1</v>
      </c>
      <c r="BC544" t="s">
        <v>69</v>
      </c>
      <c r="BD544">
        <v>1.0429999999999999</v>
      </c>
      <c r="BE544">
        <v>0.49</v>
      </c>
    </row>
    <row r="545" spans="1:57">
      <c r="A545">
        <v>0</v>
      </c>
      <c r="B545">
        <v>0</v>
      </c>
      <c r="C545">
        <v>0</v>
      </c>
      <c r="D545">
        <v>3522</v>
      </c>
      <c r="E545" t="s">
        <v>4845</v>
      </c>
      <c r="F545" t="s">
        <v>5762</v>
      </c>
      <c r="G545" t="s">
        <v>62</v>
      </c>
      <c r="H545">
        <v>3482755</v>
      </c>
      <c r="I545">
        <v>3483774</v>
      </c>
      <c r="J545" t="s">
        <v>4846</v>
      </c>
      <c r="K545">
        <v>340</v>
      </c>
      <c r="L545" t="s">
        <v>59</v>
      </c>
      <c r="M545">
        <v>5</v>
      </c>
      <c r="N545" t="str">
        <f>HYPERLINK("Gene3522-zp_tree_all.dnd", "Gene3522-tree")</f>
        <v>Gene3522-tree</v>
      </c>
      <c r="O545">
        <v>2</v>
      </c>
      <c r="P545">
        <v>3</v>
      </c>
      <c r="Q545">
        <v>2</v>
      </c>
      <c r="R545">
        <v>3</v>
      </c>
      <c r="S545">
        <v>0.6</v>
      </c>
      <c r="T545" t="s">
        <v>135</v>
      </c>
      <c r="U545" t="s">
        <v>84</v>
      </c>
      <c r="V545" t="s">
        <v>62</v>
      </c>
      <c r="W545" t="s">
        <v>62</v>
      </c>
      <c r="X545">
        <v>0</v>
      </c>
      <c r="Y545">
        <v>0</v>
      </c>
      <c r="Z545">
        <v>3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3</v>
      </c>
      <c r="AK545">
        <v>0</v>
      </c>
      <c r="AL545">
        <v>5</v>
      </c>
      <c r="AM545">
        <v>2</v>
      </c>
      <c r="AN545">
        <v>12</v>
      </c>
      <c r="AO545">
        <v>3</v>
      </c>
      <c r="AP545">
        <v>16</v>
      </c>
      <c r="AQ545">
        <v>0</v>
      </c>
      <c r="AR545" t="s">
        <v>4847</v>
      </c>
      <c r="AS545" t="s">
        <v>64</v>
      </c>
      <c r="AT545">
        <v>2.1070000000000002</v>
      </c>
      <c r="AU545" t="s">
        <v>286</v>
      </c>
      <c r="AV545">
        <v>28</v>
      </c>
      <c r="AW545">
        <v>3</v>
      </c>
      <c r="AX545" t="s">
        <v>4848</v>
      </c>
      <c r="AY545" t="s">
        <v>4849</v>
      </c>
      <c r="AZ545" t="s">
        <v>4850</v>
      </c>
      <c r="BA545">
        <v>2.3470000000000001E-2</v>
      </c>
      <c r="BB545">
        <v>1</v>
      </c>
      <c r="BC545" t="s">
        <v>69</v>
      </c>
      <c r="BD545">
        <v>0.36199999999999999</v>
      </c>
      <c r="BE545">
        <v>0.36199999999999999</v>
      </c>
    </row>
    <row r="546" spans="1:57">
      <c r="A546">
        <v>0</v>
      </c>
      <c r="B546">
        <v>2</v>
      </c>
      <c r="C546">
        <v>0</v>
      </c>
      <c r="D546">
        <v>1565</v>
      </c>
      <c r="E546" t="s">
        <v>2137</v>
      </c>
      <c r="F546" t="s">
        <v>5762</v>
      </c>
      <c r="G546" t="s">
        <v>57</v>
      </c>
      <c r="H546">
        <v>1572765</v>
      </c>
      <c r="I546">
        <v>1573787</v>
      </c>
      <c r="J546" t="s">
        <v>2138</v>
      </c>
      <c r="K546">
        <v>341</v>
      </c>
      <c r="L546" t="s">
        <v>59</v>
      </c>
      <c r="M546">
        <v>5</v>
      </c>
      <c r="N546" t="str">
        <f>HYPERLINK("Gene1565-zp_tree_all.dnd", "Gene1565-tree")</f>
        <v>Gene1565-tree</v>
      </c>
      <c r="O546">
        <v>2</v>
      </c>
      <c r="P546">
        <v>3</v>
      </c>
      <c r="Q546">
        <v>2</v>
      </c>
      <c r="R546">
        <v>3</v>
      </c>
      <c r="S546">
        <v>0.6</v>
      </c>
      <c r="T546" t="s">
        <v>135</v>
      </c>
      <c r="U546" t="s">
        <v>84</v>
      </c>
      <c r="V546" t="s">
        <v>62</v>
      </c>
      <c r="W546" t="s">
        <v>62</v>
      </c>
      <c r="X546">
        <v>1</v>
      </c>
      <c r="Y546">
        <v>2</v>
      </c>
      <c r="Z546">
        <v>8</v>
      </c>
      <c r="AA546">
        <v>0.2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2</v>
      </c>
      <c r="AH546">
        <v>0</v>
      </c>
      <c r="AI546">
        <v>2</v>
      </c>
      <c r="AJ546">
        <v>3</v>
      </c>
      <c r="AK546">
        <v>0.4</v>
      </c>
      <c r="AL546">
        <v>5</v>
      </c>
      <c r="AM546">
        <v>2</v>
      </c>
      <c r="AN546">
        <v>29</v>
      </c>
      <c r="AO546">
        <v>5</v>
      </c>
      <c r="AP546">
        <v>28</v>
      </c>
      <c r="AQ546">
        <v>5</v>
      </c>
      <c r="AR546" t="s">
        <v>2139</v>
      </c>
      <c r="AS546" t="s">
        <v>2140</v>
      </c>
      <c r="AT546">
        <v>1.2E-2</v>
      </c>
      <c r="AU546" t="s">
        <v>65</v>
      </c>
      <c r="AV546">
        <v>57</v>
      </c>
      <c r="AW546">
        <v>10</v>
      </c>
      <c r="AX546" t="s">
        <v>2141</v>
      </c>
      <c r="AY546" t="s">
        <v>2142</v>
      </c>
      <c r="AZ546" t="s">
        <v>2143</v>
      </c>
      <c r="BA546">
        <v>4.4929999999999998E-2</v>
      </c>
      <c r="BB546">
        <v>1</v>
      </c>
      <c r="BC546" t="s">
        <v>69</v>
      </c>
      <c r="BD546">
        <v>0.62</v>
      </c>
      <c r="BE546">
        <v>0.62</v>
      </c>
    </row>
    <row r="547" spans="1:57">
      <c r="A547">
        <v>0</v>
      </c>
      <c r="B547">
        <v>0</v>
      </c>
      <c r="C547">
        <v>2</v>
      </c>
      <c r="D547">
        <v>3396</v>
      </c>
      <c r="E547" t="s">
        <v>4649</v>
      </c>
      <c r="F547" t="s">
        <v>5762</v>
      </c>
      <c r="G547" t="s">
        <v>62</v>
      </c>
      <c r="H547">
        <v>3363269</v>
      </c>
      <c r="I547">
        <v>3364291</v>
      </c>
      <c r="J547" t="s">
        <v>4650</v>
      </c>
      <c r="K547">
        <v>341</v>
      </c>
      <c r="L547" t="s">
        <v>59</v>
      </c>
      <c r="M547">
        <v>5</v>
      </c>
      <c r="N547" t="str">
        <f>HYPERLINK("Gene3396-zp_tree_all.dnd", "Gene3396-tree")</f>
        <v>Gene3396-tree</v>
      </c>
      <c r="O547">
        <v>4</v>
      </c>
      <c r="P547">
        <v>1</v>
      </c>
      <c r="Q547">
        <v>4</v>
      </c>
      <c r="R547">
        <v>1</v>
      </c>
      <c r="S547">
        <v>0.2</v>
      </c>
      <c r="T547" t="s">
        <v>60</v>
      </c>
      <c r="U547" t="s">
        <v>61</v>
      </c>
      <c r="V547" t="s">
        <v>62</v>
      </c>
      <c r="W547" t="s">
        <v>62</v>
      </c>
      <c r="X547">
        <v>1</v>
      </c>
      <c r="Y547">
        <v>2</v>
      </c>
      <c r="Z547">
        <v>5</v>
      </c>
      <c r="AA547">
        <v>0.28571000000000002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1</v>
      </c>
      <c r="AK547">
        <v>0</v>
      </c>
      <c r="AL547">
        <v>5</v>
      </c>
      <c r="AM547">
        <v>2</v>
      </c>
      <c r="AN547">
        <v>27</v>
      </c>
      <c r="AO547">
        <v>1</v>
      </c>
      <c r="AP547">
        <v>33</v>
      </c>
      <c r="AQ547">
        <v>7</v>
      </c>
      <c r="AR547" t="s">
        <v>4651</v>
      </c>
      <c r="AS547" t="s">
        <v>4652</v>
      </c>
      <c r="AT547">
        <v>0.88700000000000001</v>
      </c>
      <c r="AU547" t="s">
        <v>65</v>
      </c>
      <c r="AV547">
        <v>60</v>
      </c>
      <c r="AW547">
        <v>8</v>
      </c>
      <c r="AX547" t="s">
        <v>4653</v>
      </c>
      <c r="AY547" t="s">
        <v>4654</v>
      </c>
      <c r="AZ547" t="s">
        <v>4655</v>
      </c>
      <c r="BA547">
        <v>3.8949999999999999E-2</v>
      </c>
      <c r="BB547">
        <v>1</v>
      </c>
      <c r="BC547" t="s">
        <v>69</v>
      </c>
      <c r="BD547">
        <v>1.129</v>
      </c>
      <c r="BE547">
        <v>0.63</v>
      </c>
    </row>
    <row r="548" spans="1:57">
      <c r="A548">
        <v>0</v>
      </c>
      <c r="B548">
        <v>0</v>
      </c>
      <c r="C548">
        <v>0</v>
      </c>
      <c r="D548">
        <v>2946</v>
      </c>
      <c r="E548" t="s">
        <v>3897</v>
      </c>
      <c r="F548" t="s">
        <v>5762</v>
      </c>
      <c r="G548" t="s">
        <v>62</v>
      </c>
      <c r="H548">
        <v>2893684</v>
      </c>
      <c r="I548">
        <v>2894709</v>
      </c>
      <c r="J548" t="s">
        <v>3898</v>
      </c>
      <c r="K548">
        <v>342</v>
      </c>
      <c r="L548" t="s">
        <v>112</v>
      </c>
      <c r="M548">
        <v>4</v>
      </c>
      <c r="N548" t="str">
        <f>HYPERLINK("Gene2946-zp_tree_all.dnd", "Gene2946-tree")</f>
        <v>Gene2946-tree</v>
      </c>
      <c r="O548">
        <v>2</v>
      </c>
      <c r="P548">
        <v>2</v>
      </c>
      <c r="Q548">
        <v>2</v>
      </c>
      <c r="R548">
        <v>2</v>
      </c>
      <c r="S548">
        <v>0.5</v>
      </c>
      <c r="T548" t="s">
        <v>135</v>
      </c>
      <c r="U548" t="s">
        <v>135</v>
      </c>
      <c r="V548" t="s">
        <v>62</v>
      </c>
      <c r="W548" t="s">
        <v>62</v>
      </c>
      <c r="X548">
        <v>0</v>
      </c>
      <c r="Y548">
        <v>0</v>
      </c>
      <c r="Z548">
        <v>2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3</v>
      </c>
      <c r="AK548">
        <v>0</v>
      </c>
      <c r="AL548">
        <v>4</v>
      </c>
      <c r="AM548">
        <v>1</v>
      </c>
      <c r="AN548">
        <v>53</v>
      </c>
      <c r="AO548">
        <v>3</v>
      </c>
      <c r="AP548">
        <v>6</v>
      </c>
      <c r="AQ548">
        <v>0</v>
      </c>
      <c r="AR548" t="s">
        <v>3899</v>
      </c>
      <c r="AS548" t="s">
        <v>64</v>
      </c>
      <c r="AT548">
        <v>0.66300000000000003</v>
      </c>
      <c r="AU548" t="s">
        <v>65</v>
      </c>
      <c r="AV548">
        <v>59</v>
      </c>
      <c r="AW548">
        <v>3</v>
      </c>
      <c r="AX548" t="s">
        <v>3900</v>
      </c>
      <c r="AY548" t="s">
        <v>3901</v>
      </c>
      <c r="AZ548" t="s">
        <v>3902</v>
      </c>
      <c r="BA548">
        <v>1.307E-2</v>
      </c>
      <c r="BB548">
        <v>1</v>
      </c>
      <c r="BC548" t="s">
        <v>69</v>
      </c>
      <c r="BD548">
        <v>-0.32900000000000001</v>
      </c>
      <c r="BE548">
        <v>-0.81499999999999995</v>
      </c>
    </row>
    <row r="549" spans="1:57">
      <c r="A549">
        <v>0</v>
      </c>
      <c r="B549">
        <v>0</v>
      </c>
      <c r="C549">
        <v>0</v>
      </c>
      <c r="D549">
        <v>2652</v>
      </c>
      <c r="E549" t="s">
        <v>3567</v>
      </c>
      <c r="F549" t="s">
        <v>5762</v>
      </c>
      <c r="G549" t="s">
        <v>62</v>
      </c>
      <c r="H549">
        <v>2628609</v>
      </c>
      <c r="I549">
        <v>2629637</v>
      </c>
      <c r="J549" t="s">
        <v>3568</v>
      </c>
      <c r="K549">
        <v>343</v>
      </c>
      <c r="L549" t="s">
        <v>59</v>
      </c>
      <c r="M549">
        <v>5</v>
      </c>
      <c r="N549" t="str">
        <f>HYPERLINK("Gene2652-zp_tree_all.dnd", "Gene2652-tree")</f>
        <v>Gene2652-tree</v>
      </c>
      <c r="O549">
        <v>4</v>
      </c>
      <c r="P549">
        <v>1</v>
      </c>
      <c r="Q549">
        <v>4</v>
      </c>
      <c r="R549">
        <v>1</v>
      </c>
      <c r="S549">
        <v>0.2</v>
      </c>
      <c r="T549" t="s">
        <v>60</v>
      </c>
      <c r="U549" t="s">
        <v>61</v>
      </c>
      <c r="V549" t="s">
        <v>62</v>
      </c>
      <c r="W549" t="s">
        <v>62</v>
      </c>
      <c r="X549">
        <v>0</v>
      </c>
      <c r="Y549">
        <v>0</v>
      </c>
      <c r="Z549">
        <v>2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1</v>
      </c>
      <c r="AK549">
        <v>0</v>
      </c>
      <c r="AL549">
        <v>5</v>
      </c>
      <c r="AM549">
        <v>2</v>
      </c>
      <c r="AN549">
        <v>30</v>
      </c>
      <c r="AO549">
        <v>1</v>
      </c>
      <c r="AP549">
        <v>31</v>
      </c>
      <c r="AQ549">
        <v>1</v>
      </c>
      <c r="AR549" t="s">
        <v>3569</v>
      </c>
      <c r="AS549" t="s">
        <v>3570</v>
      </c>
      <c r="AT549">
        <v>0.04</v>
      </c>
      <c r="AU549" t="s">
        <v>65</v>
      </c>
      <c r="AV549">
        <v>61</v>
      </c>
      <c r="AW549">
        <v>2</v>
      </c>
      <c r="AX549" t="s">
        <v>3571</v>
      </c>
      <c r="AY549" t="s">
        <v>3572</v>
      </c>
      <c r="AZ549" t="s">
        <v>3573</v>
      </c>
      <c r="BA549">
        <v>8.6199999999999992E-3</v>
      </c>
      <c r="BB549">
        <v>1</v>
      </c>
      <c r="BC549" t="s">
        <v>69</v>
      </c>
      <c r="BD549">
        <v>0.60399999999999998</v>
      </c>
      <c r="BE549">
        <v>0.47299999999999998</v>
      </c>
    </row>
    <row r="550" spans="1:57">
      <c r="A550">
        <v>0</v>
      </c>
      <c r="B550">
        <v>0</v>
      </c>
      <c r="C550">
        <v>0</v>
      </c>
      <c r="D550">
        <v>2981</v>
      </c>
      <c r="E550" t="s">
        <v>3967</v>
      </c>
      <c r="F550" t="s">
        <v>5762</v>
      </c>
      <c r="G550" t="s">
        <v>62</v>
      </c>
      <c r="H550">
        <v>2929441</v>
      </c>
      <c r="I550">
        <v>2930472</v>
      </c>
      <c r="J550" t="s">
        <v>3968</v>
      </c>
      <c r="K550">
        <v>344</v>
      </c>
      <c r="L550" t="s">
        <v>59</v>
      </c>
      <c r="M550">
        <v>5</v>
      </c>
      <c r="N550" t="str">
        <f>HYPERLINK("Gene2981-zp_tree_all.dnd", "Gene2981-tree")</f>
        <v>Gene2981-tree</v>
      </c>
      <c r="O550">
        <v>2</v>
      </c>
      <c r="P550">
        <v>3</v>
      </c>
      <c r="Q550">
        <v>2</v>
      </c>
      <c r="R550">
        <v>3</v>
      </c>
      <c r="S550">
        <v>0.6</v>
      </c>
      <c r="T550" t="s">
        <v>135</v>
      </c>
      <c r="U550" t="s">
        <v>84</v>
      </c>
      <c r="V550" t="s">
        <v>62</v>
      </c>
      <c r="W550" t="s">
        <v>62</v>
      </c>
      <c r="X550">
        <v>0</v>
      </c>
      <c r="Y550">
        <v>0</v>
      </c>
      <c r="Z550">
        <v>6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4</v>
      </c>
      <c r="AK550">
        <v>0</v>
      </c>
      <c r="AL550">
        <v>5</v>
      </c>
      <c r="AM550">
        <v>2</v>
      </c>
      <c r="AN550">
        <v>32</v>
      </c>
      <c r="AO550">
        <v>4</v>
      </c>
      <c r="AP550">
        <v>32</v>
      </c>
      <c r="AQ550">
        <v>2</v>
      </c>
      <c r="AR550" t="s">
        <v>3969</v>
      </c>
      <c r="AS550" t="s">
        <v>3970</v>
      </c>
      <c r="AT550">
        <v>0.72399999999999998</v>
      </c>
      <c r="AU550" t="s">
        <v>65</v>
      </c>
      <c r="AV550">
        <v>64</v>
      </c>
      <c r="AW550">
        <v>6</v>
      </c>
      <c r="AX550" t="s">
        <v>3971</v>
      </c>
      <c r="AY550" t="s">
        <v>3972</v>
      </c>
      <c r="AZ550" t="s">
        <v>3973</v>
      </c>
      <c r="BA550">
        <v>2.2409999999999999E-2</v>
      </c>
      <c r="BB550">
        <v>1</v>
      </c>
      <c r="BC550" t="s">
        <v>69</v>
      </c>
      <c r="BD550">
        <v>0.433</v>
      </c>
      <c r="BE550">
        <v>0.433</v>
      </c>
    </row>
    <row r="551" spans="1:57">
      <c r="A551">
        <v>0</v>
      </c>
      <c r="B551">
        <v>0</v>
      </c>
      <c r="C551">
        <v>0</v>
      </c>
      <c r="D551">
        <v>1737</v>
      </c>
      <c r="E551" t="s">
        <v>2628</v>
      </c>
      <c r="F551" t="s">
        <v>5762</v>
      </c>
      <c r="G551" t="s">
        <v>57</v>
      </c>
      <c r="H551">
        <v>1745991</v>
      </c>
      <c r="I551">
        <v>1747028</v>
      </c>
      <c r="J551" t="s">
        <v>2629</v>
      </c>
      <c r="K551">
        <v>346</v>
      </c>
      <c r="L551" t="s">
        <v>59</v>
      </c>
      <c r="M551">
        <v>5</v>
      </c>
      <c r="N551" t="str">
        <f>HYPERLINK("Gene1737-zp_tree_all.dnd", "Gene1737-tree")</f>
        <v>Gene1737-tree</v>
      </c>
      <c r="O551">
        <v>3</v>
      </c>
      <c r="P551">
        <v>2</v>
      </c>
      <c r="Q551">
        <v>3</v>
      </c>
      <c r="R551">
        <v>2</v>
      </c>
      <c r="S551">
        <v>0.4</v>
      </c>
      <c r="T551" t="s">
        <v>84</v>
      </c>
      <c r="U551" t="s">
        <v>135</v>
      </c>
      <c r="V551" t="s">
        <v>62</v>
      </c>
      <c r="W551" t="s">
        <v>62</v>
      </c>
      <c r="X551">
        <v>0</v>
      </c>
      <c r="Y551">
        <v>0</v>
      </c>
      <c r="Z551">
        <v>8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4</v>
      </c>
      <c r="AK551">
        <v>0</v>
      </c>
      <c r="AL551">
        <v>5</v>
      </c>
      <c r="AM551">
        <v>2</v>
      </c>
      <c r="AN551">
        <v>16</v>
      </c>
      <c r="AO551">
        <v>4</v>
      </c>
      <c r="AP551">
        <v>23</v>
      </c>
      <c r="AQ551">
        <v>4</v>
      </c>
      <c r="AR551" t="s">
        <v>2630</v>
      </c>
      <c r="AS551" t="s">
        <v>2631</v>
      </c>
      <c r="AT551">
        <v>0.27700000000000002</v>
      </c>
      <c r="AU551" t="s">
        <v>65</v>
      </c>
      <c r="AV551">
        <v>39</v>
      </c>
      <c r="AW551">
        <v>8</v>
      </c>
      <c r="AX551" t="s">
        <v>2632</v>
      </c>
      <c r="AY551" t="s">
        <v>2633</v>
      </c>
      <c r="AZ551" t="s">
        <v>2634</v>
      </c>
      <c r="BA551">
        <v>5.5169999999999997E-2</v>
      </c>
      <c r="BB551">
        <v>1</v>
      </c>
      <c r="BC551" t="s">
        <v>69</v>
      </c>
      <c r="BD551">
        <v>0.69799999999999995</v>
      </c>
      <c r="BE551">
        <v>0.69799999999999995</v>
      </c>
    </row>
    <row r="552" spans="1:57">
      <c r="A552">
        <v>0</v>
      </c>
      <c r="B552">
        <v>0</v>
      </c>
      <c r="C552">
        <v>2</v>
      </c>
      <c r="D552">
        <v>2659</v>
      </c>
      <c r="E552" t="s">
        <v>3576</v>
      </c>
      <c r="F552" t="s">
        <v>5762</v>
      </c>
      <c r="G552" t="s">
        <v>62</v>
      </c>
      <c r="H552">
        <v>2636099</v>
      </c>
      <c r="I552">
        <v>2637139</v>
      </c>
      <c r="J552" t="s">
        <v>3577</v>
      </c>
      <c r="K552">
        <v>347</v>
      </c>
      <c r="L552" t="s">
        <v>59</v>
      </c>
      <c r="M552">
        <v>5</v>
      </c>
      <c r="N552" t="str">
        <f>HYPERLINK("Gene2659-zp_tree_all.dnd", "Gene2659-tree")</f>
        <v>Gene2659-tree</v>
      </c>
      <c r="O552">
        <v>1</v>
      </c>
      <c r="P552">
        <v>4</v>
      </c>
      <c r="Q552">
        <v>1</v>
      </c>
      <c r="R552">
        <v>4</v>
      </c>
      <c r="S552">
        <v>0.8</v>
      </c>
      <c r="T552" t="s">
        <v>61</v>
      </c>
      <c r="U552" t="s">
        <v>60</v>
      </c>
      <c r="V552" t="s">
        <v>62</v>
      </c>
      <c r="W552" t="s">
        <v>62</v>
      </c>
      <c r="X552">
        <v>1</v>
      </c>
      <c r="Y552">
        <v>2</v>
      </c>
      <c r="Z552">
        <v>8</v>
      </c>
      <c r="AA552">
        <v>0.2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6</v>
      </c>
      <c r="AK552">
        <v>0</v>
      </c>
      <c r="AL552">
        <v>5</v>
      </c>
      <c r="AM552">
        <v>2</v>
      </c>
      <c r="AN552">
        <v>46</v>
      </c>
      <c r="AO552">
        <v>6</v>
      </c>
      <c r="AP552">
        <v>28</v>
      </c>
      <c r="AQ552">
        <v>4</v>
      </c>
      <c r="AR552" t="s">
        <v>3578</v>
      </c>
      <c r="AS552" t="s">
        <v>3579</v>
      </c>
      <c r="AT552">
        <v>9.5000000000000001E-2</v>
      </c>
      <c r="AU552" t="s">
        <v>65</v>
      </c>
      <c r="AV552">
        <v>74</v>
      </c>
      <c r="AW552">
        <v>10</v>
      </c>
      <c r="AX552" t="s">
        <v>3580</v>
      </c>
      <c r="AY552" t="s">
        <v>3581</v>
      </c>
      <c r="AZ552" t="s">
        <v>3582</v>
      </c>
      <c r="BA552">
        <v>3.4049999999999997E-2</v>
      </c>
      <c r="BB552">
        <v>1</v>
      </c>
      <c r="BC552" t="s">
        <v>69</v>
      </c>
      <c r="BD552">
        <v>0.29499999999999998</v>
      </c>
      <c r="BE552">
        <v>-8.4000000000000005E-2</v>
      </c>
    </row>
    <row r="553" spans="1:57">
      <c r="A553">
        <v>0</v>
      </c>
      <c r="B553">
        <v>0</v>
      </c>
      <c r="C553">
        <v>0</v>
      </c>
      <c r="D553">
        <v>1755</v>
      </c>
      <c r="E553" t="s">
        <v>2665</v>
      </c>
      <c r="F553" t="s">
        <v>5762</v>
      </c>
      <c r="G553" t="s">
        <v>57</v>
      </c>
      <c r="H553">
        <v>1764645</v>
      </c>
      <c r="I553">
        <v>1765688</v>
      </c>
      <c r="J553" t="s">
        <v>2666</v>
      </c>
      <c r="K553">
        <v>348</v>
      </c>
      <c r="L553" t="s">
        <v>59</v>
      </c>
      <c r="M553">
        <v>5</v>
      </c>
      <c r="N553" t="str">
        <f>HYPERLINK("Gene1755-zp_tree_all.dnd", "Gene1755-tree")</f>
        <v>Gene1755-tree</v>
      </c>
      <c r="O553">
        <v>3</v>
      </c>
      <c r="P553">
        <v>2</v>
      </c>
      <c r="Q553">
        <v>3</v>
      </c>
      <c r="R553">
        <v>2</v>
      </c>
      <c r="S553">
        <v>0.4</v>
      </c>
      <c r="T553" t="s">
        <v>84</v>
      </c>
      <c r="U553" t="s">
        <v>135</v>
      </c>
      <c r="V553" t="s">
        <v>62</v>
      </c>
      <c r="W553" t="s">
        <v>62</v>
      </c>
      <c r="X553">
        <v>0</v>
      </c>
      <c r="Y553">
        <v>0</v>
      </c>
      <c r="Z553">
        <v>5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2</v>
      </c>
      <c r="AK553">
        <v>0</v>
      </c>
      <c r="AL553">
        <v>5</v>
      </c>
      <c r="AM553">
        <v>2</v>
      </c>
      <c r="AN553">
        <v>27</v>
      </c>
      <c r="AO553">
        <v>2</v>
      </c>
      <c r="AP553">
        <v>20</v>
      </c>
      <c r="AQ553">
        <v>3</v>
      </c>
      <c r="AR553" t="s">
        <v>2667</v>
      </c>
      <c r="AS553" t="s">
        <v>2668</v>
      </c>
      <c r="AT553">
        <v>0.36399999999999999</v>
      </c>
      <c r="AU553" t="s">
        <v>65</v>
      </c>
      <c r="AV553">
        <v>47</v>
      </c>
      <c r="AW553">
        <v>5</v>
      </c>
      <c r="AX553" t="s">
        <v>2669</v>
      </c>
      <c r="AY553" t="s">
        <v>2670</v>
      </c>
      <c r="AZ553" t="s">
        <v>2671</v>
      </c>
      <c r="BA553">
        <v>3.2899999999999999E-2</v>
      </c>
      <c r="BB553">
        <v>1</v>
      </c>
      <c r="BC553" t="s">
        <v>69</v>
      </c>
      <c r="BD553">
        <v>0.22</v>
      </c>
      <c r="BE553">
        <v>6.3E-2</v>
      </c>
    </row>
    <row r="554" spans="1:57">
      <c r="A554">
        <v>0</v>
      </c>
      <c r="B554">
        <v>0</v>
      </c>
      <c r="C554">
        <v>0</v>
      </c>
      <c r="D554">
        <v>2368</v>
      </c>
      <c r="E554" t="s">
        <v>3066</v>
      </c>
      <c r="F554" t="s">
        <v>5762</v>
      </c>
      <c r="G554" t="s">
        <v>62</v>
      </c>
      <c r="H554">
        <v>2381922</v>
      </c>
      <c r="I554">
        <v>2382965</v>
      </c>
      <c r="J554" t="s">
        <v>3067</v>
      </c>
      <c r="K554">
        <v>348</v>
      </c>
      <c r="L554" t="s">
        <v>59</v>
      </c>
      <c r="M554">
        <v>5</v>
      </c>
      <c r="N554" t="str">
        <f>HYPERLINK("Gene2368-zp_tree_all.dnd", "Gene2368-tree")</f>
        <v>Gene2368-tree</v>
      </c>
      <c r="O554">
        <v>4</v>
      </c>
      <c r="P554">
        <v>1</v>
      </c>
      <c r="Q554">
        <v>4</v>
      </c>
      <c r="R554">
        <v>1</v>
      </c>
      <c r="S554">
        <v>0.2</v>
      </c>
      <c r="T554" t="s">
        <v>60</v>
      </c>
      <c r="U554" t="s">
        <v>61</v>
      </c>
      <c r="V554" t="s">
        <v>62</v>
      </c>
      <c r="W554" t="s">
        <v>62</v>
      </c>
      <c r="X554">
        <v>0</v>
      </c>
      <c r="Y554">
        <v>0</v>
      </c>
      <c r="Z554">
        <v>3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2</v>
      </c>
      <c r="AK554">
        <v>0</v>
      </c>
      <c r="AL554">
        <v>5</v>
      </c>
      <c r="AM554">
        <v>2</v>
      </c>
      <c r="AN554">
        <v>28</v>
      </c>
      <c r="AO554">
        <v>2</v>
      </c>
      <c r="AP554">
        <v>36</v>
      </c>
      <c r="AQ554">
        <v>1</v>
      </c>
      <c r="AR554" t="s">
        <v>3068</v>
      </c>
      <c r="AS554" t="s">
        <v>3069</v>
      </c>
      <c r="AT554">
        <v>0.33400000000000002</v>
      </c>
      <c r="AU554" t="s">
        <v>65</v>
      </c>
      <c r="AV554">
        <v>64</v>
      </c>
      <c r="AW554">
        <v>3</v>
      </c>
      <c r="AX554" t="s">
        <v>3070</v>
      </c>
      <c r="AY554" t="s">
        <v>3071</v>
      </c>
      <c r="AZ554" t="s">
        <v>3072</v>
      </c>
      <c r="BA554">
        <v>1.159E-2</v>
      </c>
      <c r="BB554">
        <v>1</v>
      </c>
      <c r="BC554" t="s">
        <v>69</v>
      </c>
      <c r="BD554">
        <v>0.91</v>
      </c>
      <c r="BE554">
        <v>0.54800000000000004</v>
      </c>
    </row>
    <row r="555" spans="1:57">
      <c r="A555">
        <v>0</v>
      </c>
      <c r="B555">
        <v>0</v>
      </c>
      <c r="C555">
        <v>0</v>
      </c>
      <c r="D555">
        <v>2548</v>
      </c>
      <c r="E555" t="s">
        <v>3377</v>
      </c>
      <c r="F555" t="s">
        <v>5762</v>
      </c>
      <c r="G555" t="s">
        <v>62</v>
      </c>
      <c r="H555">
        <v>2538700</v>
      </c>
      <c r="I555">
        <v>2539758</v>
      </c>
      <c r="J555" t="s">
        <v>3378</v>
      </c>
      <c r="K555">
        <v>353</v>
      </c>
      <c r="L555" t="s">
        <v>83</v>
      </c>
      <c r="M555">
        <v>4</v>
      </c>
      <c r="N555" t="str">
        <f>HYPERLINK("Gene2548-zp_tree_all.dnd", "Gene2548-tree")</f>
        <v>Gene2548-tree</v>
      </c>
      <c r="O555">
        <v>0</v>
      </c>
      <c r="P555">
        <v>4</v>
      </c>
      <c r="Q555">
        <v>0</v>
      </c>
      <c r="R555">
        <v>4</v>
      </c>
      <c r="S555">
        <v>1</v>
      </c>
      <c r="T555" t="s">
        <v>62</v>
      </c>
      <c r="U555" t="s">
        <v>60</v>
      </c>
      <c r="V555" t="s">
        <v>62</v>
      </c>
      <c r="W555" t="s">
        <v>62</v>
      </c>
      <c r="X555">
        <v>0</v>
      </c>
      <c r="Y555">
        <v>0</v>
      </c>
      <c r="Z555">
        <v>13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12</v>
      </c>
      <c r="AK555">
        <v>0</v>
      </c>
      <c r="AL555">
        <v>4</v>
      </c>
      <c r="AM555">
        <v>1</v>
      </c>
      <c r="AN555">
        <v>42</v>
      </c>
      <c r="AO555">
        <v>12</v>
      </c>
      <c r="AP555">
        <v>5</v>
      </c>
      <c r="AQ555">
        <v>1</v>
      </c>
      <c r="AR555" t="s">
        <v>3379</v>
      </c>
      <c r="AS555" t="s">
        <v>3380</v>
      </c>
      <c r="AT555">
        <v>0.158</v>
      </c>
      <c r="AU555" t="s">
        <v>65</v>
      </c>
      <c r="AV555">
        <v>47</v>
      </c>
      <c r="AW555">
        <v>13</v>
      </c>
      <c r="AX555" t="s">
        <v>3381</v>
      </c>
      <c r="AY555" t="s">
        <v>3382</v>
      </c>
      <c r="AZ555" t="s">
        <v>3383</v>
      </c>
      <c r="BA555">
        <v>7.6749999999999999E-2</v>
      </c>
      <c r="BB555">
        <v>1</v>
      </c>
      <c r="BC555" t="s">
        <v>69</v>
      </c>
      <c r="BD555">
        <v>-0.437</v>
      </c>
      <c r="BE555">
        <v>-0.59899999999999998</v>
      </c>
    </row>
    <row r="556" spans="1:57">
      <c r="A556">
        <v>0</v>
      </c>
      <c r="B556">
        <v>0</v>
      </c>
      <c r="C556">
        <v>0</v>
      </c>
      <c r="D556">
        <v>1048</v>
      </c>
      <c r="E556" t="s">
        <v>1509</v>
      </c>
      <c r="F556" t="s">
        <v>5762</v>
      </c>
      <c r="G556" t="s">
        <v>57</v>
      </c>
      <c r="H556">
        <v>1086117</v>
      </c>
      <c r="I556">
        <v>1087175</v>
      </c>
      <c r="J556" t="s">
        <v>1510</v>
      </c>
      <c r="K556">
        <v>353</v>
      </c>
      <c r="L556" t="s">
        <v>83</v>
      </c>
      <c r="M556">
        <v>4</v>
      </c>
      <c r="N556" t="str">
        <f>HYPERLINK("Gene1048-zp_tree_all.dnd", "Gene1048-tree")</f>
        <v>Gene1048-tree</v>
      </c>
      <c r="O556">
        <v>0</v>
      </c>
      <c r="P556">
        <v>4</v>
      </c>
      <c r="Q556">
        <v>0</v>
      </c>
      <c r="R556">
        <v>4</v>
      </c>
      <c r="S556">
        <v>1</v>
      </c>
      <c r="T556" t="s">
        <v>62</v>
      </c>
      <c r="U556" t="s">
        <v>60</v>
      </c>
      <c r="V556" t="s">
        <v>62</v>
      </c>
      <c r="W556" t="s">
        <v>62</v>
      </c>
      <c r="X556">
        <v>0</v>
      </c>
      <c r="Y556">
        <v>0</v>
      </c>
      <c r="Z556">
        <v>12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9</v>
      </c>
      <c r="AK556">
        <v>0</v>
      </c>
      <c r="AL556">
        <v>4</v>
      </c>
      <c r="AM556">
        <v>1</v>
      </c>
      <c r="AN556">
        <v>48</v>
      </c>
      <c r="AO556">
        <v>9</v>
      </c>
      <c r="AP556">
        <v>8</v>
      </c>
      <c r="AQ556">
        <v>3</v>
      </c>
      <c r="AR556" t="s">
        <v>1511</v>
      </c>
      <c r="AS556" t="s">
        <v>1512</v>
      </c>
      <c r="AT556">
        <v>1.2749999999999999</v>
      </c>
      <c r="AU556" t="s">
        <v>65</v>
      </c>
      <c r="AV556">
        <v>56</v>
      </c>
      <c r="AW556">
        <v>12</v>
      </c>
      <c r="AX556" t="s">
        <v>1513</v>
      </c>
      <c r="AY556" t="s">
        <v>1514</v>
      </c>
      <c r="AZ556" t="s">
        <v>1515</v>
      </c>
      <c r="BA556">
        <v>6.3039999999999999E-2</v>
      </c>
      <c r="BB556">
        <v>1</v>
      </c>
      <c r="BC556" t="s">
        <v>69</v>
      </c>
      <c r="BD556">
        <v>-0.06</v>
      </c>
      <c r="BE556">
        <v>-0.66700000000000004</v>
      </c>
    </row>
    <row r="557" spans="1:57">
      <c r="A557">
        <v>0</v>
      </c>
      <c r="B557">
        <v>0</v>
      </c>
      <c r="C557">
        <v>0</v>
      </c>
      <c r="D557">
        <v>465</v>
      </c>
      <c r="E557" t="s">
        <v>933</v>
      </c>
      <c r="F557" t="s">
        <v>5762</v>
      </c>
      <c r="G557" t="s">
        <v>57</v>
      </c>
      <c r="H557">
        <v>508248</v>
      </c>
      <c r="I557">
        <v>509309</v>
      </c>
      <c r="J557" t="s">
        <v>934</v>
      </c>
      <c r="K557">
        <v>354</v>
      </c>
      <c r="L557" t="s">
        <v>59</v>
      </c>
      <c r="M557">
        <v>5</v>
      </c>
      <c r="N557" t="str">
        <f>HYPERLINK("Gene465-zp_tree_all.dnd", "Gene465-tree")</f>
        <v>Gene465-tree</v>
      </c>
      <c r="O557">
        <v>2</v>
      </c>
      <c r="P557">
        <v>3</v>
      </c>
      <c r="Q557">
        <v>2</v>
      </c>
      <c r="R557">
        <v>3</v>
      </c>
      <c r="S557">
        <v>0.6</v>
      </c>
      <c r="T557" t="s">
        <v>135</v>
      </c>
      <c r="U557" t="s">
        <v>84</v>
      </c>
      <c r="V557" t="s">
        <v>62</v>
      </c>
      <c r="W557" t="s">
        <v>62</v>
      </c>
      <c r="X557">
        <v>0</v>
      </c>
      <c r="Y557">
        <v>0</v>
      </c>
      <c r="Z557">
        <v>8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6</v>
      </c>
      <c r="AK557">
        <v>0</v>
      </c>
      <c r="AL557">
        <v>5</v>
      </c>
      <c r="AM557">
        <v>2</v>
      </c>
      <c r="AN557">
        <v>40</v>
      </c>
      <c r="AO557">
        <v>7</v>
      </c>
      <c r="AP557">
        <v>22</v>
      </c>
      <c r="AQ557">
        <v>2</v>
      </c>
      <c r="AR557" t="s">
        <v>935</v>
      </c>
      <c r="AS557" t="s">
        <v>936</v>
      </c>
      <c r="AT557">
        <v>0.505</v>
      </c>
      <c r="AU557" t="s">
        <v>65</v>
      </c>
      <c r="AV557">
        <v>62</v>
      </c>
      <c r="AW557">
        <v>9</v>
      </c>
      <c r="AX557" t="s">
        <v>937</v>
      </c>
      <c r="AY557" t="s">
        <v>938</v>
      </c>
      <c r="AZ557" t="s">
        <v>939</v>
      </c>
      <c r="BA557">
        <v>3.9879999999999999E-2</v>
      </c>
      <c r="BB557">
        <v>1</v>
      </c>
      <c r="BC557" t="s">
        <v>69</v>
      </c>
      <c r="BD557">
        <v>5.0000000000000001E-3</v>
      </c>
      <c r="BE557">
        <v>-0.115</v>
      </c>
    </row>
    <row r="558" spans="1:57">
      <c r="A558">
        <v>0</v>
      </c>
      <c r="B558">
        <v>0</v>
      </c>
      <c r="C558">
        <v>0</v>
      </c>
      <c r="D558">
        <v>1549</v>
      </c>
      <c r="E558" t="s">
        <v>2089</v>
      </c>
      <c r="F558" t="s">
        <v>5762</v>
      </c>
      <c r="G558" t="s">
        <v>57</v>
      </c>
      <c r="H558">
        <v>1560466</v>
      </c>
      <c r="I558">
        <v>1561533</v>
      </c>
      <c r="J558" t="s">
        <v>2090</v>
      </c>
      <c r="K558">
        <v>356</v>
      </c>
      <c r="L558" t="s">
        <v>83</v>
      </c>
      <c r="M558">
        <v>4</v>
      </c>
      <c r="N558" t="str">
        <f>HYPERLINK("Gene1549-zp_tree_all.dnd", "Gene1549-tree")</f>
        <v>Gene1549-tree</v>
      </c>
      <c r="O558">
        <v>2</v>
      </c>
      <c r="P558">
        <v>2</v>
      </c>
      <c r="Q558">
        <v>2</v>
      </c>
      <c r="R558">
        <v>2</v>
      </c>
      <c r="S558">
        <v>0.5</v>
      </c>
      <c r="T558" t="s">
        <v>135</v>
      </c>
      <c r="U558" t="s">
        <v>135</v>
      </c>
      <c r="V558" t="s">
        <v>62</v>
      </c>
      <c r="W558" t="s">
        <v>62</v>
      </c>
      <c r="X558">
        <v>0</v>
      </c>
      <c r="Y558">
        <v>0</v>
      </c>
      <c r="Z558">
        <v>8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7</v>
      </c>
      <c r="AK558">
        <v>0</v>
      </c>
      <c r="AL558">
        <v>4</v>
      </c>
      <c r="AM558">
        <v>1</v>
      </c>
      <c r="AN558">
        <v>51</v>
      </c>
      <c r="AO558">
        <v>7</v>
      </c>
      <c r="AP558">
        <v>1</v>
      </c>
      <c r="AQ558">
        <v>1</v>
      </c>
      <c r="AR558" t="s">
        <v>2091</v>
      </c>
      <c r="AS558" t="s">
        <v>2092</v>
      </c>
      <c r="AT558">
        <v>3.5390000000000001</v>
      </c>
      <c r="AU558" t="s">
        <v>65</v>
      </c>
      <c r="AV558">
        <v>52</v>
      </c>
      <c r="AW558">
        <v>8</v>
      </c>
      <c r="AX558" t="s">
        <v>2093</v>
      </c>
      <c r="AY558" t="s">
        <v>2094</v>
      </c>
      <c r="AZ558" t="s">
        <v>2095</v>
      </c>
      <c r="BA558">
        <v>4.0629999999999999E-2</v>
      </c>
      <c r="BB558">
        <v>1</v>
      </c>
      <c r="BC558" t="s">
        <v>69</v>
      </c>
      <c r="BD558">
        <v>-0.76300000000000001</v>
      </c>
      <c r="BE558">
        <v>-0.76300000000000001</v>
      </c>
    </row>
    <row r="559" spans="1:57">
      <c r="A559">
        <v>0</v>
      </c>
      <c r="B559">
        <v>0</v>
      </c>
      <c r="C559">
        <v>0</v>
      </c>
      <c r="D559">
        <v>3836</v>
      </c>
      <c r="E559" t="s">
        <v>5176</v>
      </c>
      <c r="F559" t="s">
        <v>5762</v>
      </c>
      <c r="G559" t="s">
        <v>62</v>
      </c>
      <c r="H559">
        <v>3797088</v>
      </c>
      <c r="I559">
        <v>3798155</v>
      </c>
      <c r="J559" t="s">
        <v>5177</v>
      </c>
      <c r="K559">
        <v>356</v>
      </c>
      <c r="L559" t="s">
        <v>59</v>
      </c>
      <c r="M559">
        <v>5</v>
      </c>
      <c r="N559" t="str">
        <f>HYPERLINK("Gene3836-zp_tree_all.dnd", "Gene3836-tree")</f>
        <v>Gene3836-tree</v>
      </c>
      <c r="O559">
        <v>4</v>
      </c>
      <c r="P559">
        <v>1</v>
      </c>
      <c r="Q559">
        <v>4</v>
      </c>
      <c r="R559">
        <v>1</v>
      </c>
      <c r="S559">
        <v>0.2</v>
      </c>
      <c r="T559" t="s">
        <v>60</v>
      </c>
      <c r="U559" t="s">
        <v>61</v>
      </c>
      <c r="V559" t="s">
        <v>62</v>
      </c>
      <c r="W559" t="s">
        <v>62</v>
      </c>
      <c r="X559">
        <v>0</v>
      </c>
      <c r="Y559">
        <v>0</v>
      </c>
      <c r="Z559">
        <v>2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2</v>
      </c>
      <c r="AK559">
        <v>0</v>
      </c>
      <c r="AL559">
        <v>5</v>
      </c>
      <c r="AM559">
        <v>2</v>
      </c>
      <c r="AN559">
        <v>25</v>
      </c>
      <c r="AO559">
        <v>2</v>
      </c>
      <c r="AP559">
        <v>29</v>
      </c>
      <c r="AQ559">
        <v>0</v>
      </c>
      <c r="AR559" t="s">
        <v>5178</v>
      </c>
      <c r="AS559" t="s">
        <v>64</v>
      </c>
      <c r="AT559">
        <v>0.52100000000000002</v>
      </c>
      <c r="AU559" t="s">
        <v>65</v>
      </c>
      <c r="AV559">
        <v>54</v>
      </c>
      <c r="AW559">
        <v>2</v>
      </c>
      <c r="AX559" t="s">
        <v>5179</v>
      </c>
      <c r="AY559" t="s">
        <v>5180</v>
      </c>
      <c r="AZ559" t="s">
        <v>5181</v>
      </c>
      <c r="BA559">
        <v>8.1300000000000001E-3</v>
      </c>
      <c r="BB559">
        <v>1</v>
      </c>
      <c r="BC559" t="s">
        <v>69</v>
      </c>
      <c r="BD559">
        <v>0.55200000000000005</v>
      </c>
      <c r="BE559">
        <v>0.40400000000000003</v>
      </c>
    </row>
    <row r="560" spans="1:57">
      <c r="A560">
        <v>0</v>
      </c>
      <c r="B560">
        <v>0</v>
      </c>
      <c r="C560">
        <v>0</v>
      </c>
      <c r="D560">
        <v>1183</v>
      </c>
      <c r="E560" t="s">
        <v>1650</v>
      </c>
      <c r="F560" t="s">
        <v>5762</v>
      </c>
      <c r="G560" t="s">
        <v>57</v>
      </c>
      <c r="H560">
        <v>1223455</v>
      </c>
      <c r="I560">
        <v>1224528</v>
      </c>
      <c r="J560" t="s">
        <v>1625</v>
      </c>
      <c r="K560">
        <v>358</v>
      </c>
      <c r="L560" t="s">
        <v>83</v>
      </c>
      <c r="M560">
        <v>4</v>
      </c>
      <c r="N560" t="str">
        <f>HYPERLINK("Gene1183-zp_tree_all.dnd", "Gene1183-tree")</f>
        <v>Gene1183-tree</v>
      </c>
      <c r="O560">
        <v>1</v>
      </c>
      <c r="P560">
        <v>3</v>
      </c>
      <c r="Q560">
        <v>1</v>
      </c>
      <c r="R560">
        <v>3</v>
      </c>
      <c r="S560">
        <v>0.75</v>
      </c>
      <c r="T560" t="s">
        <v>61</v>
      </c>
      <c r="U560" t="s">
        <v>84</v>
      </c>
      <c r="V560" t="s">
        <v>62</v>
      </c>
      <c r="W560" t="s">
        <v>62</v>
      </c>
      <c r="X560">
        <v>0</v>
      </c>
      <c r="Y560">
        <v>0</v>
      </c>
      <c r="Z560">
        <v>5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4</v>
      </c>
      <c r="AK560">
        <v>0</v>
      </c>
      <c r="AL560">
        <v>4</v>
      </c>
      <c r="AM560">
        <v>1</v>
      </c>
      <c r="AN560">
        <v>53</v>
      </c>
      <c r="AO560">
        <v>4</v>
      </c>
      <c r="AP560">
        <v>8</v>
      </c>
      <c r="AQ560">
        <v>1</v>
      </c>
      <c r="AR560" t="s">
        <v>1651</v>
      </c>
      <c r="AS560" t="s">
        <v>1652</v>
      </c>
      <c r="AT560">
        <v>0.95099999999999996</v>
      </c>
      <c r="AU560" t="s">
        <v>65</v>
      </c>
      <c r="AV560">
        <v>61</v>
      </c>
      <c r="AW560">
        <v>5</v>
      </c>
      <c r="AX560" t="s">
        <v>1653</v>
      </c>
      <c r="AY560" t="s">
        <v>1654</v>
      </c>
      <c r="AZ560" t="s">
        <v>1655</v>
      </c>
      <c r="BA560">
        <v>2.3980000000000001E-2</v>
      </c>
      <c r="BB560">
        <v>1</v>
      </c>
      <c r="BC560" t="s">
        <v>69</v>
      </c>
      <c r="BD560">
        <v>-0.15</v>
      </c>
      <c r="BE560">
        <v>-0.45800000000000002</v>
      </c>
    </row>
    <row r="561" spans="1:57">
      <c r="A561">
        <v>0</v>
      </c>
      <c r="B561">
        <v>0</v>
      </c>
      <c r="C561">
        <v>0</v>
      </c>
      <c r="D561">
        <v>3093</v>
      </c>
      <c r="E561" t="s">
        <v>4189</v>
      </c>
      <c r="F561" t="s">
        <v>5762</v>
      </c>
      <c r="G561" t="s">
        <v>62</v>
      </c>
      <c r="H561">
        <v>3045448</v>
      </c>
      <c r="I561">
        <v>3046521</v>
      </c>
      <c r="J561" t="s">
        <v>4190</v>
      </c>
      <c r="K561">
        <v>358</v>
      </c>
      <c r="L561" t="s">
        <v>59</v>
      </c>
      <c r="M561">
        <v>5</v>
      </c>
      <c r="N561" t="str">
        <f>HYPERLINK("Gene3093-zp_tree_all.dnd", "Gene3093-tree")</f>
        <v>Gene3093-tree</v>
      </c>
      <c r="O561">
        <v>5</v>
      </c>
      <c r="P561">
        <v>0</v>
      </c>
      <c r="Q561">
        <v>5</v>
      </c>
      <c r="R561">
        <v>0</v>
      </c>
      <c r="S561">
        <v>0</v>
      </c>
      <c r="T561" t="s">
        <v>98</v>
      </c>
      <c r="U561" t="s">
        <v>62</v>
      </c>
      <c r="V561" t="s">
        <v>62</v>
      </c>
      <c r="W561" t="s">
        <v>62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5</v>
      </c>
      <c r="AM561">
        <v>2</v>
      </c>
      <c r="AN561">
        <v>33</v>
      </c>
      <c r="AO561">
        <v>0</v>
      </c>
      <c r="AP561">
        <v>32</v>
      </c>
      <c r="AQ561">
        <v>0</v>
      </c>
      <c r="AR561" t="s">
        <v>64</v>
      </c>
      <c r="AS561" t="s">
        <v>64</v>
      </c>
      <c r="AT561">
        <v>0</v>
      </c>
      <c r="AU561" t="s">
        <v>65</v>
      </c>
      <c r="AV561">
        <v>65</v>
      </c>
      <c r="AW561">
        <v>0</v>
      </c>
      <c r="AX561" t="s">
        <v>4191</v>
      </c>
      <c r="AY561" t="s">
        <v>4192</v>
      </c>
      <c r="AZ561" t="s">
        <v>64</v>
      </c>
      <c r="BA561">
        <v>0</v>
      </c>
      <c r="BB561">
        <v>1</v>
      </c>
      <c r="BC561" t="s">
        <v>69</v>
      </c>
      <c r="BD561">
        <v>0.51900000000000002</v>
      </c>
      <c r="BE561">
        <v>0.26400000000000001</v>
      </c>
    </row>
    <row r="562" spans="1:57">
      <c r="A562">
        <v>0</v>
      </c>
      <c r="B562">
        <v>0</v>
      </c>
      <c r="C562">
        <v>0</v>
      </c>
      <c r="D562">
        <v>88</v>
      </c>
      <c r="E562" t="s">
        <v>329</v>
      </c>
      <c r="F562" t="s">
        <v>5762</v>
      </c>
      <c r="G562" t="s">
        <v>57</v>
      </c>
      <c r="H562">
        <v>107476</v>
      </c>
      <c r="I562">
        <v>108555</v>
      </c>
      <c r="J562" t="s">
        <v>330</v>
      </c>
      <c r="K562">
        <v>360</v>
      </c>
      <c r="L562" t="s">
        <v>59</v>
      </c>
      <c r="M562">
        <v>5</v>
      </c>
      <c r="N562" t="str">
        <f>HYPERLINK("Gene88-zp_tree_all.dnd", "Gene88-tree")</f>
        <v>Gene88-tree</v>
      </c>
      <c r="O562">
        <v>4</v>
      </c>
      <c r="P562">
        <v>1</v>
      </c>
      <c r="Q562">
        <v>4</v>
      </c>
      <c r="R562">
        <v>1</v>
      </c>
      <c r="S562">
        <v>0.2</v>
      </c>
      <c r="T562" t="s">
        <v>60</v>
      </c>
      <c r="U562" t="s">
        <v>61</v>
      </c>
      <c r="V562" t="s">
        <v>62</v>
      </c>
      <c r="W562" t="s">
        <v>62</v>
      </c>
      <c r="X562">
        <v>0</v>
      </c>
      <c r="Y562">
        <v>0</v>
      </c>
      <c r="Z562">
        <v>1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>
        <v>5</v>
      </c>
      <c r="AM562">
        <v>2</v>
      </c>
      <c r="AN562">
        <v>26</v>
      </c>
      <c r="AO562">
        <v>1</v>
      </c>
      <c r="AP562">
        <v>33</v>
      </c>
      <c r="AQ562">
        <v>1</v>
      </c>
      <c r="AR562" t="s">
        <v>331</v>
      </c>
      <c r="AS562" t="s">
        <v>332</v>
      </c>
      <c r="AT562">
        <v>0.121</v>
      </c>
      <c r="AU562" t="s">
        <v>65</v>
      </c>
      <c r="AV562">
        <v>59</v>
      </c>
      <c r="AW562">
        <v>2</v>
      </c>
      <c r="AX562" t="s">
        <v>333</v>
      </c>
      <c r="AY562" t="s">
        <v>334</v>
      </c>
      <c r="AZ562" t="s">
        <v>335</v>
      </c>
      <c r="BA562">
        <v>8.94E-3</v>
      </c>
      <c r="BB562">
        <v>1</v>
      </c>
      <c r="BC562" t="s">
        <v>69</v>
      </c>
      <c r="BD562">
        <v>0.60899999999999999</v>
      </c>
      <c r="BE562">
        <v>0.502</v>
      </c>
    </row>
    <row r="563" spans="1:57">
      <c r="A563">
        <v>0</v>
      </c>
      <c r="B563">
        <v>0</v>
      </c>
      <c r="C563">
        <v>2</v>
      </c>
      <c r="D563">
        <v>1583</v>
      </c>
      <c r="E563" t="s">
        <v>2191</v>
      </c>
      <c r="F563" t="s">
        <v>5762</v>
      </c>
      <c r="G563" t="s">
        <v>57</v>
      </c>
      <c r="H563">
        <v>1591540</v>
      </c>
      <c r="I563">
        <v>1592628</v>
      </c>
      <c r="J563" t="s">
        <v>2192</v>
      </c>
      <c r="K563">
        <v>363</v>
      </c>
      <c r="L563" t="s">
        <v>83</v>
      </c>
      <c r="M563">
        <v>4</v>
      </c>
      <c r="N563" t="str">
        <f>HYPERLINK("Gene1583-zp_tree_all.dnd", "Gene1583-tree")</f>
        <v>Gene1583-tree</v>
      </c>
      <c r="O563">
        <v>1</v>
      </c>
      <c r="P563">
        <v>3</v>
      </c>
      <c r="Q563">
        <v>1</v>
      </c>
      <c r="R563">
        <v>3</v>
      </c>
      <c r="S563">
        <v>0.75</v>
      </c>
      <c r="T563" t="s">
        <v>61</v>
      </c>
      <c r="U563" t="s">
        <v>84</v>
      </c>
      <c r="V563" t="s">
        <v>62</v>
      </c>
      <c r="W563" t="s">
        <v>62</v>
      </c>
      <c r="X563">
        <v>1</v>
      </c>
      <c r="Y563">
        <v>2</v>
      </c>
      <c r="Z563">
        <v>8</v>
      </c>
      <c r="AA563">
        <v>0.2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2</v>
      </c>
      <c r="AI563">
        <v>2</v>
      </c>
      <c r="AJ563">
        <v>7</v>
      </c>
      <c r="AK563">
        <v>0.22222</v>
      </c>
      <c r="AL563">
        <v>4</v>
      </c>
      <c r="AM563">
        <v>1</v>
      </c>
      <c r="AN563">
        <v>48</v>
      </c>
      <c r="AO563">
        <v>11</v>
      </c>
      <c r="AP563">
        <v>1</v>
      </c>
      <c r="AQ563">
        <v>1</v>
      </c>
      <c r="AR563" t="s">
        <v>2193</v>
      </c>
      <c r="AS563" t="s">
        <v>2194</v>
      </c>
      <c r="AT563">
        <v>3.1760000000000002</v>
      </c>
      <c r="AU563" t="s">
        <v>65</v>
      </c>
      <c r="AV563">
        <v>49</v>
      </c>
      <c r="AW563">
        <v>12</v>
      </c>
      <c r="AX563" t="s">
        <v>2195</v>
      </c>
      <c r="AY563" t="s">
        <v>2196</v>
      </c>
      <c r="AZ563" t="s">
        <v>2197</v>
      </c>
      <c r="BA563">
        <v>7.0849999999999996E-2</v>
      </c>
      <c r="BB563">
        <v>1</v>
      </c>
      <c r="BC563" t="s">
        <v>69</v>
      </c>
      <c r="BD563">
        <v>-0.42199999999999999</v>
      </c>
      <c r="BE563">
        <v>-0.75700000000000001</v>
      </c>
    </row>
    <row r="564" spans="1:57">
      <c r="A564">
        <v>0</v>
      </c>
      <c r="B564">
        <v>0</v>
      </c>
      <c r="C564">
        <v>0</v>
      </c>
      <c r="D564">
        <v>1636</v>
      </c>
      <c r="E564" t="s">
        <v>2330</v>
      </c>
      <c r="F564" t="s">
        <v>5762</v>
      </c>
      <c r="G564" t="s">
        <v>57</v>
      </c>
      <c r="H564">
        <v>1649286</v>
      </c>
      <c r="I564">
        <v>1650374</v>
      </c>
      <c r="J564" t="s">
        <v>2331</v>
      </c>
      <c r="K564">
        <v>363</v>
      </c>
      <c r="L564" t="s">
        <v>83</v>
      </c>
      <c r="M564">
        <v>4</v>
      </c>
      <c r="N564" t="str">
        <f>HYPERLINK("Gene1636-zp_tree_all.dnd", "Gene1636-tree")</f>
        <v>Gene1636-tree</v>
      </c>
      <c r="O564">
        <v>2</v>
      </c>
      <c r="P564">
        <v>2</v>
      </c>
      <c r="Q564">
        <v>2</v>
      </c>
      <c r="R564">
        <v>2</v>
      </c>
      <c r="S564">
        <v>0.5</v>
      </c>
      <c r="T564" t="s">
        <v>135</v>
      </c>
      <c r="U564" t="s">
        <v>135</v>
      </c>
      <c r="V564" t="s">
        <v>62</v>
      </c>
      <c r="W564" t="s">
        <v>62</v>
      </c>
      <c r="X564">
        <v>0</v>
      </c>
      <c r="Y564">
        <v>0</v>
      </c>
      <c r="Z564">
        <v>8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7</v>
      </c>
      <c r="AK564">
        <v>0</v>
      </c>
      <c r="AL564">
        <v>4</v>
      </c>
      <c r="AM564">
        <v>1</v>
      </c>
      <c r="AN564">
        <v>55</v>
      </c>
      <c r="AO564">
        <v>7</v>
      </c>
      <c r="AP564">
        <v>5</v>
      </c>
      <c r="AQ564">
        <v>1</v>
      </c>
      <c r="AR564" t="s">
        <v>2332</v>
      </c>
      <c r="AS564" t="s">
        <v>2333</v>
      </c>
      <c r="AT564">
        <v>0.40400000000000003</v>
      </c>
      <c r="AU564" t="s">
        <v>65</v>
      </c>
      <c r="AV564">
        <v>60</v>
      </c>
      <c r="AW564">
        <v>8</v>
      </c>
      <c r="AX564" t="s">
        <v>2334</v>
      </c>
      <c r="AY564" t="s">
        <v>2335</v>
      </c>
      <c r="AZ564" t="s">
        <v>2336</v>
      </c>
      <c r="BA564">
        <v>3.5650000000000001E-2</v>
      </c>
      <c r="BB564">
        <v>1</v>
      </c>
      <c r="BC564" t="s">
        <v>69</v>
      </c>
      <c r="BD564">
        <v>-0.48299999999999998</v>
      </c>
      <c r="BE564">
        <v>-0.77300000000000002</v>
      </c>
    </row>
    <row r="565" spans="1:57">
      <c r="A565">
        <v>0</v>
      </c>
      <c r="B565">
        <v>0</v>
      </c>
      <c r="C565">
        <v>0</v>
      </c>
      <c r="D565">
        <v>85</v>
      </c>
      <c r="E565" t="s">
        <v>322</v>
      </c>
      <c r="F565" t="s">
        <v>5762</v>
      </c>
      <c r="G565" t="s">
        <v>57</v>
      </c>
      <c r="H565">
        <v>102484</v>
      </c>
      <c r="I565">
        <v>103572</v>
      </c>
      <c r="J565" t="s">
        <v>323</v>
      </c>
      <c r="K565">
        <v>363</v>
      </c>
      <c r="L565" t="s">
        <v>59</v>
      </c>
      <c r="M565">
        <v>5</v>
      </c>
      <c r="N565" t="str">
        <f>HYPERLINK("Gene85-zp_tree_all.dnd", "Gene85-tree")</f>
        <v>Gene85-tree</v>
      </c>
      <c r="O565">
        <v>3</v>
      </c>
      <c r="P565">
        <v>2</v>
      </c>
      <c r="Q565">
        <v>3</v>
      </c>
      <c r="R565">
        <v>2</v>
      </c>
      <c r="S565">
        <v>0.4</v>
      </c>
      <c r="T565" t="s">
        <v>84</v>
      </c>
      <c r="U565" t="s">
        <v>135</v>
      </c>
      <c r="V565" t="s">
        <v>62</v>
      </c>
      <c r="W565" t="s">
        <v>62</v>
      </c>
      <c r="X565">
        <v>0</v>
      </c>
      <c r="Y565">
        <v>0</v>
      </c>
      <c r="Z565">
        <v>5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2</v>
      </c>
      <c r="AK565">
        <v>0</v>
      </c>
      <c r="AL565">
        <v>5</v>
      </c>
      <c r="AM565">
        <v>2</v>
      </c>
      <c r="AN565">
        <v>36</v>
      </c>
      <c r="AO565">
        <v>2</v>
      </c>
      <c r="AP565">
        <v>31</v>
      </c>
      <c r="AQ565">
        <v>4</v>
      </c>
      <c r="AR565" t="s">
        <v>324</v>
      </c>
      <c r="AS565" t="s">
        <v>325</v>
      </c>
      <c r="AT565">
        <v>0.47299999999999998</v>
      </c>
      <c r="AU565" t="s">
        <v>65</v>
      </c>
      <c r="AV565">
        <v>67</v>
      </c>
      <c r="AW565">
        <v>6</v>
      </c>
      <c r="AX565" t="s">
        <v>326</v>
      </c>
      <c r="AY565" t="s">
        <v>327</v>
      </c>
      <c r="AZ565" t="s">
        <v>328</v>
      </c>
      <c r="BA565">
        <v>2.546E-2</v>
      </c>
      <c r="BB565">
        <v>1</v>
      </c>
      <c r="BC565" t="s">
        <v>69</v>
      </c>
      <c r="BD565">
        <v>0.57499999999999996</v>
      </c>
      <c r="BE565">
        <v>0.38600000000000001</v>
      </c>
    </row>
    <row r="566" spans="1:57">
      <c r="A566">
        <v>0</v>
      </c>
      <c r="B566">
        <v>0</v>
      </c>
      <c r="C566">
        <v>0</v>
      </c>
      <c r="D566">
        <v>295</v>
      </c>
      <c r="E566" t="s">
        <v>723</v>
      </c>
      <c r="F566" t="s">
        <v>5762</v>
      </c>
      <c r="G566" t="s">
        <v>57</v>
      </c>
      <c r="H566">
        <v>316512</v>
      </c>
      <c r="I566">
        <v>317600</v>
      </c>
      <c r="J566" t="s">
        <v>724</v>
      </c>
      <c r="K566">
        <v>363</v>
      </c>
      <c r="L566" t="s">
        <v>83</v>
      </c>
      <c r="M566">
        <v>4</v>
      </c>
      <c r="N566" t="str">
        <f>HYPERLINK("Gene295-zp_tree_all.dnd", "Gene295-tree")</f>
        <v>Gene295-tree</v>
      </c>
      <c r="O566">
        <v>3</v>
      </c>
      <c r="P566">
        <v>1</v>
      </c>
      <c r="Q566">
        <v>3</v>
      </c>
      <c r="R566">
        <v>1</v>
      </c>
      <c r="S566">
        <v>0.25</v>
      </c>
      <c r="T566" t="s">
        <v>84</v>
      </c>
      <c r="U566" t="s">
        <v>61</v>
      </c>
      <c r="V566" t="s">
        <v>62</v>
      </c>
      <c r="W566" t="s">
        <v>62</v>
      </c>
      <c r="X566">
        <v>0</v>
      </c>
      <c r="Y566">
        <v>0</v>
      </c>
      <c r="Z566">
        <v>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3</v>
      </c>
      <c r="AK566">
        <v>0</v>
      </c>
      <c r="AL566">
        <v>4</v>
      </c>
      <c r="AM566">
        <v>1</v>
      </c>
      <c r="AN566">
        <v>61</v>
      </c>
      <c r="AO566">
        <v>3</v>
      </c>
      <c r="AP566">
        <v>2</v>
      </c>
      <c r="AQ566">
        <v>0</v>
      </c>
      <c r="AR566" t="s">
        <v>725</v>
      </c>
      <c r="AS566" t="s">
        <v>64</v>
      </c>
      <c r="AT566">
        <v>0.47299999999999998</v>
      </c>
      <c r="AU566" t="s">
        <v>65</v>
      </c>
      <c r="AV566">
        <v>63</v>
      </c>
      <c r="AW566">
        <v>3</v>
      </c>
      <c r="AX566" t="s">
        <v>726</v>
      </c>
      <c r="AY566" t="s">
        <v>727</v>
      </c>
      <c r="AZ566" t="s">
        <v>728</v>
      </c>
      <c r="BA566">
        <v>1.1379999999999999E-2</v>
      </c>
      <c r="BB566">
        <v>1</v>
      </c>
      <c r="BC566" t="s">
        <v>69</v>
      </c>
      <c r="BD566">
        <v>-0.50900000000000001</v>
      </c>
      <c r="BE566">
        <v>-0.66300000000000003</v>
      </c>
    </row>
    <row r="567" spans="1:57">
      <c r="A567">
        <v>0</v>
      </c>
      <c r="B567">
        <v>0</v>
      </c>
      <c r="C567">
        <v>0</v>
      </c>
      <c r="D567">
        <v>1612</v>
      </c>
      <c r="E567" t="s">
        <v>2285</v>
      </c>
      <c r="F567" t="s">
        <v>5762</v>
      </c>
      <c r="G567" t="s">
        <v>57</v>
      </c>
      <c r="H567">
        <v>1622657</v>
      </c>
      <c r="I567">
        <v>1623748</v>
      </c>
      <c r="J567" t="s">
        <v>2286</v>
      </c>
      <c r="K567">
        <v>364</v>
      </c>
      <c r="L567" t="s">
        <v>83</v>
      </c>
      <c r="M567">
        <v>4</v>
      </c>
      <c r="N567" t="str">
        <f>HYPERLINK("Gene1612-zp_tree_all.dnd", "Gene1612-tree")</f>
        <v>Gene1612-tree</v>
      </c>
      <c r="O567">
        <v>2</v>
      </c>
      <c r="P567">
        <v>2</v>
      </c>
      <c r="Q567">
        <v>2</v>
      </c>
      <c r="R567">
        <v>2</v>
      </c>
      <c r="S567">
        <v>0.5</v>
      </c>
      <c r="T567" t="s">
        <v>135</v>
      </c>
      <c r="U567" t="s">
        <v>135</v>
      </c>
      <c r="V567" t="s">
        <v>62</v>
      </c>
      <c r="W567" t="s">
        <v>62</v>
      </c>
      <c r="X567">
        <v>0</v>
      </c>
      <c r="Y567">
        <v>0</v>
      </c>
      <c r="Z567">
        <v>6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6</v>
      </c>
      <c r="AK567">
        <v>0</v>
      </c>
      <c r="AL567">
        <v>4</v>
      </c>
      <c r="AM567">
        <v>1</v>
      </c>
      <c r="AN567">
        <v>51</v>
      </c>
      <c r="AO567">
        <v>6</v>
      </c>
      <c r="AP567">
        <v>1</v>
      </c>
      <c r="AQ567">
        <v>0</v>
      </c>
      <c r="AR567" t="s">
        <v>2287</v>
      </c>
      <c r="AS567" t="s">
        <v>64</v>
      </c>
      <c r="AT567">
        <v>0.48699999999999999</v>
      </c>
      <c r="AU567" t="s">
        <v>65</v>
      </c>
      <c r="AV567">
        <v>52</v>
      </c>
      <c r="AW567">
        <v>6</v>
      </c>
      <c r="AX567" t="s">
        <v>2288</v>
      </c>
      <c r="AY567" t="s">
        <v>2289</v>
      </c>
      <c r="AZ567" t="s">
        <v>2290</v>
      </c>
      <c r="BA567">
        <v>3.074E-2</v>
      </c>
      <c r="BB567">
        <v>1</v>
      </c>
      <c r="BC567" t="s">
        <v>69</v>
      </c>
      <c r="BD567">
        <v>-0.81399999999999995</v>
      </c>
      <c r="BE567">
        <v>-0.81399999999999995</v>
      </c>
    </row>
    <row r="568" spans="1:57">
      <c r="A568">
        <v>0</v>
      </c>
      <c r="B568">
        <v>0</v>
      </c>
      <c r="C568">
        <v>0</v>
      </c>
      <c r="D568">
        <v>89</v>
      </c>
      <c r="E568" t="s">
        <v>336</v>
      </c>
      <c r="F568" t="s">
        <v>5762</v>
      </c>
      <c r="G568" t="s">
        <v>57</v>
      </c>
      <c r="H568">
        <v>108674</v>
      </c>
      <c r="I568">
        <v>109771</v>
      </c>
      <c r="J568" t="s">
        <v>337</v>
      </c>
      <c r="K568">
        <v>366</v>
      </c>
      <c r="L568" t="s">
        <v>59</v>
      </c>
      <c r="M568">
        <v>5</v>
      </c>
      <c r="N568" t="str">
        <f>HYPERLINK("Gene89-zp_tree_all.dnd", "Gene89-tree")</f>
        <v>Gene89-tree</v>
      </c>
      <c r="O568">
        <v>4</v>
      </c>
      <c r="P568">
        <v>1</v>
      </c>
      <c r="Q568">
        <v>4</v>
      </c>
      <c r="R568">
        <v>1</v>
      </c>
      <c r="S568">
        <v>0.2</v>
      </c>
      <c r="T568" t="s">
        <v>60</v>
      </c>
      <c r="U568" t="s">
        <v>61</v>
      </c>
      <c r="V568" t="s">
        <v>62</v>
      </c>
      <c r="W568" t="s">
        <v>62</v>
      </c>
      <c r="X568">
        <v>0</v>
      </c>
      <c r="Y568">
        <v>0</v>
      </c>
      <c r="Z568">
        <v>2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>
        <v>5</v>
      </c>
      <c r="AM568">
        <v>2</v>
      </c>
      <c r="AN568">
        <v>19</v>
      </c>
      <c r="AO568">
        <v>1</v>
      </c>
      <c r="AP568">
        <v>27</v>
      </c>
      <c r="AQ568">
        <v>1</v>
      </c>
      <c r="AR568" t="s">
        <v>338</v>
      </c>
      <c r="AS568" t="s">
        <v>339</v>
      </c>
      <c r="AT568">
        <v>0.14699999999999999</v>
      </c>
      <c r="AU568" t="s">
        <v>65</v>
      </c>
      <c r="AV568">
        <v>46</v>
      </c>
      <c r="AW568">
        <v>2</v>
      </c>
      <c r="AX568" t="s">
        <v>340</v>
      </c>
      <c r="AY568" t="s">
        <v>341</v>
      </c>
      <c r="AZ568" t="s">
        <v>342</v>
      </c>
      <c r="BA568">
        <v>1.18E-2</v>
      </c>
      <c r="BB568">
        <v>1</v>
      </c>
      <c r="BC568" t="s">
        <v>69</v>
      </c>
      <c r="BD568">
        <v>0.73299999999999998</v>
      </c>
      <c r="BE568">
        <v>0.41899999999999998</v>
      </c>
    </row>
    <row r="569" spans="1:57">
      <c r="A569">
        <v>0</v>
      </c>
      <c r="B569">
        <v>0</v>
      </c>
      <c r="C569">
        <v>0</v>
      </c>
      <c r="D569">
        <v>1582</v>
      </c>
      <c r="E569" t="s">
        <v>2185</v>
      </c>
      <c r="F569" t="s">
        <v>5762</v>
      </c>
      <c r="G569" t="s">
        <v>57</v>
      </c>
      <c r="H569">
        <v>1590317</v>
      </c>
      <c r="I569">
        <v>1591414</v>
      </c>
      <c r="J569" t="s">
        <v>2186</v>
      </c>
      <c r="K569">
        <v>366</v>
      </c>
      <c r="L569" t="s">
        <v>59</v>
      </c>
      <c r="M569">
        <v>5</v>
      </c>
      <c r="N569" t="str">
        <f>HYPERLINK("Gene1582-zp_tree_all.dnd", "Gene1582-tree")</f>
        <v>Gene1582-tree</v>
      </c>
      <c r="O569">
        <v>3</v>
      </c>
      <c r="P569">
        <v>2</v>
      </c>
      <c r="Q569">
        <v>3</v>
      </c>
      <c r="R569">
        <v>2</v>
      </c>
      <c r="S569">
        <v>0.4</v>
      </c>
      <c r="T569" t="s">
        <v>84</v>
      </c>
      <c r="U569" t="s">
        <v>135</v>
      </c>
      <c r="V569" t="s">
        <v>62</v>
      </c>
      <c r="W569" t="s">
        <v>62</v>
      </c>
      <c r="X569">
        <v>0</v>
      </c>
      <c r="Y569">
        <v>0</v>
      </c>
      <c r="Z569">
        <v>2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2</v>
      </c>
      <c r="AK569">
        <v>0</v>
      </c>
      <c r="AL569">
        <v>5</v>
      </c>
      <c r="AM569">
        <v>2</v>
      </c>
      <c r="AN569">
        <v>31</v>
      </c>
      <c r="AO569">
        <v>2</v>
      </c>
      <c r="AP569">
        <v>39</v>
      </c>
      <c r="AQ569">
        <v>0</v>
      </c>
      <c r="AR569" t="s">
        <v>2187</v>
      </c>
      <c r="AS569" t="s">
        <v>64</v>
      </c>
      <c r="AT569">
        <v>1.218</v>
      </c>
      <c r="AU569" t="s">
        <v>65</v>
      </c>
      <c r="AV569">
        <v>70</v>
      </c>
      <c r="AW569">
        <v>2</v>
      </c>
      <c r="AX569" t="s">
        <v>2188</v>
      </c>
      <c r="AY569" t="s">
        <v>2189</v>
      </c>
      <c r="AZ569" t="s">
        <v>2190</v>
      </c>
      <c r="BA569">
        <v>6.8599999999999998E-3</v>
      </c>
      <c r="BB569">
        <v>1</v>
      </c>
      <c r="BC569" t="s">
        <v>69</v>
      </c>
      <c r="BD569">
        <v>0.80100000000000005</v>
      </c>
      <c r="BE569">
        <v>0.29099999999999998</v>
      </c>
    </row>
    <row r="570" spans="1:57">
      <c r="A570">
        <v>0</v>
      </c>
      <c r="B570">
        <v>0</v>
      </c>
      <c r="C570">
        <v>0</v>
      </c>
      <c r="D570">
        <v>4</v>
      </c>
      <c r="E570" t="s">
        <v>72</v>
      </c>
      <c r="F570" t="s">
        <v>5762</v>
      </c>
      <c r="G570" t="s">
        <v>57</v>
      </c>
      <c r="H570">
        <v>3437</v>
      </c>
      <c r="I570">
        <v>4546</v>
      </c>
      <c r="J570" t="s">
        <v>73</v>
      </c>
      <c r="K570">
        <v>370</v>
      </c>
      <c r="L570" t="s">
        <v>59</v>
      </c>
      <c r="M570">
        <v>5</v>
      </c>
      <c r="N570" t="str">
        <f>HYPERLINK("Gene4-zp_tree_all.dnd", "Gene4-tree")</f>
        <v>Gene4-tree</v>
      </c>
      <c r="O570">
        <v>1</v>
      </c>
      <c r="P570">
        <v>4</v>
      </c>
      <c r="Q570">
        <v>1</v>
      </c>
      <c r="R570">
        <v>4</v>
      </c>
      <c r="S570">
        <v>0.8</v>
      </c>
      <c r="T570" t="s">
        <v>61</v>
      </c>
      <c r="U570" t="s">
        <v>60</v>
      </c>
      <c r="V570" t="s">
        <v>62</v>
      </c>
      <c r="W570" t="s">
        <v>62</v>
      </c>
      <c r="X570">
        <v>0</v>
      </c>
      <c r="Y570">
        <v>0</v>
      </c>
      <c r="Z570">
        <v>5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3</v>
      </c>
      <c r="AK570">
        <v>0</v>
      </c>
      <c r="AL570">
        <v>4</v>
      </c>
      <c r="AM570">
        <v>1</v>
      </c>
      <c r="AN570">
        <v>14</v>
      </c>
      <c r="AO570">
        <v>3</v>
      </c>
      <c r="AP570">
        <v>31</v>
      </c>
      <c r="AQ570">
        <v>3</v>
      </c>
      <c r="AR570" t="s">
        <v>74</v>
      </c>
      <c r="AS570" t="s">
        <v>75</v>
      </c>
      <c r="AT570">
        <v>1.367</v>
      </c>
      <c r="AU570" t="s">
        <v>65</v>
      </c>
      <c r="AV570">
        <v>45</v>
      </c>
      <c r="AW570">
        <v>6</v>
      </c>
      <c r="AX570" t="s">
        <v>76</v>
      </c>
      <c r="AY570" t="s">
        <v>77</v>
      </c>
      <c r="AZ570" t="s">
        <v>78</v>
      </c>
      <c r="BA570">
        <v>3.3700000000000001E-2</v>
      </c>
      <c r="BB570">
        <v>1</v>
      </c>
      <c r="BC570" t="s">
        <v>69</v>
      </c>
      <c r="BD570">
        <v>0.94299999999999995</v>
      </c>
      <c r="BE570">
        <v>0.81799999999999995</v>
      </c>
    </row>
    <row r="571" spans="1:57">
      <c r="A571">
        <v>0</v>
      </c>
      <c r="B571">
        <v>0</v>
      </c>
      <c r="C571">
        <v>0</v>
      </c>
      <c r="D571">
        <v>2864</v>
      </c>
      <c r="E571" t="s">
        <v>3704</v>
      </c>
      <c r="F571" t="s">
        <v>5762</v>
      </c>
      <c r="G571" t="s">
        <v>62</v>
      </c>
      <c r="H571">
        <v>2809416</v>
      </c>
      <c r="I571">
        <v>2810528</v>
      </c>
      <c r="J571" t="s">
        <v>3705</v>
      </c>
      <c r="K571">
        <v>371</v>
      </c>
      <c r="L571" t="s">
        <v>59</v>
      </c>
      <c r="M571">
        <v>5</v>
      </c>
      <c r="N571" t="str">
        <f>HYPERLINK("Gene2864-zp_tree_all.dnd", "Gene2864-tree")</f>
        <v>Gene2864-tree</v>
      </c>
      <c r="O571">
        <v>1</v>
      </c>
      <c r="P571">
        <v>4</v>
      </c>
      <c r="Q571">
        <v>1</v>
      </c>
      <c r="R571">
        <v>4</v>
      </c>
      <c r="S571">
        <v>0.8</v>
      </c>
      <c r="T571" t="s">
        <v>61</v>
      </c>
      <c r="U571" t="s">
        <v>60</v>
      </c>
      <c r="V571" t="s">
        <v>62</v>
      </c>
      <c r="W571" t="s">
        <v>62</v>
      </c>
      <c r="X571">
        <v>0</v>
      </c>
      <c r="Y571">
        <v>0</v>
      </c>
      <c r="Z571">
        <v>8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6</v>
      </c>
      <c r="AK571">
        <v>0</v>
      </c>
      <c r="AL571">
        <v>5</v>
      </c>
      <c r="AM571">
        <v>2</v>
      </c>
      <c r="AN571">
        <v>37</v>
      </c>
      <c r="AO571">
        <v>6</v>
      </c>
      <c r="AP571">
        <v>34</v>
      </c>
      <c r="AQ571">
        <v>3</v>
      </c>
      <c r="AR571" t="s">
        <v>3706</v>
      </c>
      <c r="AS571" t="s">
        <v>3707</v>
      </c>
      <c r="AT571">
        <v>0.77</v>
      </c>
      <c r="AU571" t="s">
        <v>65</v>
      </c>
      <c r="AV571">
        <v>71</v>
      </c>
      <c r="AW571">
        <v>9</v>
      </c>
      <c r="AX571" t="s">
        <v>3708</v>
      </c>
      <c r="AY571" t="s">
        <v>3709</v>
      </c>
      <c r="AZ571" t="s">
        <v>3710</v>
      </c>
      <c r="BA571">
        <v>3.4160000000000003E-2</v>
      </c>
      <c r="BB571">
        <v>1</v>
      </c>
      <c r="BC571" t="s">
        <v>69</v>
      </c>
      <c r="BD571">
        <v>0.40100000000000002</v>
      </c>
      <c r="BE571">
        <v>0.316</v>
      </c>
    </row>
    <row r="572" spans="1:57">
      <c r="A572">
        <v>0</v>
      </c>
      <c r="B572">
        <v>0</v>
      </c>
      <c r="C572">
        <v>0</v>
      </c>
      <c r="D572">
        <v>1517</v>
      </c>
      <c r="E572" t="s">
        <v>2015</v>
      </c>
      <c r="F572" t="s">
        <v>5762</v>
      </c>
      <c r="G572" t="s">
        <v>57</v>
      </c>
      <c r="H572">
        <v>1528326</v>
      </c>
      <c r="I572">
        <v>1529438</v>
      </c>
      <c r="J572" t="s">
        <v>2016</v>
      </c>
      <c r="K572">
        <v>371</v>
      </c>
      <c r="L572" t="s">
        <v>59</v>
      </c>
      <c r="M572">
        <v>5</v>
      </c>
      <c r="N572" t="str">
        <f>HYPERLINK("Gene1517-zp_tree_all.dnd", "Gene1517-tree")</f>
        <v>Gene1517-tree</v>
      </c>
      <c r="O572">
        <v>5</v>
      </c>
      <c r="P572">
        <v>0</v>
      </c>
      <c r="Q572">
        <v>5</v>
      </c>
      <c r="R572">
        <v>0</v>
      </c>
      <c r="S572">
        <v>0</v>
      </c>
      <c r="T572" t="s">
        <v>98</v>
      </c>
      <c r="U572" t="s">
        <v>62</v>
      </c>
      <c r="V572" t="s">
        <v>62</v>
      </c>
      <c r="W572" t="s">
        <v>62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5</v>
      </c>
      <c r="AM572">
        <v>2</v>
      </c>
      <c r="AN572">
        <v>14</v>
      </c>
      <c r="AO572">
        <v>0</v>
      </c>
      <c r="AP572">
        <v>24</v>
      </c>
      <c r="AQ572">
        <v>0</v>
      </c>
      <c r="AR572" t="s">
        <v>64</v>
      </c>
      <c r="AS572" t="s">
        <v>64</v>
      </c>
      <c r="AT572">
        <v>0</v>
      </c>
      <c r="AU572" t="s">
        <v>65</v>
      </c>
      <c r="AV572">
        <v>38</v>
      </c>
      <c r="AW572">
        <v>0</v>
      </c>
      <c r="AX572" t="s">
        <v>2017</v>
      </c>
      <c r="AY572" t="s">
        <v>2018</v>
      </c>
      <c r="AZ572" t="s">
        <v>64</v>
      </c>
      <c r="BA572">
        <v>0</v>
      </c>
      <c r="BB572">
        <v>1</v>
      </c>
      <c r="BC572" t="s">
        <v>69</v>
      </c>
      <c r="BD572">
        <v>0.77800000000000002</v>
      </c>
      <c r="BE572">
        <v>0.77800000000000002</v>
      </c>
    </row>
    <row r="573" spans="1:57">
      <c r="A573">
        <v>0</v>
      </c>
      <c r="B573">
        <v>0</v>
      </c>
      <c r="C573">
        <v>0</v>
      </c>
      <c r="D573">
        <v>2622</v>
      </c>
      <c r="E573" t="s">
        <v>3462</v>
      </c>
      <c r="F573" t="s">
        <v>5762</v>
      </c>
      <c r="G573" t="s">
        <v>62</v>
      </c>
      <c r="H573">
        <v>2600217</v>
      </c>
      <c r="I573">
        <v>2601329</v>
      </c>
      <c r="J573" t="s">
        <v>3463</v>
      </c>
      <c r="K573">
        <v>371</v>
      </c>
      <c r="L573" t="s">
        <v>59</v>
      </c>
      <c r="M573">
        <v>5</v>
      </c>
      <c r="N573" t="str">
        <f>HYPERLINK("Gene2622-zp_tree_all.dnd", "Gene2622-tree")</f>
        <v>Gene2622-tree</v>
      </c>
      <c r="O573">
        <v>5</v>
      </c>
      <c r="P573">
        <v>0</v>
      </c>
      <c r="Q573">
        <v>4</v>
      </c>
      <c r="R573">
        <v>0</v>
      </c>
      <c r="S573">
        <v>0</v>
      </c>
      <c r="T573" t="s">
        <v>150</v>
      </c>
      <c r="U573" t="s">
        <v>62</v>
      </c>
      <c r="V573" t="s">
        <v>62</v>
      </c>
      <c r="W573" t="s">
        <v>62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4</v>
      </c>
      <c r="AM573">
        <v>1</v>
      </c>
      <c r="AN573">
        <v>20</v>
      </c>
      <c r="AO573">
        <v>0</v>
      </c>
      <c r="AP573">
        <v>21</v>
      </c>
      <c r="AQ573">
        <v>0</v>
      </c>
      <c r="AR573" t="s">
        <v>64</v>
      </c>
      <c r="AS573" t="s">
        <v>64</v>
      </c>
      <c r="AT573">
        <v>0</v>
      </c>
      <c r="AU573" t="s">
        <v>65</v>
      </c>
      <c r="AV573">
        <v>41</v>
      </c>
      <c r="AW573">
        <v>0</v>
      </c>
      <c r="AX573" t="s">
        <v>3464</v>
      </c>
      <c r="AY573" t="s">
        <v>3465</v>
      </c>
      <c r="AZ573" t="s">
        <v>64</v>
      </c>
      <c r="BA573">
        <v>0</v>
      </c>
      <c r="BB573">
        <v>1</v>
      </c>
      <c r="BC573" t="s">
        <v>69</v>
      </c>
      <c r="BD573">
        <v>0.50900000000000001</v>
      </c>
      <c r="BE573">
        <v>0.313</v>
      </c>
    </row>
    <row r="574" spans="1:57">
      <c r="A574">
        <v>0</v>
      </c>
      <c r="B574">
        <v>0</v>
      </c>
      <c r="C574">
        <v>0</v>
      </c>
      <c r="D574">
        <v>3030</v>
      </c>
      <c r="E574" t="s">
        <v>4061</v>
      </c>
      <c r="F574" t="s">
        <v>5762</v>
      </c>
      <c r="G574" t="s">
        <v>62</v>
      </c>
      <c r="H574">
        <v>2981154</v>
      </c>
      <c r="I574">
        <v>2982269</v>
      </c>
      <c r="J574" t="s">
        <v>4062</v>
      </c>
      <c r="K574">
        <v>372</v>
      </c>
      <c r="L574" t="s">
        <v>59</v>
      </c>
      <c r="M574">
        <v>5</v>
      </c>
      <c r="N574" t="str">
        <f>HYPERLINK("Gene3030-zp_tree_all.dnd", "Gene3030-tree")</f>
        <v>Gene3030-tree</v>
      </c>
      <c r="O574">
        <v>3</v>
      </c>
      <c r="P574">
        <v>2</v>
      </c>
      <c r="Q574">
        <v>2</v>
      </c>
      <c r="R574">
        <v>2</v>
      </c>
      <c r="S574">
        <v>0.5</v>
      </c>
      <c r="T574" t="s">
        <v>217</v>
      </c>
      <c r="U574" t="s">
        <v>135</v>
      </c>
      <c r="V574" t="s">
        <v>62</v>
      </c>
      <c r="W574" t="s">
        <v>62</v>
      </c>
      <c r="X574">
        <v>0</v>
      </c>
      <c r="Y574">
        <v>0</v>
      </c>
      <c r="Z574">
        <v>7</v>
      </c>
      <c r="AA574">
        <v>0</v>
      </c>
      <c r="AB574">
        <v>0</v>
      </c>
      <c r="AC574">
        <v>0</v>
      </c>
      <c r="AD574">
        <v>0</v>
      </c>
      <c r="AE574">
        <v>4</v>
      </c>
      <c r="AF574">
        <v>0</v>
      </c>
      <c r="AG574">
        <v>0</v>
      </c>
      <c r="AH574">
        <v>0</v>
      </c>
      <c r="AI574">
        <v>0</v>
      </c>
      <c r="AJ574">
        <v>3</v>
      </c>
      <c r="AK574">
        <v>0</v>
      </c>
      <c r="AL574">
        <v>4</v>
      </c>
      <c r="AM574">
        <v>1</v>
      </c>
      <c r="AN574">
        <v>19</v>
      </c>
      <c r="AO574">
        <v>3</v>
      </c>
      <c r="AP574">
        <v>38</v>
      </c>
      <c r="AQ574">
        <v>5</v>
      </c>
      <c r="AR574" t="s">
        <v>4063</v>
      </c>
      <c r="AS574" t="s">
        <v>4064</v>
      </c>
      <c r="AT574">
        <v>0.32500000000000001</v>
      </c>
      <c r="AU574" t="s">
        <v>65</v>
      </c>
      <c r="AV574">
        <v>57</v>
      </c>
      <c r="AW574">
        <v>8</v>
      </c>
      <c r="AX574" t="s">
        <v>4065</v>
      </c>
      <c r="AY574" t="s">
        <v>4066</v>
      </c>
      <c r="AZ574" t="s">
        <v>4067</v>
      </c>
      <c r="BA574">
        <v>3.8379999999999997E-2</v>
      </c>
      <c r="BB574">
        <v>1</v>
      </c>
      <c r="BC574" t="s">
        <v>69</v>
      </c>
      <c r="BD574">
        <v>0.95599999999999996</v>
      </c>
      <c r="BE574">
        <v>0.85699999999999998</v>
      </c>
    </row>
    <row r="575" spans="1:57">
      <c r="A575">
        <v>0</v>
      </c>
      <c r="B575">
        <v>0</v>
      </c>
      <c r="C575">
        <v>0</v>
      </c>
      <c r="D575">
        <v>2649</v>
      </c>
      <c r="E575" t="s">
        <v>3547</v>
      </c>
      <c r="F575" t="s">
        <v>5762</v>
      </c>
      <c r="G575" t="s">
        <v>62</v>
      </c>
      <c r="H575">
        <v>2624788</v>
      </c>
      <c r="I575">
        <v>2625912</v>
      </c>
      <c r="J575" t="s">
        <v>3548</v>
      </c>
      <c r="K575">
        <v>375</v>
      </c>
      <c r="L575" t="s">
        <v>83</v>
      </c>
      <c r="M575">
        <v>4</v>
      </c>
      <c r="N575" t="str">
        <f>HYPERLINK("Gene2649-zp_tree_all.dnd", "Gene2649-tree")</f>
        <v>Gene2649-tree</v>
      </c>
      <c r="O575">
        <v>3</v>
      </c>
      <c r="P575">
        <v>1</v>
      </c>
      <c r="Q575">
        <v>3</v>
      </c>
      <c r="R575">
        <v>1</v>
      </c>
      <c r="S575">
        <v>0.25</v>
      </c>
      <c r="T575" t="s">
        <v>84</v>
      </c>
      <c r="U575" t="s">
        <v>61</v>
      </c>
      <c r="V575" t="s">
        <v>62</v>
      </c>
      <c r="W575" t="s">
        <v>62</v>
      </c>
      <c r="X575">
        <v>0</v>
      </c>
      <c r="Y575">
        <v>0</v>
      </c>
      <c r="Z575">
        <v>4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4</v>
      </c>
      <c r="AK575">
        <v>0</v>
      </c>
      <c r="AL575">
        <v>4</v>
      </c>
      <c r="AM575">
        <v>1</v>
      </c>
      <c r="AN575">
        <v>53</v>
      </c>
      <c r="AO575">
        <v>4</v>
      </c>
      <c r="AP575">
        <v>5</v>
      </c>
      <c r="AQ575">
        <v>0</v>
      </c>
      <c r="AR575" t="s">
        <v>3549</v>
      </c>
      <c r="AS575" t="s">
        <v>64</v>
      </c>
      <c r="AT575">
        <v>0.40799999999999997</v>
      </c>
      <c r="AU575" t="s">
        <v>65</v>
      </c>
      <c r="AV575">
        <v>58</v>
      </c>
      <c r="AW575">
        <v>4</v>
      </c>
      <c r="AX575" t="s">
        <v>3550</v>
      </c>
      <c r="AY575" t="s">
        <v>3551</v>
      </c>
      <c r="AZ575" t="s">
        <v>3552</v>
      </c>
      <c r="BA575">
        <v>1.789E-2</v>
      </c>
      <c r="BB575">
        <v>1</v>
      </c>
      <c r="BC575" t="s">
        <v>69</v>
      </c>
      <c r="BD575">
        <v>-0.374</v>
      </c>
      <c r="BE575">
        <v>-0.70399999999999996</v>
      </c>
    </row>
    <row r="576" spans="1:57">
      <c r="A576">
        <v>0</v>
      </c>
      <c r="B576">
        <v>0</v>
      </c>
      <c r="C576">
        <v>0</v>
      </c>
      <c r="D576">
        <v>1287</v>
      </c>
      <c r="E576" t="s">
        <v>1771</v>
      </c>
      <c r="F576" t="s">
        <v>5762</v>
      </c>
      <c r="G576" t="s">
        <v>57</v>
      </c>
      <c r="H576">
        <v>1315869</v>
      </c>
      <c r="I576">
        <v>1317002</v>
      </c>
      <c r="J576" t="s">
        <v>828</v>
      </c>
      <c r="K576">
        <v>378</v>
      </c>
      <c r="L576" t="s">
        <v>59</v>
      </c>
      <c r="M576">
        <v>5</v>
      </c>
      <c r="N576" t="str">
        <f>HYPERLINK("Gene1287-zp_tree_all.dnd", "Gene1287-tree")</f>
        <v>Gene1287-tree</v>
      </c>
      <c r="O576">
        <v>4</v>
      </c>
      <c r="P576">
        <v>1</v>
      </c>
      <c r="Q576">
        <v>4</v>
      </c>
      <c r="R576">
        <v>1</v>
      </c>
      <c r="S576">
        <v>0.2</v>
      </c>
      <c r="T576" t="s">
        <v>60</v>
      </c>
      <c r="U576" t="s">
        <v>61</v>
      </c>
      <c r="V576" t="s">
        <v>62</v>
      </c>
      <c r="W576" t="s">
        <v>62</v>
      </c>
      <c r="X576">
        <v>0</v>
      </c>
      <c r="Y576">
        <v>0</v>
      </c>
      <c r="Z576">
        <v>2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1</v>
      </c>
      <c r="AK576">
        <v>0</v>
      </c>
      <c r="AL576">
        <v>5</v>
      </c>
      <c r="AM576">
        <v>2</v>
      </c>
      <c r="AN576">
        <v>21</v>
      </c>
      <c r="AO576">
        <v>1</v>
      </c>
      <c r="AP576">
        <v>19</v>
      </c>
      <c r="AQ576">
        <v>1</v>
      </c>
      <c r="AR576" t="s">
        <v>1772</v>
      </c>
      <c r="AS576" t="s">
        <v>1773</v>
      </c>
      <c r="AT576">
        <v>3.5000000000000003E-2</v>
      </c>
      <c r="AU576" t="s">
        <v>65</v>
      </c>
      <c r="AV576">
        <v>40</v>
      </c>
      <c r="AW576">
        <v>2</v>
      </c>
      <c r="AX576" t="s">
        <v>1774</v>
      </c>
      <c r="AY576" t="s">
        <v>1775</v>
      </c>
      <c r="AZ576" t="s">
        <v>1776</v>
      </c>
      <c r="BA576">
        <v>1.274E-2</v>
      </c>
      <c r="BB576">
        <v>1</v>
      </c>
      <c r="BC576" t="s">
        <v>69</v>
      </c>
      <c r="BD576">
        <v>0.23899999999999999</v>
      </c>
      <c r="BE576">
        <v>0.23899999999999999</v>
      </c>
    </row>
    <row r="577" spans="1:57">
      <c r="A577">
        <v>0</v>
      </c>
      <c r="B577">
        <v>6</v>
      </c>
      <c r="C577">
        <v>2</v>
      </c>
      <c r="D577">
        <v>677</v>
      </c>
      <c r="E577" t="s">
        <v>1105</v>
      </c>
      <c r="F577" t="s">
        <v>5762</v>
      </c>
      <c r="G577" t="s">
        <v>57</v>
      </c>
      <c r="H577">
        <v>699093</v>
      </c>
      <c r="I577">
        <v>700232</v>
      </c>
      <c r="J577" t="s">
        <v>1106</v>
      </c>
      <c r="K577">
        <v>380</v>
      </c>
      <c r="L577" t="s">
        <v>83</v>
      </c>
      <c r="M577">
        <v>4</v>
      </c>
      <c r="N577" t="str">
        <f>HYPERLINK("Gene677-zp_tree_all.dnd", "Gene677-tree")</f>
        <v>Gene677-tree</v>
      </c>
      <c r="O577">
        <v>0</v>
      </c>
      <c r="P577">
        <v>4</v>
      </c>
      <c r="Q577">
        <v>0</v>
      </c>
      <c r="R577">
        <v>4</v>
      </c>
      <c r="S577">
        <v>1</v>
      </c>
      <c r="T577" t="s">
        <v>62</v>
      </c>
      <c r="U577" t="s">
        <v>60</v>
      </c>
      <c r="V577" t="s">
        <v>62</v>
      </c>
      <c r="W577" t="s">
        <v>62</v>
      </c>
      <c r="X577">
        <v>4</v>
      </c>
      <c r="Y577">
        <v>8</v>
      </c>
      <c r="Z577">
        <v>18</v>
      </c>
      <c r="AA577">
        <v>0.30769000000000002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6</v>
      </c>
      <c r="AH577">
        <v>2</v>
      </c>
      <c r="AI577">
        <v>8</v>
      </c>
      <c r="AJ577">
        <v>18</v>
      </c>
      <c r="AK577">
        <v>0.30769000000000002</v>
      </c>
      <c r="AL577">
        <v>4</v>
      </c>
      <c r="AM577">
        <v>1</v>
      </c>
      <c r="AN577">
        <v>50</v>
      </c>
      <c r="AO577">
        <v>28</v>
      </c>
      <c r="AP577">
        <v>5</v>
      </c>
      <c r="AQ577">
        <v>1</v>
      </c>
      <c r="AR577" t="s">
        <v>1107</v>
      </c>
      <c r="AS577" t="s">
        <v>1108</v>
      </c>
      <c r="AT577">
        <v>1.0920000000000001</v>
      </c>
      <c r="AU577" t="s">
        <v>65</v>
      </c>
      <c r="AV577">
        <v>55</v>
      </c>
      <c r="AW577">
        <v>29</v>
      </c>
      <c r="AX577" t="s">
        <v>1109</v>
      </c>
      <c r="AY577" t="s">
        <v>1110</v>
      </c>
      <c r="AZ577" t="s">
        <v>1111</v>
      </c>
      <c r="BA577">
        <v>0.13489999999999999</v>
      </c>
      <c r="BB577">
        <v>1</v>
      </c>
      <c r="BC577" t="s">
        <v>69</v>
      </c>
      <c r="BD577">
        <v>-0.33200000000000002</v>
      </c>
      <c r="BE577">
        <v>-0.57999999999999996</v>
      </c>
    </row>
    <row r="578" spans="1:57">
      <c r="A578">
        <v>0</v>
      </c>
      <c r="B578">
        <v>0</v>
      </c>
      <c r="C578">
        <v>0</v>
      </c>
      <c r="D578">
        <v>2885</v>
      </c>
      <c r="E578" t="s">
        <v>3762</v>
      </c>
      <c r="F578" t="s">
        <v>5762</v>
      </c>
      <c r="G578" t="s">
        <v>62</v>
      </c>
      <c r="H578">
        <v>2832730</v>
      </c>
      <c r="I578">
        <v>2833872</v>
      </c>
      <c r="J578" t="s">
        <v>3763</v>
      </c>
      <c r="K578">
        <v>381</v>
      </c>
      <c r="L578" t="s">
        <v>83</v>
      </c>
      <c r="M578">
        <v>4</v>
      </c>
      <c r="N578" t="str">
        <f>HYPERLINK("Gene2885-zp_tree_all.dnd", "Gene2885-tree")</f>
        <v>Gene2885-tree</v>
      </c>
      <c r="O578">
        <v>3</v>
      </c>
      <c r="P578">
        <v>1</v>
      </c>
      <c r="Q578">
        <v>3</v>
      </c>
      <c r="R578">
        <v>1</v>
      </c>
      <c r="S578">
        <v>0.25</v>
      </c>
      <c r="T578" t="s">
        <v>84</v>
      </c>
      <c r="U578" t="s">
        <v>61</v>
      </c>
      <c r="V578" t="s">
        <v>62</v>
      </c>
      <c r="W578" t="s">
        <v>62</v>
      </c>
      <c r="X578">
        <v>0</v>
      </c>
      <c r="Y578">
        <v>0</v>
      </c>
      <c r="Z578">
        <v>1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1</v>
      </c>
      <c r="AK578">
        <v>0</v>
      </c>
      <c r="AL578">
        <v>4</v>
      </c>
      <c r="AM578">
        <v>1</v>
      </c>
      <c r="AN578">
        <v>57</v>
      </c>
      <c r="AO578">
        <v>1</v>
      </c>
      <c r="AP578">
        <v>7</v>
      </c>
      <c r="AQ578">
        <v>0</v>
      </c>
      <c r="AR578" t="s">
        <v>3764</v>
      </c>
      <c r="AS578" t="s">
        <v>64</v>
      </c>
      <c r="AT578">
        <v>0.38400000000000001</v>
      </c>
      <c r="AU578" t="s">
        <v>65</v>
      </c>
      <c r="AV578">
        <v>64</v>
      </c>
      <c r="AW578">
        <v>1</v>
      </c>
      <c r="AX578" t="s">
        <v>3765</v>
      </c>
      <c r="AY578" t="s">
        <v>3766</v>
      </c>
      <c r="AZ578" t="s">
        <v>3767</v>
      </c>
      <c r="BA578">
        <v>3.8800000000000002E-3</v>
      </c>
      <c r="BB578">
        <v>1</v>
      </c>
      <c r="BC578" t="s">
        <v>69</v>
      </c>
      <c r="BD578">
        <v>-0.41399999999999998</v>
      </c>
      <c r="BE578">
        <v>-0.56599999999999995</v>
      </c>
    </row>
    <row r="579" spans="1:57">
      <c r="A579">
        <v>0</v>
      </c>
      <c r="B579">
        <v>0</v>
      </c>
      <c r="C579">
        <v>0</v>
      </c>
      <c r="D579">
        <v>381</v>
      </c>
      <c r="E579" t="s">
        <v>827</v>
      </c>
      <c r="F579" t="s">
        <v>5762</v>
      </c>
      <c r="G579" t="s">
        <v>57</v>
      </c>
      <c r="H579">
        <v>428831</v>
      </c>
      <c r="I579">
        <v>429976</v>
      </c>
      <c r="J579" t="s">
        <v>828</v>
      </c>
      <c r="K579">
        <v>382</v>
      </c>
      <c r="L579" t="s">
        <v>59</v>
      </c>
      <c r="M579">
        <v>5</v>
      </c>
      <c r="N579" t="str">
        <f>HYPERLINK("Gene381-zp_tree_all.dnd", "Gene381-tree")</f>
        <v>Gene381-tree</v>
      </c>
      <c r="O579">
        <v>2</v>
      </c>
      <c r="P579">
        <v>3</v>
      </c>
      <c r="Q579">
        <v>2</v>
      </c>
      <c r="R579">
        <v>3</v>
      </c>
      <c r="S579">
        <v>0.6</v>
      </c>
      <c r="T579" t="s">
        <v>135</v>
      </c>
      <c r="U579" t="s">
        <v>84</v>
      </c>
      <c r="V579" t="s">
        <v>62</v>
      </c>
      <c r="W579" t="s">
        <v>62</v>
      </c>
      <c r="X579">
        <v>0</v>
      </c>
      <c r="Y579">
        <v>0</v>
      </c>
      <c r="Z579">
        <v>9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3</v>
      </c>
      <c r="AK579">
        <v>0</v>
      </c>
      <c r="AL579">
        <v>4</v>
      </c>
      <c r="AM579">
        <v>2</v>
      </c>
      <c r="AN579">
        <v>21</v>
      </c>
      <c r="AO579">
        <v>3</v>
      </c>
      <c r="AP579">
        <v>30</v>
      </c>
      <c r="AQ579">
        <v>6</v>
      </c>
      <c r="AR579" t="s">
        <v>829</v>
      </c>
      <c r="AS579" t="s">
        <v>830</v>
      </c>
      <c r="AT579">
        <v>0.19400000000000001</v>
      </c>
      <c r="AU579" t="s">
        <v>65</v>
      </c>
      <c r="AV579">
        <v>51</v>
      </c>
      <c r="AW579">
        <v>9</v>
      </c>
      <c r="AX579" t="s">
        <v>831</v>
      </c>
      <c r="AY579" t="s">
        <v>832</v>
      </c>
      <c r="AZ579" t="s">
        <v>833</v>
      </c>
      <c r="BA579">
        <v>4.6309999999999997E-2</v>
      </c>
      <c r="BB579">
        <v>1</v>
      </c>
      <c r="BC579" t="s">
        <v>69</v>
      </c>
      <c r="BD579">
        <v>0.66200000000000003</v>
      </c>
      <c r="BE579">
        <v>0.66200000000000003</v>
      </c>
    </row>
    <row r="580" spans="1:57">
      <c r="A580">
        <v>0</v>
      </c>
      <c r="B580">
        <v>0</v>
      </c>
      <c r="C580">
        <v>0</v>
      </c>
      <c r="D580">
        <v>1590</v>
      </c>
      <c r="E580" t="s">
        <v>2224</v>
      </c>
      <c r="F580" t="s">
        <v>5762</v>
      </c>
      <c r="G580" t="s">
        <v>57</v>
      </c>
      <c r="H580">
        <v>1597832</v>
      </c>
      <c r="I580">
        <v>1598977</v>
      </c>
      <c r="J580" t="s">
        <v>235</v>
      </c>
      <c r="K580">
        <v>382</v>
      </c>
      <c r="L580" t="s">
        <v>59</v>
      </c>
      <c r="M580">
        <v>5</v>
      </c>
      <c r="N580" t="str">
        <f>HYPERLINK("Gene1590-zp_tree_all.dnd", "Gene1590-tree")</f>
        <v>Gene1590-tree</v>
      </c>
      <c r="O580">
        <v>3</v>
      </c>
      <c r="P580">
        <v>2</v>
      </c>
      <c r="Q580">
        <v>3</v>
      </c>
      <c r="R580">
        <v>2</v>
      </c>
      <c r="S580">
        <v>0.4</v>
      </c>
      <c r="T580" t="s">
        <v>84</v>
      </c>
      <c r="U580" t="s">
        <v>135</v>
      </c>
      <c r="V580" t="s">
        <v>62</v>
      </c>
      <c r="W580" t="s">
        <v>62</v>
      </c>
      <c r="X580">
        <v>0</v>
      </c>
      <c r="Y580">
        <v>0</v>
      </c>
      <c r="Z580">
        <v>3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3</v>
      </c>
      <c r="AK580">
        <v>0</v>
      </c>
      <c r="AL580">
        <v>5</v>
      </c>
      <c r="AM580">
        <v>2</v>
      </c>
      <c r="AN580">
        <v>24</v>
      </c>
      <c r="AO580">
        <v>3</v>
      </c>
      <c r="AP580">
        <v>35</v>
      </c>
      <c r="AQ580">
        <v>1</v>
      </c>
      <c r="AR580" t="s">
        <v>2225</v>
      </c>
      <c r="AS580" t="s">
        <v>2226</v>
      </c>
      <c r="AT580">
        <v>0.67</v>
      </c>
      <c r="AU580" t="s">
        <v>65</v>
      </c>
      <c r="AV580">
        <v>59</v>
      </c>
      <c r="AW580">
        <v>4</v>
      </c>
      <c r="AX580" t="s">
        <v>2227</v>
      </c>
      <c r="AY580" t="s">
        <v>2228</v>
      </c>
      <c r="AZ580" t="s">
        <v>2229</v>
      </c>
      <c r="BA580">
        <v>1.6039999999999999E-2</v>
      </c>
      <c r="BB580">
        <v>1</v>
      </c>
      <c r="BC580" t="s">
        <v>69</v>
      </c>
      <c r="BD580">
        <v>0.54100000000000004</v>
      </c>
      <c r="BE580">
        <v>0.54100000000000004</v>
      </c>
    </row>
    <row r="581" spans="1:57">
      <c r="A581">
        <v>0</v>
      </c>
      <c r="B581">
        <v>0</v>
      </c>
      <c r="C581">
        <v>0</v>
      </c>
      <c r="D581">
        <v>2384</v>
      </c>
      <c r="E581" t="s">
        <v>3114</v>
      </c>
      <c r="F581" t="s">
        <v>5762</v>
      </c>
      <c r="G581" t="s">
        <v>62</v>
      </c>
      <c r="H581">
        <v>2394667</v>
      </c>
      <c r="I581">
        <v>2395812</v>
      </c>
      <c r="J581" t="s">
        <v>3115</v>
      </c>
      <c r="K581">
        <v>382</v>
      </c>
      <c r="L581" t="s">
        <v>59</v>
      </c>
      <c r="M581">
        <v>5</v>
      </c>
      <c r="N581" t="str">
        <f>HYPERLINK("Gene2384-zp_tree_all.dnd", "Gene2384-tree")</f>
        <v>Gene2384-tree</v>
      </c>
      <c r="O581">
        <v>3</v>
      </c>
      <c r="P581">
        <v>2</v>
      </c>
      <c r="Q581">
        <v>3</v>
      </c>
      <c r="R581">
        <v>2</v>
      </c>
      <c r="S581">
        <v>0.4</v>
      </c>
      <c r="T581" t="s">
        <v>84</v>
      </c>
      <c r="U581" t="s">
        <v>135</v>
      </c>
      <c r="V581" t="s">
        <v>62</v>
      </c>
      <c r="W581" t="s">
        <v>62</v>
      </c>
      <c r="X581">
        <v>0</v>
      </c>
      <c r="Y581">
        <v>0</v>
      </c>
      <c r="Z581">
        <v>3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2</v>
      </c>
      <c r="AK581">
        <v>0</v>
      </c>
      <c r="AL581">
        <v>5</v>
      </c>
      <c r="AM581">
        <v>2</v>
      </c>
      <c r="AN581">
        <v>30</v>
      </c>
      <c r="AO581">
        <v>2</v>
      </c>
      <c r="AP581">
        <v>29</v>
      </c>
      <c r="AQ581">
        <v>1</v>
      </c>
      <c r="AR581" t="s">
        <v>3116</v>
      </c>
      <c r="AS581" t="s">
        <v>3117</v>
      </c>
      <c r="AT581">
        <v>0.54300000000000004</v>
      </c>
      <c r="AU581" t="s">
        <v>65</v>
      </c>
      <c r="AV581">
        <v>59</v>
      </c>
      <c r="AW581">
        <v>3</v>
      </c>
      <c r="AX581" t="s">
        <v>3118</v>
      </c>
      <c r="AY581" t="s">
        <v>3119</v>
      </c>
      <c r="AZ581" t="s">
        <v>3120</v>
      </c>
      <c r="BA581">
        <v>1.32E-2</v>
      </c>
      <c r="BB581">
        <v>1</v>
      </c>
      <c r="BC581" t="s">
        <v>69</v>
      </c>
      <c r="BD581">
        <v>0.79300000000000004</v>
      </c>
      <c r="BE581">
        <v>0.25900000000000001</v>
      </c>
    </row>
    <row r="582" spans="1:57">
      <c r="A582">
        <v>0</v>
      </c>
      <c r="B582">
        <v>0</v>
      </c>
      <c r="C582">
        <v>2</v>
      </c>
      <c r="D582">
        <v>1717</v>
      </c>
      <c r="E582" t="s">
        <v>2569</v>
      </c>
      <c r="F582" t="s">
        <v>5762</v>
      </c>
      <c r="G582" t="s">
        <v>57</v>
      </c>
      <c r="H582">
        <v>1722871</v>
      </c>
      <c r="I582">
        <v>1724019</v>
      </c>
      <c r="J582" t="s">
        <v>2570</v>
      </c>
      <c r="K582">
        <v>383</v>
      </c>
      <c r="L582" t="s">
        <v>59</v>
      </c>
      <c r="M582">
        <v>5</v>
      </c>
      <c r="N582" t="str">
        <f>HYPERLINK("Gene1717-zp_tree_all.dnd", "Gene1717-tree")</f>
        <v>Gene1717-tree</v>
      </c>
      <c r="O582">
        <v>3</v>
      </c>
      <c r="P582">
        <v>2</v>
      </c>
      <c r="Q582">
        <v>3</v>
      </c>
      <c r="R582">
        <v>2</v>
      </c>
      <c r="S582">
        <v>0.4</v>
      </c>
      <c r="T582" t="s">
        <v>84</v>
      </c>
      <c r="U582" t="s">
        <v>135</v>
      </c>
      <c r="V582" t="s">
        <v>62</v>
      </c>
      <c r="W582" t="s">
        <v>62</v>
      </c>
      <c r="X582">
        <v>1</v>
      </c>
      <c r="Y582">
        <v>2</v>
      </c>
      <c r="Z582">
        <v>6</v>
      </c>
      <c r="AA582">
        <v>0.25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4</v>
      </c>
      <c r="AK582">
        <v>0</v>
      </c>
      <c r="AL582">
        <v>5</v>
      </c>
      <c r="AM582">
        <v>2</v>
      </c>
      <c r="AN582">
        <v>26</v>
      </c>
      <c r="AO582">
        <v>4</v>
      </c>
      <c r="AP582">
        <v>31</v>
      </c>
      <c r="AQ582">
        <v>4</v>
      </c>
      <c r="AR582" t="s">
        <v>2571</v>
      </c>
      <c r="AS582" t="s">
        <v>2572</v>
      </c>
      <c r="AT582">
        <v>0.13800000000000001</v>
      </c>
      <c r="AU582" t="s">
        <v>65</v>
      </c>
      <c r="AV582">
        <v>57</v>
      </c>
      <c r="AW582">
        <v>8</v>
      </c>
      <c r="AX582" t="s">
        <v>2573</v>
      </c>
      <c r="AY582" t="s">
        <v>2574</v>
      </c>
      <c r="AZ582" t="s">
        <v>2575</v>
      </c>
      <c r="BA582">
        <v>3.4380000000000001E-2</v>
      </c>
      <c r="BB582">
        <v>1</v>
      </c>
      <c r="BC582" t="s">
        <v>69</v>
      </c>
      <c r="BD582">
        <v>0.54400000000000004</v>
      </c>
      <c r="BE582">
        <v>0.315</v>
      </c>
    </row>
    <row r="583" spans="1:57">
      <c r="A583">
        <v>0</v>
      </c>
      <c r="B583">
        <v>0</v>
      </c>
      <c r="C583">
        <v>0</v>
      </c>
      <c r="D583">
        <v>1670</v>
      </c>
      <c r="E583" t="s">
        <v>2417</v>
      </c>
      <c r="F583" t="s">
        <v>5762</v>
      </c>
      <c r="G583" t="s">
        <v>57</v>
      </c>
      <c r="H583">
        <v>1680431</v>
      </c>
      <c r="I583">
        <v>1681585</v>
      </c>
      <c r="J583" t="s">
        <v>2418</v>
      </c>
      <c r="K583">
        <v>385</v>
      </c>
      <c r="L583" t="s">
        <v>59</v>
      </c>
      <c r="M583">
        <v>5</v>
      </c>
      <c r="N583" t="str">
        <f>HYPERLINK("Gene1670-zp_tree_all.dnd", "Gene1670-tree")</f>
        <v>Gene1670-tree</v>
      </c>
      <c r="O583">
        <v>2</v>
      </c>
      <c r="P583">
        <v>3</v>
      </c>
      <c r="Q583">
        <v>2</v>
      </c>
      <c r="R583">
        <v>3</v>
      </c>
      <c r="S583">
        <v>0.6</v>
      </c>
      <c r="T583" t="s">
        <v>135</v>
      </c>
      <c r="U583" t="s">
        <v>84</v>
      </c>
      <c r="V583" t="s">
        <v>62</v>
      </c>
      <c r="W583" t="s">
        <v>62</v>
      </c>
      <c r="X583">
        <v>0</v>
      </c>
      <c r="Y583">
        <v>0</v>
      </c>
      <c r="Z583">
        <v>6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3</v>
      </c>
      <c r="AK583">
        <v>0</v>
      </c>
      <c r="AL583">
        <v>5</v>
      </c>
      <c r="AM583">
        <v>2</v>
      </c>
      <c r="AN583">
        <v>22</v>
      </c>
      <c r="AO583">
        <v>3</v>
      </c>
      <c r="AP583">
        <v>33</v>
      </c>
      <c r="AQ583">
        <v>4</v>
      </c>
      <c r="AR583" t="s">
        <v>2419</v>
      </c>
      <c r="AS583" t="s">
        <v>2420</v>
      </c>
      <c r="AT583">
        <v>0.13700000000000001</v>
      </c>
      <c r="AU583" t="s">
        <v>65</v>
      </c>
      <c r="AV583">
        <v>55</v>
      </c>
      <c r="AW583">
        <v>7</v>
      </c>
      <c r="AX583" t="s">
        <v>2421</v>
      </c>
      <c r="AY583" t="s">
        <v>2422</v>
      </c>
      <c r="AZ583" t="s">
        <v>2423</v>
      </c>
      <c r="BA583">
        <v>3.8309999999999997E-2</v>
      </c>
      <c r="BB583">
        <v>1</v>
      </c>
      <c r="BC583" t="s">
        <v>69</v>
      </c>
      <c r="BD583">
        <v>0.70299999999999996</v>
      </c>
      <c r="BE583">
        <v>0.59899999999999998</v>
      </c>
    </row>
    <row r="584" spans="1:57">
      <c r="A584">
        <v>0</v>
      </c>
      <c r="B584">
        <v>0</v>
      </c>
      <c r="C584">
        <v>0</v>
      </c>
      <c r="D584">
        <v>3678</v>
      </c>
      <c r="E584" t="s">
        <v>4984</v>
      </c>
      <c r="F584" t="s">
        <v>5762</v>
      </c>
      <c r="G584" t="s">
        <v>62</v>
      </c>
      <c r="H584">
        <v>3645382</v>
      </c>
      <c r="I584">
        <v>3646536</v>
      </c>
      <c r="J584" t="s">
        <v>4985</v>
      </c>
      <c r="K584">
        <v>385</v>
      </c>
      <c r="L584" t="s">
        <v>59</v>
      </c>
      <c r="M584">
        <v>5</v>
      </c>
      <c r="N584" t="str">
        <f>HYPERLINK("Gene3678-zp_tree_all.dnd", "Gene3678-tree")</f>
        <v>Gene3678-tree</v>
      </c>
      <c r="O584">
        <v>3</v>
      </c>
      <c r="P584">
        <v>2</v>
      </c>
      <c r="Q584">
        <v>3</v>
      </c>
      <c r="R584">
        <v>2</v>
      </c>
      <c r="S584">
        <v>0.4</v>
      </c>
      <c r="T584" t="s">
        <v>84</v>
      </c>
      <c r="U584" t="s">
        <v>135</v>
      </c>
      <c r="V584" t="s">
        <v>62</v>
      </c>
      <c r="W584" t="s">
        <v>62</v>
      </c>
      <c r="X584">
        <v>0</v>
      </c>
      <c r="Y584">
        <v>0</v>
      </c>
      <c r="Z584">
        <v>3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3</v>
      </c>
      <c r="AK584">
        <v>0</v>
      </c>
      <c r="AL584">
        <v>5</v>
      </c>
      <c r="AM584">
        <v>2</v>
      </c>
      <c r="AN584">
        <v>22</v>
      </c>
      <c r="AO584">
        <v>3</v>
      </c>
      <c r="AP584">
        <v>34</v>
      </c>
      <c r="AQ584">
        <v>0</v>
      </c>
      <c r="AR584" t="s">
        <v>4986</v>
      </c>
      <c r="AS584" t="s">
        <v>64</v>
      </c>
      <c r="AT584">
        <v>1.06</v>
      </c>
      <c r="AU584" t="s">
        <v>65</v>
      </c>
      <c r="AV584">
        <v>56</v>
      </c>
      <c r="AW584">
        <v>3</v>
      </c>
      <c r="AX584" t="s">
        <v>4987</v>
      </c>
      <c r="AY584" t="s">
        <v>4988</v>
      </c>
      <c r="AZ584" t="s">
        <v>4989</v>
      </c>
      <c r="BA584">
        <v>1.0160000000000001E-2</v>
      </c>
      <c r="BB584">
        <v>1</v>
      </c>
      <c r="BC584" t="s">
        <v>69</v>
      </c>
      <c r="BD584">
        <v>0.75700000000000001</v>
      </c>
      <c r="BE584">
        <v>0.61899999999999999</v>
      </c>
    </row>
    <row r="585" spans="1:57">
      <c r="A585">
        <v>0</v>
      </c>
      <c r="B585">
        <v>0</v>
      </c>
      <c r="C585">
        <v>0</v>
      </c>
      <c r="D585">
        <v>277</v>
      </c>
      <c r="E585" t="s">
        <v>701</v>
      </c>
      <c r="F585" t="s">
        <v>5762</v>
      </c>
      <c r="G585" t="s">
        <v>57</v>
      </c>
      <c r="H585">
        <v>297170</v>
      </c>
      <c r="I585">
        <v>298327</v>
      </c>
      <c r="J585" t="s">
        <v>702</v>
      </c>
      <c r="K585">
        <v>386</v>
      </c>
      <c r="L585" t="s">
        <v>83</v>
      </c>
      <c r="M585">
        <v>4</v>
      </c>
      <c r="N585" t="str">
        <f>HYPERLINK("Gene277-zp_tree_all.dnd", "Gene277-tree")</f>
        <v>Gene277-tree</v>
      </c>
      <c r="O585">
        <v>0</v>
      </c>
      <c r="P585">
        <v>4</v>
      </c>
      <c r="Q585">
        <v>0</v>
      </c>
      <c r="R585">
        <v>4</v>
      </c>
      <c r="S585">
        <v>1</v>
      </c>
      <c r="T585" t="s">
        <v>62</v>
      </c>
      <c r="U585" t="s">
        <v>60</v>
      </c>
      <c r="V585" t="s">
        <v>62</v>
      </c>
      <c r="W585" t="s">
        <v>62</v>
      </c>
      <c r="X585">
        <v>0</v>
      </c>
      <c r="Y585">
        <v>0</v>
      </c>
      <c r="Z585">
        <v>20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18</v>
      </c>
      <c r="AK585">
        <v>0</v>
      </c>
      <c r="AL585">
        <v>4</v>
      </c>
      <c r="AM585">
        <v>1</v>
      </c>
      <c r="AN585">
        <v>46</v>
      </c>
      <c r="AO585">
        <v>18</v>
      </c>
      <c r="AP585">
        <v>5</v>
      </c>
      <c r="AQ585">
        <v>2</v>
      </c>
      <c r="AR585" t="s">
        <v>703</v>
      </c>
      <c r="AS585" t="s">
        <v>704</v>
      </c>
      <c r="AT585">
        <v>6.8000000000000005E-2</v>
      </c>
      <c r="AU585" t="s">
        <v>65</v>
      </c>
      <c r="AV585">
        <v>51</v>
      </c>
      <c r="AW585">
        <v>20</v>
      </c>
      <c r="AX585" t="s">
        <v>705</v>
      </c>
      <c r="AY585" t="s">
        <v>706</v>
      </c>
      <c r="AZ585" t="s">
        <v>707</v>
      </c>
      <c r="BA585">
        <v>0.10920000000000001</v>
      </c>
      <c r="BB585">
        <v>1</v>
      </c>
      <c r="BC585" t="s">
        <v>69</v>
      </c>
      <c r="BD585">
        <v>-0.505</v>
      </c>
      <c r="BE585">
        <v>-0.505</v>
      </c>
    </row>
    <row r="586" spans="1:57">
      <c r="A586">
        <v>0</v>
      </c>
      <c r="B586">
        <v>0</v>
      </c>
      <c r="C586">
        <v>0</v>
      </c>
      <c r="D586">
        <v>3259</v>
      </c>
      <c r="E586" t="s">
        <v>4402</v>
      </c>
      <c r="F586" t="s">
        <v>5762</v>
      </c>
      <c r="G586" t="s">
        <v>62</v>
      </c>
      <c r="H586">
        <v>3225775</v>
      </c>
      <c r="I586">
        <v>3226932</v>
      </c>
      <c r="J586" t="s">
        <v>4403</v>
      </c>
      <c r="K586">
        <v>386</v>
      </c>
      <c r="L586" t="s">
        <v>83</v>
      </c>
      <c r="M586">
        <v>4</v>
      </c>
      <c r="N586" t="str">
        <f>HYPERLINK("Gene3259-zp_tree_all.dnd", "Gene3259-tree")</f>
        <v>Gene3259-tree</v>
      </c>
      <c r="O586">
        <v>2</v>
      </c>
      <c r="P586">
        <v>2</v>
      </c>
      <c r="Q586">
        <v>2</v>
      </c>
      <c r="R586">
        <v>2</v>
      </c>
      <c r="S586">
        <v>0.5</v>
      </c>
      <c r="T586" t="s">
        <v>135</v>
      </c>
      <c r="U586" t="s">
        <v>135</v>
      </c>
      <c r="V586" t="s">
        <v>62</v>
      </c>
      <c r="W586" t="s">
        <v>62</v>
      </c>
      <c r="X586">
        <v>0</v>
      </c>
      <c r="Y586">
        <v>0</v>
      </c>
      <c r="Z586">
        <v>5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5</v>
      </c>
      <c r="AK586">
        <v>0</v>
      </c>
      <c r="AL586">
        <v>4</v>
      </c>
      <c r="AM586">
        <v>1</v>
      </c>
      <c r="AN586">
        <v>67</v>
      </c>
      <c r="AO586">
        <v>5</v>
      </c>
      <c r="AP586">
        <v>5</v>
      </c>
      <c r="AQ586">
        <v>0</v>
      </c>
      <c r="AR586" t="s">
        <v>4404</v>
      </c>
      <c r="AS586" t="s">
        <v>64</v>
      </c>
      <c r="AT586">
        <v>0.67800000000000005</v>
      </c>
      <c r="AU586" t="s">
        <v>65</v>
      </c>
      <c r="AV586">
        <v>72</v>
      </c>
      <c r="AW586">
        <v>5</v>
      </c>
      <c r="AX586" t="s">
        <v>4405</v>
      </c>
      <c r="AY586" t="s">
        <v>4406</v>
      </c>
      <c r="AZ586" t="s">
        <v>4407</v>
      </c>
      <c r="BA586">
        <v>1.9560000000000001E-2</v>
      </c>
      <c r="BB586">
        <v>1</v>
      </c>
      <c r="BC586" t="s">
        <v>69</v>
      </c>
      <c r="BD586">
        <v>-0.376</v>
      </c>
      <c r="BE586">
        <v>-0.64500000000000002</v>
      </c>
    </row>
    <row r="587" spans="1:57">
      <c r="A587">
        <v>0</v>
      </c>
      <c r="B587">
        <v>0</v>
      </c>
      <c r="C587">
        <v>0</v>
      </c>
      <c r="D587">
        <v>189</v>
      </c>
      <c r="E587" t="s">
        <v>651</v>
      </c>
      <c r="F587" t="s">
        <v>5762</v>
      </c>
      <c r="G587" t="s">
        <v>57</v>
      </c>
      <c r="H587">
        <v>211859</v>
      </c>
      <c r="I587">
        <v>213028</v>
      </c>
      <c r="J587" t="s">
        <v>652</v>
      </c>
      <c r="K587">
        <v>390</v>
      </c>
      <c r="L587" t="s">
        <v>83</v>
      </c>
      <c r="M587">
        <v>4</v>
      </c>
      <c r="N587" t="str">
        <f>HYPERLINK("Gene189-zp_tree_all.dnd", "Gene189-tree")</f>
        <v>Gene189-tree</v>
      </c>
      <c r="O587">
        <v>1</v>
      </c>
      <c r="P587">
        <v>3</v>
      </c>
      <c r="Q587">
        <v>1</v>
      </c>
      <c r="R587">
        <v>3</v>
      </c>
      <c r="S587">
        <v>0.75</v>
      </c>
      <c r="T587" t="s">
        <v>61</v>
      </c>
      <c r="U587" t="s">
        <v>84</v>
      </c>
      <c r="V587" t="s">
        <v>62</v>
      </c>
      <c r="W587" t="s">
        <v>62</v>
      </c>
      <c r="X587">
        <v>0</v>
      </c>
      <c r="Y587">
        <v>0</v>
      </c>
      <c r="Z587">
        <v>16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14</v>
      </c>
      <c r="AK587">
        <v>0</v>
      </c>
      <c r="AL587">
        <v>4</v>
      </c>
      <c r="AM587">
        <v>1</v>
      </c>
      <c r="AN587">
        <v>55</v>
      </c>
      <c r="AO587">
        <v>14</v>
      </c>
      <c r="AP587">
        <v>11</v>
      </c>
      <c r="AQ587">
        <v>2</v>
      </c>
      <c r="AR587" t="s">
        <v>653</v>
      </c>
      <c r="AS587" t="s">
        <v>654</v>
      </c>
      <c r="AT587">
        <v>1.038</v>
      </c>
      <c r="AU587" t="s">
        <v>65</v>
      </c>
      <c r="AV587">
        <v>66</v>
      </c>
      <c r="AW587">
        <v>16</v>
      </c>
      <c r="AX587" t="s">
        <v>655</v>
      </c>
      <c r="AY587" t="s">
        <v>656</v>
      </c>
      <c r="AZ587" t="s">
        <v>657</v>
      </c>
      <c r="BA587">
        <v>7.8450000000000006E-2</v>
      </c>
      <c r="BB587">
        <v>1</v>
      </c>
      <c r="BC587" t="s">
        <v>69</v>
      </c>
      <c r="BD587">
        <v>2.3E-2</v>
      </c>
      <c r="BE587">
        <v>-0.23200000000000001</v>
      </c>
    </row>
    <row r="588" spans="1:57">
      <c r="A588">
        <v>0</v>
      </c>
      <c r="B588">
        <v>0</v>
      </c>
      <c r="C588">
        <v>0</v>
      </c>
      <c r="D588">
        <v>2365</v>
      </c>
      <c r="E588" t="s">
        <v>3054</v>
      </c>
      <c r="F588" t="s">
        <v>5762</v>
      </c>
      <c r="G588" t="s">
        <v>62</v>
      </c>
      <c r="H588">
        <v>2379103</v>
      </c>
      <c r="I588">
        <v>2380272</v>
      </c>
      <c r="J588" t="s">
        <v>3055</v>
      </c>
      <c r="K588">
        <v>390</v>
      </c>
      <c r="L588" t="s">
        <v>83</v>
      </c>
      <c r="M588">
        <v>4</v>
      </c>
      <c r="N588" t="str">
        <f>HYPERLINK("Gene2365-zp_tree_all.dnd", "Gene2365-tree")</f>
        <v>Gene2365-tree</v>
      </c>
      <c r="O588">
        <v>2</v>
      </c>
      <c r="P588">
        <v>2</v>
      </c>
      <c r="Q588">
        <v>2</v>
      </c>
      <c r="R588">
        <v>2</v>
      </c>
      <c r="S588">
        <v>0.5</v>
      </c>
      <c r="T588" t="s">
        <v>135</v>
      </c>
      <c r="U588" t="s">
        <v>135</v>
      </c>
      <c r="V588" t="s">
        <v>62</v>
      </c>
      <c r="W588" t="s">
        <v>62</v>
      </c>
      <c r="X588">
        <v>0</v>
      </c>
      <c r="Y588">
        <v>0</v>
      </c>
      <c r="Z588">
        <v>2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2</v>
      </c>
      <c r="AK588">
        <v>0</v>
      </c>
      <c r="AL588">
        <v>4</v>
      </c>
      <c r="AM588">
        <v>1</v>
      </c>
      <c r="AN588">
        <v>75</v>
      </c>
      <c r="AO588">
        <v>2</v>
      </c>
      <c r="AP588">
        <v>6</v>
      </c>
      <c r="AQ588">
        <v>0</v>
      </c>
      <c r="AR588" t="s">
        <v>3056</v>
      </c>
      <c r="AS588" t="s">
        <v>64</v>
      </c>
      <c r="AT588">
        <v>0.91900000000000004</v>
      </c>
      <c r="AU588" t="s">
        <v>65</v>
      </c>
      <c r="AV588">
        <v>81</v>
      </c>
      <c r="AW588">
        <v>2</v>
      </c>
      <c r="AX588" t="s">
        <v>3057</v>
      </c>
      <c r="AY588" t="s">
        <v>3058</v>
      </c>
      <c r="AZ588" t="s">
        <v>3059</v>
      </c>
      <c r="BA588">
        <v>6.6800000000000002E-3</v>
      </c>
      <c r="BB588">
        <v>1</v>
      </c>
      <c r="BC588" t="s">
        <v>69</v>
      </c>
      <c r="BD588">
        <v>-0.28299999999999997</v>
      </c>
      <c r="BE588">
        <v>-0.53400000000000003</v>
      </c>
    </row>
    <row r="589" spans="1:57">
      <c r="A589">
        <v>0</v>
      </c>
      <c r="B589">
        <v>0</v>
      </c>
      <c r="C589">
        <v>0</v>
      </c>
      <c r="D589">
        <v>1273</v>
      </c>
      <c r="E589" t="s">
        <v>1737</v>
      </c>
      <c r="F589" t="s">
        <v>5762</v>
      </c>
      <c r="G589" t="s">
        <v>57</v>
      </c>
      <c r="H589">
        <v>1299074</v>
      </c>
      <c r="I589">
        <v>1300249</v>
      </c>
      <c r="J589" t="s">
        <v>1738</v>
      </c>
      <c r="K589">
        <v>392</v>
      </c>
      <c r="L589" t="s">
        <v>59</v>
      </c>
      <c r="M589">
        <v>5</v>
      </c>
      <c r="N589" t="str">
        <f>HYPERLINK("Gene1273-zp_tree_all.dnd", "Gene1273-tree")</f>
        <v>Gene1273-tree</v>
      </c>
      <c r="O589">
        <v>3</v>
      </c>
      <c r="P589">
        <v>2</v>
      </c>
      <c r="Q589">
        <v>3</v>
      </c>
      <c r="R589">
        <v>2</v>
      </c>
      <c r="S589">
        <v>0.4</v>
      </c>
      <c r="T589" t="s">
        <v>84</v>
      </c>
      <c r="U589" t="s">
        <v>135</v>
      </c>
      <c r="V589" t="s">
        <v>62</v>
      </c>
      <c r="W589" t="s">
        <v>62</v>
      </c>
      <c r="X589">
        <v>0</v>
      </c>
      <c r="Y589">
        <v>0</v>
      </c>
      <c r="Z589">
        <v>4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2</v>
      </c>
      <c r="AK589">
        <v>0</v>
      </c>
      <c r="AL589">
        <v>5</v>
      </c>
      <c r="AM589">
        <v>2</v>
      </c>
      <c r="AN589">
        <v>33</v>
      </c>
      <c r="AO589">
        <v>2</v>
      </c>
      <c r="AP589">
        <v>20</v>
      </c>
      <c r="AQ589">
        <v>2</v>
      </c>
      <c r="AR589" t="s">
        <v>1739</v>
      </c>
      <c r="AS589" t="s">
        <v>1740</v>
      </c>
      <c r="AT589">
        <v>0.38300000000000001</v>
      </c>
      <c r="AU589" t="s">
        <v>65</v>
      </c>
      <c r="AV589">
        <v>53</v>
      </c>
      <c r="AW589">
        <v>4</v>
      </c>
      <c r="AX589" t="s">
        <v>1741</v>
      </c>
      <c r="AY589" t="s">
        <v>1742</v>
      </c>
      <c r="AZ589" t="s">
        <v>1743</v>
      </c>
      <c r="BA589">
        <v>2.6530000000000001E-2</v>
      </c>
      <c r="BB589">
        <v>1</v>
      </c>
      <c r="BC589" t="s">
        <v>69</v>
      </c>
      <c r="BD589">
        <v>4.7E-2</v>
      </c>
      <c r="BE589">
        <v>4.7E-2</v>
      </c>
    </row>
    <row r="590" spans="1:57">
      <c r="A590">
        <v>0</v>
      </c>
      <c r="B590">
        <v>0</v>
      </c>
      <c r="C590">
        <v>0</v>
      </c>
      <c r="D590">
        <v>933</v>
      </c>
      <c r="E590" t="s">
        <v>1383</v>
      </c>
      <c r="F590" t="s">
        <v>5762</v>
      </c>
      <c r="G590" t="s">
        <v>57</v>
      </c>
      <c r="H590">
        <v>975231</v>
      </c>
      <c r="I590">
        <v>976406</v>
      </c>
      <c r="J590" t="s">
        <v>1384</v>
      </c>
      <c r="K590">
        <v>392</v>
      </c>
      <c r="L590" t="s">
        <v>83</v>
      </c>
      <c r="M590">
        <v>4</v>
      </c>
      <c r="N590" t="str">
        <f>HYPERLINK("Gene933-zp_tree_all.dnd", "Gene933-tree")</f>
        <v>Gene933-tree</v>
      </c>
      <c r="O590">
        <v>3</v>
      </c>
      <c r="P590">
        <v>1</v>
      </c>
      <c r="Q590">
        <v>3</v>
      </c>
      <c r="R590">
        <v>1</v>
      </c>
      <c r="S590">
        <v>0.25</v>
      </c>
      <c r="T590" t="s">
        <v>84</v>
      </c>
      <c r="U590" t="s">
        <v>61</v>
      </c>
      <c r="V590" t="s">
        <v>62</v>
      </c>
      <c r="W590" t="s">
        <v>62</v>
      </c>
      <c r="X590">
        <v>0</v>
      </c>
      <c r="Y590">
        <v>0</v>
      </c>
      <c r="Z590">
        <v>3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3</v>
      </c>
      <c r="AK590">
        <v>0</v>
      </c>
      <c r="AL590">
        <v>3</v>
      </c>
      <c r="AM590">
        <v>1</v>
      </c>
      <c r="AN590">
        <v>52</v>
      </c>
      <c r="AO590">
        <v>3</v>
      </c>
      <c r="AP590">
        <v>4</v>
      </c>
      <c r="AQ590">
        <v>0</v>
      </c>
      <c r="AR590" t="s">
        <v>1385</v>
      </c>
      <c r="AS590" t="s">
        <v>64</v>
      </c>
      <c r="AT590">
        <v>0.49199999999999999</v>
      </c>
      <c r="AU590" t="s">
        <v>65</v>
      </c>
      <c r="AV590">
        <v>56</v>
      </c>
      <c r="AW590">
        <v>3</v>
      </c>
      <c r="AX590" t="s">
        <v>1386</v>
      </c>
      <c r="AY590" t="s">
        <v>1387</v>
      </c>
      <c r="AZ590" t="s">
        <v>1388</v>
      </c>
      <c r="BA590">
        <v>1.1990000000000001E-2</v>
      </c>
      <c r="BB590">
        <v>1</v>
      </c>
      <c r="BC590" t="s">
        <v>69</v>
      </c>
      <c r="BD590">
        <v>-0.59399999999999997</v>
      </c>
      <c r="BE590">
        <v>-0.75900000000000001</v>
      </c>
    </row>
    <row r="591" spans="1:57">
      <c r="A591">
        <v>0</v>
      </c>
      <c r="B591">
        <v>0</v>
      </c>
      <c r="C591">
        <v>0</v>
      </c>
      <c r="D591">
        <v>3722</v>
      </c>
      <c r="E591" t="s">
        <v>5014</v>
      </c>
      <c r="F591" t="s">
        <v>5762</v>
      </c>
      <c r="G591" t="s">
        <v>62</v>
      </c>
      <c r="H591">
        <v>3699449</v>
      </c>
      <c r="I591">
        <v>3700627</v>
      </c>
      <c r="J591" t="s">
        <v>5015</v>
      </c>
      <c r="K591">
        <v>393</v>
      </c>
      <c r="L591" t="s">
        <v>59</v>
      </c>
      <c r="M591">
        <v>5</v>
      </c>
      <c r="N591" t="str">
        <f>HYPERLINK("Gene3722-zp_tree_all.dnd", "Gene3722-tree")</f>
        <v>Gene3722-tree</v>
      </c>
      <c r="O591">
        <v>4</v>
      </c>
      <c r="P591">
        <v>1</v>
      </c>
      <c r="Q591">
        <v>4</v>
      </c>
      <c r="R591">
        <v>1</v>
      </c>
      <c r="S591">
        <v>0.2</v>
      </c>
      <c r="T591" t="s">
        <v>60</v>
      </c>
      <c r="U591" t="s">
        <v>61</v>
      </c>
      <c r="V591" t="s">
        <v>62</v>
      </c>
      <c r="W591" t="s">
        <v>62</v>
      </c>
      <c r="X591">
        <v>0</v>
      </c>
      <c r="Y591">
        <v>0</v>
      </c>
      <c r="Z591">
        <v>3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1</v>
      </c>
      <c r="AK591">
        <v>0</v>
      </c>
      <c r="AL591">
        <v>5</v>
      </c>
      <c r="AM591">
        <v>2</v>
      </c>
      <c r="AN591">
        <v>25</v>
      </c>
      <c r="AO591">
        <v>1</v>
      </c>
      <c r="AP591">
        <v>24</v>
      </c>
      <c r="AQ591">
        <v>2</v>
      </c>
      <c r="AR591" t="s">
        <v>5016</v>
      </c>
      <c r="AS591" t="s">
        <v>5017</v>
      </c>
      <c r="AT591">
        <v>0.31900000000000001</v>
      </c>
      <c r="AU591" t="s">
        <v>65</v>
      </c>
      <c r="AV591">
        <v>49</v>
      </c>
      <c r="AW591">
        <v>3</v>
      </c>
      <c r="AX591" t="s">
        <v>5018</v>
      </c>
      <c r="AY591" t="s">
        <v>5019</v>
      </c>
      <c r="AZ591" t="s">
        <v>5020</v>
      </c>
      <c r="BA591">
        <v>1.7930000000000001E-2</v>
      </c>
      <c r="BB591">
        <v>1</v>
      </c>
      <c r="BC591" t="s">
        <v>69</v>
      </c>
      <c r="BD591">
        <v>0.503</v>
      </c>
      <c r="BE591">
        <v>0.503</v>
      </c>
    </row>
    <row r="592" spans="1:57">
      <c r="A592">
        <v>0</v>
      </c>
      <c r="B592">
        <v>0</v>
      </c>
      <c r="C592">
        <v>0</v>
      </c>
      <c r="D592">
        <v>3520</v>
      </c>
      <c r="E592" t="s">
        <v>4834</v>
      </c>
      <c r="F592" t="s">
        <v>5762</v>
      </c>
      <c r="G592" t="s">
        <v>62</v>
      </c>
      <c r="H592">
        <v>3480200</v>
      </c>
      <c r="I592">
        <v>3481381</v>
      </c>
      <c r="J592" t="s">
        <v>4835</v>
      </c>
      <c r="K592">
        <v>394</v>
      </c>
      <c r="L592" t="s">
        <v>59</v>
      </c>
      <c r="M592">
        <v>5</v>
      </c>
      <c r="N592" t="str">
        <f>HYPERLINK("Gene3520-zp_tree_all.dnd", "Gene3520-tree")</f>
        <v>Gene3520-tree</v>
      </c>
      <c r="O592">
        <v>4</v>
      </c>
      <c r="P592">
        <v>1</v>
      </c>
      <c r="Q592">
        <v>4</v>
      </c>
      <c r="R592">
        <v>1</v>
      </c>
      <c r="S592">
        <v>0.2</v>
      </c>
      <c r="T592" t="s">
        <v>60</v>
      </c>
      <c r="U592" t="s">
        <v>61</v>
      </c>
      <c r="V592" t="s">
        <v>62</v>
      </c>
      <c r="W592" t="s">
        <v>62</v>
      </c>
      <c r="X592">
        <v>0</v>
      </c>
      <c r="Y592">
        <v>0</v>
      </c>
      <c r="Z592">
        <v>5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2</v>
      </c>
      <c r="AK592">
        <v>0</v>
      </c>
      <c r="AL592">
        <v>4</v>
      </c>
      <c r="AM592">
        <v>2</v>
      </c>
      <c r="AN592">
        <v>15</v>
      </c>
      <c r="AO592">
        <v>2</v>
      </c>
      <c r="AP592">
        <v>16</v>
      </c>
      <c r="AQ592">
        <v>3</v>
      </c>
      <c r="AR592" t="s">
        <v>4836</v>
      </c>
      <c r="AS592" t="s">
        <v>4837</v>
      </c>
      <c r="AT592">
        <v>0.17499999999999999</v>
      </c>
      <c r="AU592" t="s">
        <v>65</v>
      </c>
      <c r="AV592">
        <v>31</v>
      </c>
      <c r="AW592">
        <v>5</v>
      </c>
      <c r="AX592" t="s">
        <v>4838</v>
      </c>
      <c r="AY592" t="s">
        <v>4839</v>
      </c>
      <c r="AZ592" t="s">
        <v>4840</v>
      </c>
      <c r="BA592">
        <v>5.1909999999999998E-2</v>
      </c>
      <c r="BB592">
        <v>1</v>
      </c>
      <c r="BC592" t="s">
        <v>69</v>
      </c>
      <c r="BD592">
        <v>0.69099999999999995</v>
      </c>
      <c r="BE592">
        <v>0.45400000000000001</v>
      </c>
    </row>
    <row r="593" spans="1:57">
      <c r="A593">
        <v>0</v>
      </c>
      <c r="B593">
        <v>0</v>
      </c>
      <c r="C593">
        <v>0</v>
      </c>
      <c r="D593">
        <v>3065</v>
      </c>
      <c r="E593" t="s">
        <v>4137</v>
      </c>
      <c r="F593" t="s">
        <v>5762</v>
      </c>
      <c r="G593" t="s">
        <v>62</v>
      </c>
      <c r="H593">
        <v>3015114</v>
      </c>
      <c r="I593">
        <v>3016298</v>
      </c>
      <c r="J593" t="s">
        <v>4138</v>
      </c>
      <c r="K593">
        <v>395</v>
      </c>
      <c r="L593" t="s">
        <v>59</v>
      </c>
      <c r="M593">
        <v>5</v>
      </c>
      <c r="N593" t="str">
        <f>HYPERLINK("Gene3065-zp_tree_all.dnd", "Gene3065-tree")</f>
        <v>Gene3065-tree</v>
      </c>
      <c r="O593">
        <v>5</v>
      </c>
      <c r="P593">
        <v>0</v>
      </c>
      <c r="Q593">
        <v>5</v>
      </c>
      <c r="R593">
        <v>0</v>
      </c>
      <c r="S593">
        <v>0</v>
      </c>
      <c r="T593" t="s">
        <v>98</v>
      </c>
      <c r="U593" t="s">
        <v>62</v>
      </c>
      <c r="V593" t="s">
        <v>62</v>
      </c>
      <c r="W593" t="s">
        <v>62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5</v>
      </c>
      <c r="AM593">
        <v>2</v>
      </c>
      <c r="AN593">
        <v>44</v>
      </c>
      <c r="AO593">
        <v>0</v>
      </c>
      <c r="AP593">
        <v>30</v>
      </c>
      <c r="AQ593">
        <v>0</v>
      </c>
      <c r="AR593" t="s">
        <v>64</v>
      </c>
      <c r="AS593" t="s">
        <v>64</v>
      </c>
      <c r="AT593">
        <v>0</v>
      </c>
      <c r="AU593" t="s">
        <v>65</v>
      </c>
      <c r="AV593">
        <v>74</v>
      </c>
      <c r="AW593">
        <v>0</v>
      </c>
      <c r="AX593" t="s">
        <v>4139</v>
      </c>
      <c r="AY593" t="s">
        <v>4140</v>
      </c>
      <c r="AZ593" t="s">
        <v>64</v>
      </c>
      <c r="BA593">
        <v>0</v>
      </c>
      <c r="BB593">
        <v>1</v>
      </c>
      <c r="BC593" t="s">
        <v>69</v>
      </c>
      <c r="BD593">
        <v>0.41</v>
      </c>
      <c r="BE593">
        <v>8.9999999999999993E-3</v>
      </c>
    </row>
    <row r="594" spans="1:57">
      <c r="A594">
        <v>0</v>
      </c>
      <c r="B594">
        <v>0</v>
      </c>
      <c r="C594">
        <v>0</v>
      </c>
      <c r="D594">
        <v>113</v>
      </c>
      <c r="E594" t="s">
        <v>453</v>
      </c>
      <c r="F594" t="s">
        <v>5762</v>
      </c>
      <c r="G594" t="s">
        <v>57</v>
      </c>
      <c r="H594">
        <v>132882</v>
      </c>
      <c r="I594">
        <v>134069</v>
      </c>
      <c r="J594" t="s">
        <v>454</v>
      </c>
      <c r="K594">
        <v>396</v>
      </c>
      <c r="L594" t="s">
        <v>59</v>
      </c>
      <c r="M594">
        <v>5</v>
      </c>
      <c r="N594" t="str">
        <f>HYPERLINK("Gene113-zp_tree_all.dnd", "Gene113-tree")</f>
        <v>Gene113-tree</v>
      </c>
      <c r="O594">
        <v>4</v>
      </c>
      <c r="P594">
        <v>1</v>
      </c>
      <c r="Q594">
        <v>4</v>
      </c>
      <c r="R594">
        <v>1</v>
      </c>
      <c r="S594">
        <v>0.2</v>
      </c>
      <c r="T594" t="s">
        <v>60</v>
      </c>
      <c r="U594" t="s">
        <v>61</v>
      </c>
      <c r="V594" t="s">
        <v>62</v>
      </c>
      <c r="W594" t="s">
        <v>62</v>
      </c>
      <c r="X594">
        <v>0</v>
      </c>
      <c r="Y594">
        <v>0</v>
      </c>
      <c r="Z594">
        <v>4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1</v>
      </c>
      <c r="AK594">
        <v>0</v>
      </c>
      <c r="AL594">
        <v>4</v>
      </c>
      <c r="AM594">
        <v>1</v>
      </c>
      <c r="AN594">
        <v>8</v>
      </c>
      <c r="AO594">
        <v>1</v>
      </c>
      <c r="AP594">
        <v>10</v>
      </c>
      <c r="AQ594">
        <v>4</v>
      </c>
      <c r="AR594" t="s">
        <v>455</v>
      </c>
      <c r="AS594" t="s">
        <v>456</v>
      </c>
      <c r="AT594">
        <v>1.1879999999999999</v>
      </c>
      <c r="AU594" t="s">
        <v>65</v>
      </c>
      <c r="AV594">
        <v>18</v>
      </c>
      <c r="AW594">
        <v>5</v>
      </c>
      <c r="AX594" t="s">
        <v>457</v>
      </c>
      <c r="AY594" t="s">
        <v>458</v>
      </c>
      <c r="AZ594" t="s">
        <v>459</v>
      </c>
      <c r="BA594">
        <v>9.2310000000000003E-2</v>
      </c>
      <c r="BB594">
        <v>1</v>
      </c>
      <c r="BC594" t="s">
        <v>69</v>
      </c>
      <c r="BD594">
        <v>0.64600000000000002</v>
      </c>
      <c r="BE594">
        <v>0.64600000000000002</v>
      </c>
    </row>
    <row r="595" spans="1:57">
      <c r="A595">
        <v>0</v>
      </c>
      <c r="B595">
        <v>0</v>
      </c>
      <c r="C595">
        <v>0</v>
      </c>
      <c r="D595">
        <v>2638</v>
      </c>
      <c r="E595" t="s">
        <v>3518</v>
      </c>
      <c r="F595" t="s">
        <v>5762</v>
      </c>
      <c r="G595" t="s">
        <v>62</v>
      </c>
      <c r="H595">
        <v>2615455</v>
      </c>
      <c r="I595">
        <v>2616648</v>
      </c>
      <c r="J595" t="s">
        <v>3519</v>
      </c>
      <c r="K595">
        <v>398</v>
      </c>
      <c r="L595" t="s">
        <v>59</v>
      </c>
      <c r="M595">
        <v>5</v>
      </c>
      <c r="N595" t="str">
        <f>HYPERLINK("Gene2638-zp_tree_all.dnd", "Gene2638-tree")</f>
        <v>Gene2638-tree</v>
      </c>
      <c r="O595">
        <v>2</v>
      </c>
      <c r="P595">
        <v>3</v>
      </c>
      <c r="Q595">
        <v>2</v>
      </c>
      <c r="R595">
        <v>3</v>
      </c>
      <c r="S595">
        <v>0.6</v>
      </c>
      <c r="T595" t="s">
        <v>135</v>
      </c>
      <c r="U595" t="s">
        <v>84</v>
      </c>
      <c r="V595" t="s">
        <v>62</v>
      </c>
      <c r="W595" t="s">
        <v>62</v>
      </c>
      <c r="X595">
        <v>0</v>
      </c>
      <c r="Y595">
        <v>0</v>
      </c>
      <c r="Z595">
        <v>14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6</v>
      </c>
      <c r="AK595">
        <v>0</v>
      </c>
      <c r="AL595">
        <v>5</v>
      </c>
      <c r="AM595">
        <v>2</v>
      </c>
      <c r="AN595">
        <v>32</v>
      </c>
      <c r="AO595">
        <v>6</v>
      </c>
      <c r="AP595">
        <v>23</v>
      </c>
      <c r="AQ595">
        <v>8</v>
      </c>
      <c r="AR595" t="s">
        <v>3520</v>
      </c>
      <c r="AS595" t="s">
        <v>3521</v>
      </c>
      <c r="AT595">
        <v>0.42899999999999999</v>
      </c>
      <c r="AU595" t="s">
        <v>65</v>
      </c>
      <c r="AV595">
        <v>55</v>
      </c>
      <c r="AW595">
        <v>14</v>
      </c>
      <c r="AX595" t="s">
        <v>3522</v>
      </c>
      <c r="AY595" t="s">
        <v>3523</v>
      </c>
      <c r="AZ595" t="s">
        <v>3524</v>
      </c>
      <c r="BA595">
        <v>7.3580000000000007E-2</v>
      </c>
      <c r="BB595">
        <v>1</v>
      </c>
      <c r="BC595" t="s">
        <v>69</v>
      </c>
      <c r="BD595">
        <v>0.46500000000000002</v>
      </c>
      <c r="BE595">
        <v>0.09</v>
      </c>
    </row>
    <row r="596" spans="1:57">
      <c r="A596">
        <v>0</v>
      </c>
      <c r="B596">
        <v>0</v>
      </c>
      <c r="C596">
        <v>0</v>
      </c>
      <c r="D596">
        <v>2421</v>
      </c>
      <c r="E596" t="s">
        <v>3182</v>
      </c>
      <c r="F596" t="s">
        <v>5762</v>
      </c>
      <c r="G596" t="s">
        <v>62</v>
      </c>
      <c r="H596">
        <v>2428392</v>
      </c>
      <c r="I596">
        <v>2429585</v>
      </c>
      <c r="J596" t="s">
        <v>3183</v>
      </c>
      <c r="K596">
        <v>398</v>
      </c>
      <c r="L596" t="s">
        <v>83</v>
      </c>
      <c r="M596">
        <v>4</v>
      </c>
      <c r="N596" t="str">
        <f>HYPERLINK("Gene2421-zp_tree_all.dnd", "Gene2421-tree")</f>
        <v>Gene2421-tree</v>
      </c>
      <c r="O596">
        <v>2</v>
      </c>
      <c r="P596">
        <v>2</v>
      </c>
      <c r="Q596">
        <v>2</v>
      </c>
      <c r="R596">
        <v>2</v>
      </c>
      <c r="S596">
        <v>0.5</v>
      </c>
      <c r="T596" t="s">
        <v>135</v>
      </c>
      <c r="U596" t="s">
        <v>135</v>
      </c>
      <c r="V596" t="s">
        <v>62</v>
      </c>
      <c r="W596" t="s">
        <v>62</v>
      </c>
      <c r="X596">
        <v>0</v>
      </c>
      <c r="Y596">
        <v>0</v>
      </c>
      <c r="Z596">
        <v>7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7</v>
      </c>
      <c r="AK596">
        <v>0</v>
      </c>
      <c r="AL596">
        <v>4</v>
      </c>
      <c r="AM596">
        <v>1</v>
      </c>
      <c r="AN596">
        <v>59</v>
      </c>
      <c r="AO596">
        <v>7</v>
      </c>
      <c r="AP596">
        <v>2</v>
      </c>
      <c r="AQ596">
        <v>0</v>
      </c>
      <c r="AR596" t="s">
        <v>3184</v>
      </c>
      <c r="AS596" t="s">
        <v>64</v>
      </c>
      <c r="AT596">
        <v>0.63</v>
      </c>
      <c r="AU596" t="s">
        <v>65</v>
      </c>
      <c r="AV596">
        <v>61</v>
      </c>
      <c r="AW596">
        <v>7</v>
      </c>
      <c r="AX596" t="s">
        <v>3185</v>
      </c>
      <c r="AY596" t="s">
        <v>3186</v>
      </c>
      <c r="AZ596" t="s">
        <v>3187</v>
      </c>
      <c r="BA596">
        <v>3.04E-2</v>
      </c>
      <c r="BB596">
        <v>1</v>
      </c>
      <c r="BC596" t="s">
        <v>69</v>
      </c>
      <c r="BD596">
        <v>-0.72699999999999998</v>
      </c>
      <c r="BE596">
        <v>-0.72699999999999998</v>
      </c>
    </row>
    <row r="597" spans="1:57">
      <c r="A597">
        <v>0</v>
      </c>
      <c r="B597">
        <v>0</v>
      </c>
      <c r="C597">
        <v>4</v>
      </c>
      <c r="D597">
        <v>1430</v>
      </c>
      <c r="E597" t="s">
        <v>1889</v>
      </c>
      <c r="F597" t="s">
        <v>5762</v>
      </c>
      <c r="G597" t="s">
        <v>57</v>
      </c>
      <c r="H597">
        <v>1444099</v>
      </c>
      <c r="I597">
        <v>1445295</v>
      </c>
      <c r="J597" t="s">
        <v>1890</v>
      </c>
      <c r="K597">
        <v>399</v>
      </c>
      <c r="L597" t="s">
        <v>83</v>
      </c>
      <c r="M597">
        <v>4</v>
      </c>
      <c r="N597" t="str">
        <f>HYPERLINK("Gene1430-zp_tree_all.dnd", "Gene1430-tree")</f>
        <v>Gene1430-tree</v>
      </c>
      <c r="O597">
        <v>0</v>
      </c>
      <c r="P597">
        <v>4</v>
      </c>
      <c r="Q597">
        <v>0</v>
      </c>
      <c r="R597">
        <v>4</v>
      </c>
      <c r="S597">
        <v>1</v>
      </c>
      <c r="T597" t="s">
        <v>62</v>
      </c>
      <c r="U597" t="s">
        <v>60</v>
      </c>
      <c r="V597" t="s">
        <v>62</v>
      </c>
      <c r="W597" t="s">
        <v>62</v>
      </c>
      <c r="X597">
        <v>2</v>
      </c>
      <c r="Y597">
        <v>4</v>
      </c>
      <c r="Z597">
        <v>25</v>
      </c>
      <c r="AA597">
        <v>0.13793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4</v>
      </c>
      <c r="AI597">
        <v>4</v>
      </c>
      <c r="AJ597">
        <v>24</v>
      </c>
      <c r="AK597">
        <v>0.14285999999999999</v>
      </c>
      <c r="AL597">
        <v>4</v>
      </c>
      <c r="AM597">
        <v>1</v>
      </c>
      <c r="AN597">
        <v>38</v>
      </c>
      <c r="AO597">
        <v>29</v>
      </c>
      <c r="AP597">
        <v>1</v>
      </c>
      <c r="AQ597">
        <v>1</v>
      </c>
      <c r="AR597" t="s">
        <v>1891</v>
      </c>
      <c r="AS597" t="s">
        <v>1892</v>
      </c>
      <c r="AT597">
        <v>0.36</v>
      </c>
      <c r="AU597" t="s">
        <v>65</v>
      </c>
      <c r="AV597">
        <v>39</v>
      </c>
      <c r="AW597">
        <v>30</v>
      </c>
      <c r="AX597" t="s">
        <v>1893</v>
      </c>
      <c r="AY597" t="s">
        <v>1894</v>
      </c>
      <c r="AZ597" t="s">
        <v>1895</v>
      </c>
      <c r="BA597">
        <v>0.21038000000000001</v>
      </c>
      <c r="BB597">
        <v>1</v>
      </c>
      <c r="BC597" t="s">
        <v>69</v>
      </c>
      <c r="BD597">
        <v>-0.628</v>
      </c>
      <c r="BE597">
        <v>-0.77300000000000002</v>
      </c>
    </row>
    <row r="598" spans="1:57">
      <c r="A598">
        <v>0</v>
      </c>
      <c r="B598">
        <v>0</v>
      </c>
      <c r="C598">
        <v>0</v>
      </c>
      <c r="D598">
        <v>3171</v>
      </c>
      <c r="E598" t="s">
        <v>4310</v>
      </c>
      <c r="F598" t="s">
        <v>5762</v>
      </c>
      <c r="G598" t="s">
        <v>62</v>
      </c>
      <c r="H598">
        <v>3127828</v>
      </c>
      <c r="I598">
        <v>3129027</v>
      </c>
      <c r="J598" t="s">
        <v>4311</v>
      </c>
      <c r="K598">
        <v>400</v>
      </c>
      <c r="L598" t="s">
        <v>59</v>
      </c>
      <c r="M598">
        <v>5</v>
      </c>
      <c r="N598" t="str">
        <f>HYPERLINK("Gene3171-zp_tree_all.dnd", "Gene3171-tree")</f>
        <v>Gene3171-tree</v>
      </c>
      <c r="O598">
        <v>4</v>
      </c>
      <c r="P598">
        <v>1</v>
      </c>
      <c r="Q598">
        <v>4</v>
      </c>
      <c r="R598">
        <v>1</v>
      </c>
      <c r="S598">
        <v>0.2</v>
      </c>
      <c r="T598" t="s">
        <v>60</v>
      </c>
      <c r="U598" t="s">
        <v>61</v>
      </c>
      <c r="V598" t="s">
        <v>62</v>
      </c>
      <c r="W598" t="s">
        <v>62</v>
      </c>
      <c r="X598">
        <v>0</v>
      </c>
      <c r="Y598">
        <v>0</v>
      </c>
      <c r="Z598">
        <v>1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1</v>
      </c>
      <c r="AK598">
        <v>0</v>
      </c>
      <c r="AL598">
        <v>5</v>
      </c>
      <c r="AM598">
        <v>2</v>
      </c>
      <c r="AN598">
        <v>26</v>
      </c>
      <c r="AO598">
        <v>1</v>
      </c>
      <c r="AP598">
        <v>31</v>
      </c>
      <c r="AQ598">
        <v>0</v>
      </c>
      <c r="AR598" t="s">
        <v>4312</v>
      </c>
      <c r="AS598" t="s">
        <v>64</v>
      </c>
      <c r="AT598">
        <v>0.497</v>
      </c>
      <c r="AU598" t="s">
        <v>65</v>
      </c>
      <c r="AV598">
        <v>57</v>
      </c>
      <c r="AW598">
        <v>1</v>
      </c>
      <c r="AX598" t="s">
        <v>4313</v>
      </c>
      <c r="AY598" t="s">
        <v>4314</v>
      </c>
      <c r="AZ598" t="s">
        <v>4315</v>
      </c>
      <c r="BA598">
        <v>3.9699999999999996E-3</v>
      </c>
      <c r="BB598">
        <v>1</v>
      </c>
      <c r="BC598" t="s">
        <v>69</v>
      </c>
      <c r="BD598">
        <v>0.48099999999999998</v>
      </c>
      <c r="BE598">
        <v>0.34300000000000003</v>
      </c>
    </row>
    <row r="599" spans="1:57">
      <c r="A599">
        <v>0</v>
      </c>
      <c r="B599">
        <v>0</v>
      </c>
      <c r="C599">
        <v>0</v>
      </c>
      <c r="D599">
        <v>3063</v>
      </c>
      <c r="E599" t="s">
        <v>4131</v>
      </c>
      <c r="F599" t="s">
        <v>5762</v>
      </c>
      <c r="G599" t="s">
        <v>62</v>
      </c>
      <c r="H599">
        <v>3013136</v>
      </c>
      <c r="I599">
        <v>3014344</v>
      </c>
      <c r="J599" t="s">
        <v>4132</v>
      </c>
      <c r="K599">
        <v>403</v>
      </c>
      <c r="L599" t="s">
        <v>59</v>
      </c>
      <c r="M599">
        <v>5</v>
      </c>
      <c r="N599" t="str">
        <f>HYPERLINK("Gene3063-zp_tree_all.dnd", "Gene3063-tree")</f>
        <v>Gene3063-tree</v>
      </c>
      <c r="O599">
        <v>3</v>
      </c>
      <c r="P599">
        <v>2</v>
      </c>
      <c r="Q599">
        <v>3</v>
      </c>
      <c r="R599">
        <v>2</v>
      </c>
      <c r="S599">
        <v>0.4</v>
      </c>
      <c r="T599" t="s">
        <v>84</v>
      </c>
      <c r="U599" t="s">
        <v>135</v>
      </c>
      <c r="V599" t="s">
        <v>62</v>
      </c>
      <c r="W599" t="s">
        <v>62</v>
      </c>
      <c r="X599">
        <v>0</v>
      </c>
      <c r="Y599">
        <v>0</v>
      </c>
      <c r="Z599">
        <v>4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4</v>
      </c>
      <c r="AK599">
        <v>0</v>
      </c>
      <c r="AL599">
        <v>5</v>
      </c>
      <c r="AM599">
        <v>2</v>
      </c>
      <c r="AN599">
        <v>51</v>
      </c>
      <c r="AO599">
        <v>4</v>
      </c>
      <c r="AP599">
        <v>35</v>
      </c>
      <c r="AQ599">
        <v>0</v>
      </c>
      <c r="AR599" t="s">
        <v>4133</v>
      </c>
      <c r="AS599" t="s">
        <v>64</v>
      </c>
      <c r="AT599">
        <v>0.97199999999999998</v>
      </c>
      <c r="AU599" t="s">
        <v>65</v>
      </c>
      <c r="AV599">
        <v>86</v>
      </c>
      <c r="AW599">
        <v>4</v>
      </c>
      <c r="AX599" t="s">
        <v>4134</v>
      </c>
      <c r="AY599" t="s">
        <v>4135</v>
      </c>
      <c r="AZ599" t="s">
        <v>4136</v>
      </c>
      <c r="BA599">
        <v>1.0840000000000001E-2</v>
      </c>
      <c r="BB599">
        <v>1</v>
      </c>
      <c r="BC599" t="s">
        <v>69</v>
      </c>
      <c r="BD599">
        <v>0.33500000000000002</v>
      </c>
      <c r="BE599">
        <v>8.5000000000000006E-2</v>
      </c>
    </row>
    <row r="600" spans="1:57">
      <c r="A600">
        <v>0</v>
      </c>
      <c r="B600">
        <v>0</v>
      </c>
      <c r="C600">
        <v>0</v>
      </c>
      <c r="D600">
        <v>3336</v>
      </c>
      <c r="E600" t="s">
        <v>4541</v>
      </c>
      <c r="F600" t="s">
        <v>5762</v>
      </c>
      <c r="G600" t="s">
        <v>62</v>
      </c>
      <c r="H600">
        <v>3307020</v>
      </c>
      <c r="I600">
        <v>3308231</v>
      </c>
      <c r="J600" t="s">
        <v>4542</v>
      </c>
      <c r="K600">
        <v>404</v>
      </c>
      <c r="L600" t="s">
        <v>112</v>
      </c>
      <c r="M600">
        <v>4</v>
      </c>
      <c r="N600" t="str">
        <f>HYPERLINK("Gene3336-zp_tree_all.dnd", "Gene3336-tree")</f>
        <v>Gene3336-tree</v>
      </c>
      <c r="O600">
        <v>2</v>
      </c>
      <c r="P600">
        <v>2</v>
      </c>
      <c r="Q600">
        <v>2</v>
      </c>
      <c r="R600">
        <v>2</v>
      </c>
      <c r="S600">
        <v>0.5</v>
      </c>
      <c r="T600" t="s">
        <v>135</v>
      </c>
      <c r="U600" t="s">
        <v>135</v>
      </c>
      <c r="V600" t="s">
        <v>62</v>
      </c>
      <c r="W600" t="s">
        <v>62</v>
      </c>
      <c r="X600">
        <v>0</v>
      </c>
      <c r="Y600">
        <v>0</v>
      </c>
      <c r="Z600">
        <v>6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6</v>
      </c>
      <c r="AK600">
        <v>0</v>
      </c>
      <c r="AL600">
        <v>4</v>
      </c>
      <c r="AM600">
        <v>1</v>
      </c>
      <c r="AN600">
        <v>62</v>
      </c>
      <c r="AO600">
        <v>6</v>
      </c>
      <c r="AP600">
        <v>1</v>
      </c>
      <c r="AQ600">
        <v>0</v>
      </c>
      <c r="AR600" t="s">
        <v>4543</v>
      </c>
      <c r="AS600" t="s">
        <v>64</v>
      </c>
      <c r="AT600">
        <v>0.54800000000000004</v>
      </c>
      <c r="AU600" t="s">
        <v>65</v>
      </c>
      <c r="AV600">
        <v>63</v>
      </c>
      <c r="AW600">
        <v>6</v>
      </c>
      <c r="AX600" t="s">
        <v>4544</v>
      </c>
      <c r="AY600" t="s">
        <v>4545</v>
      </c>
      <c r="AZ600" t="s">
        <v>4546</v>
      </c>
      <c r="BA600">
        <v>2.913E-2</v>
      </c>
      <c r="BB600">
        <v>1</v>
      </c>
      <c r="BC600" t="s">
        <v>69</v>
      </c>
      <c r="BD600">
        <v>-0.72699999999999998</v>
      </c>
      <c r="BE600">
        <v>-0.72699999999999998</v>
      </c>
    </row>
    <row r="601" spans="1:57">
      <c r="A601">
        <v>0</v>
      </c>
      <c r="B601">
        <v>0</v>
      </c>
      <c r="C601">
        <v>0</v>
      </c>
      <c r="D601">
        <v>3389</v>
      </c>
      <c r="E601" t="s">
        <v>4621</v>
      </c>
      <c r="F601" t="s">
        <v>5762</v>
      </c>
      <c r="G601" t="s">
        <v>62</v>
      </c>
      <c r="H601">
        <v>3357447</v>
      </c>
      <c r="I601">
        <v>3358664</v>
      </c>
      <c r="J601" t="s">
        <v>4622</v>
      </c>
      <c r="K601">
        <v>406</v>
      </c>
      <c r="L601" t="s">
        <v>59</v>
      </c>
      <c r="M601">
        <v>5</v>
      </c>
      <c r="N601" t="str">
        <f>HYPERLINK("Gene3389-zp_tree_all.dnd", "Gene3389-tree")</f>
        <v>Gene3389-tree</v>
      </c>
      <c r="O601">
        <v>2</v>
      </c>
      <c r="P601">
        <v>3</v>
      </c>
      <c r="Q601">
        <v>2</v>
      </c>
      <c r="R601">
        <v>3</v>
      </c>
      <c r="S601">
        <v>0.6</v>
      </c>
      <c r="T601" t="s">
        <v>135</v>
      </c>
      <c r="U601" t="s">
        <v>84</v>
      </c>
      <c r="V601" t="s">
        <v>62</v>
      </c>
      <c r="W601" t="s">
        <v>62</v>
      </c>
      <c r="X601">
        <v>0</v>
      </c>
      <c r="Y601">
        <v>0</v>
      </c>
      <c r="Z601">
        <v>8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4</v>
      </c>
      <c r="AK601">
        <v>0</v>
      </c>
      <c r="AL601">
        <v>5</v>
      </c>
      <c r="AM601">
        <v>2</v>
      </c>
      <c r="AN601">
        <v>27</v>
      </c>
      <c r="AO601">
        <v>4</v>
      </c>
      <c r="AP601">
        <v>26</v>
      </c>
      <c r="AQ601">
        <v>4</v>
      </c>
      <c r="AR601" t="s">
        <v>4623</v>
      </c>
      <c r="AS601" t="s">
        <v>4624</v>
      </c>
      <c r="AT601">
        <v>4.0000000000000001E-3</v>
      </c>
      <c r="AU601" t="s">
        <v>65</v>
      </c>
      <c r="AV601">
        <v>53</v>
      </c>
      <c r="AW601">
        <v>8</v>
      </c>
      <c r="AX601" t="s">
        <v>4625</v>
      </c>
      <c r="AY601" t="s">
        <v>4626</v>
      </c>
      <c r="AZ601" t="s">
        <v>4627</v>
      </c>
      <c r="BA601">
        <v>4.3279999999999999E-2</v>
      </c>
      <c r="BB601">
        <v>1</v>
      </c>
      <c r="BC601" t="s">
        <v>69</v>
      </c>
      <c r="BD601">
        <v>0.36799999999999999</v>
      </c>
      <c r="BE601">
        <v>0.36799999999999999</v>
      </c>
    </row>
    <row r="602" spans="1:57">
      <c r="A602">
        <v>0</v>
      </c>
      <c r="B602">
        <v>0</v>
      </c>
      <c r="C602">
        <v>0</v>
      </c>
      <c r="D602">
        <v>1733</v>
      </c>
      <c r="E602" t="s">
        <v>2615</v>
      </c>
      <c r="F602" t="s">
        <v>5762</v>
      </c>
      <c r="G602" t="s">
        <v>57</v>
      </c>
      <c r="H602">
        <v>1742617</v>
      </c>
      <c r="I602">
        <v>1743843</v>
      </c>
      <c r="J602" t="s">
        <v>2616</v>
      </c>
      <c r="K602">
        <v>409</v>
      </c>
      <c r="L602" t="s">
        <v>112</v>
      </c>
      <c r="M602">
        <v>4</v>
      </c>
      <c r="N602" t="str">
        <f>HYPERLINK("Gene1733-zp_tree_all.dnd", "Gene1733-tree")</f>
        <v>Gene1733-tree</v>
      </c>
      <c r="O602">
        <v>3</v>
      </c>
      <c r="P602">
        <v>1</v>
      </c>
      <c r="Q602">
        <v>3</v>
      </c>
      <c r="R602">
        <v>1</v>
      </c>
      <c r="S602">
        <v>0.25</v>
      </c>
      <c r="T602" t="s">
        <v>84</v>
      </c>
      <c r="U602" t="s">
        <v>61</v>
      </c>
      <c r="V602" t="s">
        <v>62</v>
      </c>
      <c r="W602" t="s">
        <v>62</v>
      </c>
      <c r="X602">
        <v>0</v>
      </c>
      <c r="Y602">
        <v>0</v>
      </c>
      <c r="Z602">
        <v>5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5</v>
      </c>
      <c r="AK602">
        <v>0</v>
      </c>
      <c r="AL602">
        <v>4</v>
      </c>
      <c r="AM602">
        <v>0</v>
      </c>
      <c r="AN602">
        <v>60</v>
      </c>
      <c r="AO602">
        <v>6</v>
      </c>
      <c r="AP602">
        <v>0</v>
      </c>
      <c r="AQ602">
        <v>0</v>
      </c>
      <c r="AR602" t="s">
        <v>2617</v>
      </c>
      <c r="AS602" t="s">
        <v>64</v>
      </c>
      <c r="AT602">
        <v>0.45900000000000002</v>
      </c>
      <c r="AU602" t="s">
        <v>65</v>
      </c>
      <c r="AV602">
        <v>60</v>
      </c>
      <c r="AW602">
        <v>6</v>
      </c>
      <c r="AX602" t="s">
        <v>2618</v>
      </c>
      <c r="AY602" t="s">
        <v>2619</v>
      </c>
      <c r="AZ602" t="s">
        <v>2620</v>
      </c>
      <c r="BA602">
        <v>2.6339999999999999E-2</v>
      </c>
      <c r="BB602">
        <v>1</v>
      </c>
      <c r="BC602" t="s">
        <v>69</v>
      </c>
      <c r="BD602">
        <v>-0.56599999999999995</v>
      </c>
      <c r="BE602">
        <v>-1.0209999999999999</v>
      </c>
    </row>
    <row r="603" spans="1:57">
      <c r="A603">
        <v>0</v>
      </c>
      <c r="B603">
        <v>0</v>
      </c>
      <c r="C603">
        <v>0</v>
      </c>
      <c r="D603">
        <v>324</v>
      </c>
      <c r="E603" t="s">
        <v>755</v>
      </c>
      <c r="F603" t="s">
        <v>5762</v>
      </c>
      <c r="G603" t="s">
        <v>57</v>
      </c>
      <c r="H603">
        <v>348724</v>
      </c>
      <c r="I603">
        <v>349956</v>
      </c>
      <c r="J603" t="s">
        <v>756</v>
      </c>
      <c r="K603">
        <v>411</v>
      </c>
      <c r="L603" t="s">
        <v>59</v>
      </c>
      <c r="M603">
        <v>5</v>
      </c>
      <c r="N603" t="str">
        <f>HYPERLINK("Gene324-zp_tree_all.dnd", "Gene324-tree")</f>
        <v>Gene324-tree</v>
      </c>
      <c r="O603">
        <v>5</v>
      </c>
      <c r="P603">
        <v>0</v>
      </c>
      <c r="Q603">
        <v>5</v>
      </c>
      <c r="R603">
        <v>0</v>
      </c>
      <c r="S603">
        <v>0</v>
      </c>
      <c r="T603" t="s">
        <v>98</v>
      </c>
      <c r="U603" t="s">
        <v>62</v>
      </c>
      <c r="V603" t="s">
        <v>62</v>
      </c>
      <c r="W603" t="s">
        <v>62</v>
      </c>
      <c r="X603">
        <v>0</v>
      </c>
      <c r="Y603">
        <v>0</v>
      </c>
      <c r="Z603">
        <v>5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5</v>
      </c>
      <c r="AM603">
        <v>2</v>
      </c>
      <c r="AN603">
        <v>32</v>
      </c>
      <c r="AO603">
        <v>0</v>
      </c>
      <c r="AP603">
        <v>40</v>
      </c>
      <c r="AQ603">
        <v>5</v>
      </c>
      <c r="AR603" t="s">
        <v>64</v>
      </c>
      <c r="AS603" t="s">
        <v>757</v>
      </c>
      <c r="AT603">
        <v>0.77400000000000002</v>
      </c>
      <c r="AU603" t="s">
        <v>65</v>
      </c>
      <c r="AV603">
        <v>72</v>
      </c>
      <c r="AW603">
        <v>5</v>
      </c>
      <c r="AX603" t="s">
        <v>758</v>
      </c>
      <c r="AY603" t="s">
        <v>759</v>
      </c>
      <c r="AZ603" t="s">
        <v>760</v>
      </c>
      <c r="BA603">
        <v>1.9519999999999999E-2</v>
      </c>
      <c r="BB603">
        <v>1</v>
      </c>
      <c r="BC603" t="s">
        <v>69</v>
      </c>
      <c r="BD603">
        <v>0.67400000000000004</v>
      </c>
      <c r="BE603">
        <v>0.46300000000000002</v>
      </c>
    </row>
    <row r="604" spans="1:57">
      <c r="A604">
        <v>0</v>
      </c>
      <c r="B604">
        <v>0</v>
      </c>
      <c r="C604">
        <v>0</v>
      </c>
      <c r="D604">
        <v>2471</v>
      </c>
      <c r="E604" t="s">
        <v>3249</v>
      </c>
      <c r="F604" t="s">
        <v>5762</v>
      </c>
      <c r="G604" t="s">
        <v>62</v>
      </c>
      <c r="H604">
        <v>2464565</v>
      </c>
      <c r="I604">
        <v>2465800</v>
      </c>
      <c r="J604" t="s">
        <v>3250</v>
      </c>
      <c r="K604">
        <v>412</v>
      </c>
      <c r="L604" t="s">
        <v>83</v>
      </c>
      <c r="M604">
        <v>4</v>
      </c>
      <c r="N604" t="str">
        <f>HYPERLINK("Gene2471-zp_tree_all.dnd", "Gene2471-tree")</f>
        <v>Gene2471-tree</v>
      </c>
      <c r="O604">
        <v>1</v>
      </c>
      <c r="P604">
        <v>3</v>
      </c>
      <c r="Q604">
        <v>1</v>
      </c>
      <c r="R604">
        <v>3</v>
      </c>
      <c r="S604">
        <v>0.75</v>
      </c>
      <c r="T604" t="s">
        <v>61</v>
      </c>
      <c r="U604" t="s">
        <v>84</v>
      </c>
      <c r="V604" t="s">
        <v>62</v>
      </c>
      <c r="W604" t="s">
        <v>62</v>
      </c>
      <c r="X604">
        <v>0</v>
      </c>
      <c r="Y604">
        <v>0</v>
      </c>
      <c r="Z604">
        <v>10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10</v>
      </c>
      <c r="AK604">
        <v>0</v>
      </c>
      <c r="AL604">
        <v>4</v>
      </c>
      <c r="AM604">
        <v>1</v>
      </c>
      <c r="AN604">
        <v>60</v>
      </c>
      <c r="AO604">
        <v>11</v>
      </c>
      <c r="AP604">
        <v>6</v>
      </c>
      <c r="AQ604">
        <v>0</v>
      </c>
      <c r="AR604" t="s">
        <v>3251</v>
      </c>
      <c r="AS604" t="s">
        <v>64</v>
      </c>
      <c r="AT604">
        <v>0.73499999999999999</v>
      </c>
      <c r="AU604" t="s">
        <v>65</v>
      </c>
      <c r="AV604">
        <v>66</v>
      </c>
      <c r="AW604">
        <v>11</v>
      </c>
      <c r="AX604" t="s">
        <v>3252</v>
      </c>
      <c r="AY604" t="s">
        <v>3253</v>
      </c>
      <c r="AZ604" t="s">
        <v>3254</v>
      </c>
      <c r="BA604">
        <v>4.8480000000000002E-2</v>
      </c>
      <c r="BB604">
        <v>1</v>
      </c>
      <c r="BC604" t="s">
        <v>69</v>
      </c>
      <c r="BD604">
        <v>-0.38300000000000001</v>
      </c>
      <c r="BE604">
        <v>-0.64900000000000002</v>
      </c>
    </row>
    <row r="605" spans="1:57">
      <c r="A605">
        <v>0</v>
      </c>
      <c r="B605">
        <v>0</v>
      </c>
      <c r="C605">
        <v>0</v>
      </c>
      <c r="D605">
        <v>3825</v>
      </c>
      <c r="E605" t="s">
        <v>5163</v>
      </c>
      <c r="F605" t="s">
        <v>5762</v>
      </c>
      <c r="G605" t="s">
        <v>62</v>
      </c>
      <c r="H605">
        <v>3789193</v>
      </c>
      <c r="I605">
        <v>3790437</v>
      </c>
      <c r="J605" t="s">
        <v>5164</v>
      </c>
      <c r="K605">
        <v>415</v>
      </c>
      <c r="L605" t="s">
        <v>59</v>
      </c>
      <c r="M605">
        <v>5</v>
      </c>
      <c r="N605" t="str">
        <f>HYPERLINK("Gene3825-zp_tree_all.dnd", "Gene3825-tree")</f>
        <v>Gene3825-tree</v>
      </c>
      <c r="O605">
        <v>1</v>
      </c>
      <c r="P605">
        <v>4</v>
      </c>
      <c r="Q605">
        <v>1</v>
      </c>
      <c r="R605">
        <v>4</v>
      </c>
      <c r="S605">
        <v>0.8</v>
      </c>
      <c r="T605" t="s">
        <v>61</v>
      </c>
      <c r="U605" t="s">
        <v>60</v>
      </c>
      <c r="V605" t="s">
        <v>62</v>
      </c>
      <c r="W605" t="s">
        <v>62</v>
      </c>
      <c r="X605">
        <v>0</v>
      </c>
      <c r="Y605">
        <v>0</v>
      </c>
      <c r="Z605">
        <v>7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5</v>
      </c>
      <c r="AK605">
        <v>0</v>
      </c>
      <c r="AL605">
        <v>5</v>
      </c>
      <c r="AM605">
        <v>2</v>
      </c>
      <c r="AN605">
        <v>32</v>
      </c>
      <c r="AO605">
        <v>5</v>
      </c>
      <c r="AP605">
        <v>36</v>
      </c>
      <c r="AQ605">
        <v>2</v>
      </c>
      <c r="AR605" t="s">
        <v>5165</v>
      </c>
      <c r="AS605" t="s">
        <v>5166</v>
      </c>
      <c r="AT605">
        <v>1.4930000000000001</v>
      </c>
      <c r="AU605" t="s">
        <v>65</v>
      </c>
      <c r="AV605">
        <v>68</v>
      </c>
      <c r="AW605">
        <v>7</v>
      </c>
      <c r="AX605" t="s">
        <v>5167</v>
      </c>
      <c r="AY605" t="s">
        <v>5168</v>
      </c>
      <c r="AZ605" t="s">
        <v>5169</v>
      </c>
      <c r="BA605">
        <v>2.615E-2</v>
      </c>
      <c r="BB605">
        <v>1</v>
      </c>
      <c r="BC605" t="s">
        <v>69</v>
      </c>
      <c r="BD605">
        <v>0.49099999999999999</v>
      </c>
      <c r="BE605">
        <v>0.184</v>
      </c>
    </row>
    <row r="606" spans="1:57">
      <c r="A606">
        <v>0</v>
      </c>
      <c r="B606">
        <v>0</v>
      </c>
      <c r="C606">
        <v>0</v>
      </c>
      <c r="D606">
        <v>2939</v>
      </c>
      <c r="E606" t="s">
        <v>3870</v>
      </c>
      <c r="F606" t="s">
        <v>5762</v>
      </c>
      <c r="G606" t="s">
        <v>62</v>
      </c>
      <c r="H606">
        <v>2884784</v>
      </c>
      <c r="I606">
        <v>2886043</v>
      </c>
      <c r="J606" t="s">
        <v>3871</v>
      </c>
      <c r="K606">
        <v>420</v>
      </c>
      <c r="L606" t="s">
        <v>59</v>
      </c>
      <c r="M606">
        <v>5</v>
      </c>
      <c r="N606" t="str">
        <f>HYPERLINK("Gene2939-zp_tree_all.dnd", "Gene2939-tree")</f>
        <v>Gene2939-tree</v>
      </c>
      <c r="O606">
        <v>5</v>
      </c>
      <c r="P606">
        <v>0</v>
      </c>
      <c r="Q606">
        <v>5</v>
      </c>
      <c r="R606">
        <v>0</v>
      </c>
      <c r="S606">
        <v>0</v>
      </c>
      <c r="T606" t="s">
        <v>98</v>
      </c>
      <c r="U606" t="s">
        <v>62</v>
      </c>
      <c r="V606" t="s">
        <v>62</v>
      </c>
      <c r="W606" t="s">
        <v>62</v>
      </c>
      <c r="X606">
        <v>0</v>
      </c>
      <c r="Y606">
        <v>0</v>
      </c>
      <c r="Z606">
        <v>1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5</v>
      </c>
      <c r="AM606">
        <v>2</v>
      </c>
      <c r="AN606">
        <v>25</v>
      </c>
      <c r="AO606">
        <v>0</v>
      </c>
      <c r="AP606">
        <v>36</v>
      </c>
      <c r="AQ606">
        <v>1</v>
      </c>
      <c r="AR606" t="s">
        <v>64</v>
      </c>
      <c r="AS606" t="s">
        <v>3872</v>
      </c>
      <c r="AT606">
        <v>0.74399999999999999</v>
      </c>
      <c r="AU606" t="s">
        <v>65</v>
      </c>
      <c r="AV606">
        <v>61</v>
      </c>
      <c r="AW606">
        <v>1</v>
      </c>
      <c r="AX606" t="s">
        <v>3873</v>
      </c>
      <c r="AY606" t="s">
        <v>3874</v>
      </c>
      <c r="AZ606" t="s">
        <v>3875</v>
      </c>
      <c r="BA606">
        <v>5.0600000000000003E-3</v>
      </c>
      <c r="BB606">
        <v>1</v>
      </c>
      <c r="BC606" t="s">
        <v>69</v>
      </c>
      <c r="BD606">
        <v>0.73499999999999999</v>
      </c>
      <c r="BE606">
        <v>0.47299999999999998</v>
      </c>
    </row>
    <row r="607" spans="1:57">
      <c r="A607">
        <v>0</v>
      </c>
      <c r="B607">
        <v>0</v>
      </c>
      <c r="C607">
        <v>0</v>
      </c>
      <c r="D607">
        <v>1807</v>
      </c>
      <c r="E607" t="s">
        <v>2724</v>
      </c>
      <c r="F607" t="s">
        <v>5762</v>
      </c>
      <c r="G607" t="s">
        <v>57</v>
      </c>
      <c r="H607">
        <v>1876584</v>
      </c>
      <c r="I607">
        <v>1877846</v>
      </c>
      <c r="J607" t="s">
        <v>2725</v>
      </c>
      <c r="K607">
        <v>421</v>
      </c>
      <c r="L607" t="s">
        <v>112</v>
      </c>
      <c r="M607">
        <v>4</v>
      </c>
      <c r="N607" t="str">
        <f>HYPERLINK("Gene1807-zp_tree_all.dnd", "Gene1807-tree")</f>
        <v>Gene1807-tree</v>
      </c>
      <c r="O607">
        <v>1</v>
      </c>
      <c r="P607">
        <v>3</v>
      </c>
      <c r="Q607">
        <v>1</v>
      </c>
      <c r="R607">
        <v>3</v>
      </c>
      <c r="S607">
        <v>0.75</v>
      </c>
      <c r="T607" t="s">
        <v>61</v>
      </c>
      <c r="U607" t="s">
        <v>84</v>
      </c>
      <c r="V607" t="s">
        <v>62</v>
      </c>
      <c r="W607" t="s">
        <v>62</v>
      </c>
      <c r="X607">
        <v>0</v>
      </c>
      <c r="Y607">
        <v>0</v>
      </c>
      <c r="Z607">
        <v>6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6</v>
      </c>
      <c r="AK607">
        <v>0</v>
      </c>
      <c r="AL607">
        <v>4</v>
      </c>
      <c r="AM607">
        <v>1</v>
      </c>
      <c r="AN607">
        <v>74</v>
      </c>
      <c r="AO607">
        <v>6</v>
      </c>
      <c r="AP607">
        <v>4</v>
      </c>
      <c r="AQ607">
        <v>0</v>
      </c>
      <c r="AR607" t="s">
        <v>2726</v>
      </c>
      <c r="AS607" t="s">
        <v>64</v>
      </c>
      <c r="AT607">
        <v>1.506</v>
      </c>
      <c r="AU607" t="s">
        <v>65</v>
      </c>
      <c r="AV607">
        <v>78</v>
      </c>
      <c r="AW607">
        <v>6</v>
      </c>
      <c r="AX607" t="s">
        <v>2727</v>
      </c>
      <c r="AY607" t="s">
        <v>2728</v>
      </c>
      <c r="AZ607" t="s">
        <v>2729</v>
      </c>
      <c r="BA607">
        <v>2.1760000000000002E-2</v>
      </c>
      <c r="BB607">
        <v>1</v>
      </c>
      <c r="BC607" t="s">
        <v>69</v>
      </c>
      <c r="BD607">
        <v>-0.28299999999999997</v>
      </c>
      <c r="BE607">
        <v>-0.66</v>
      </c>
    </row>
    <row r="608" spans="1:57">
      <c r="A608">
        <v>0</v>
      </c>
      <c r="B608">
        <v>2</v>
      </c>
      <c r="C608">
        <v>0</v>
      </c>
      <c r="D608">
        <v>455</v>
      </c>
      <c r="E608" t="s">
        <v>902</v>
      </c>
      <c r="F608" t="s">
        <v>5762</v>
      </c>
      <c r="G608" t="s">
        <v>57</v>
      </c>
      <c r="H608">
        <v>500166</v>
      </c>
      <c r="I608">
        <v>501428</v>
      </c>
      <c r="J608" t="s">
        <v>903</v>
      </c>
      <c r="K608">
        <v>421</v>
      </c>
      <c r="L608" t="s">
        <v>59</v>
      </c>
      <c r="M608">
        <v>5</v>
      </c>
      <c r="N608" t="str">
        <f>HYPERLINK("Gene455-zp_tree_all.dnd", "Gene455-tree")</f>
        <v>Gene455-tree</v>
      </c>
      <c r="O608">
        <v>2</v>
      </c>
      <c r="P608">
        <v>3</v>
      </c>
      <c r="Q608">
        <v>2</v>
      </c>
      <c r="R608">
        <v>3</v>
      </c>
      <c r="S608">
        <v>0.6</v>
      </c>
      <c r="T608" t="s">
        <v>135</v>
      </c>
      <c r="U608" t="s">
        <v>84</v>
      </c>
      <c r="V608" t="s">
        <v>62</v>
      </c>
      <c r="W608" t="s">
        <v>62</v>
      </c>
      <c r="X608">
        <v>1</v>
      </c>
      <c r="Y608">
        <v>2</v>
      </c>
      <c r="Z608">
        <v>4</v>
      </c>
      <c r="AA608">
        <v>0.33333000000000002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3</v>
      </c>
      <c r="AK608">
        <v>0</v>
      </c>
      <c r="AL608">
        <v>5</v>
      </c>
      <c r="AM608">
        <v>2</v>
      </c>
      <c r="AN608">
        <v>34</v>
      </c>
      <c r="AO608">
        <v>3</v>
      </c>
      <c r="AP608">
        <v>40</v>
      </c>
      <c r="AQ608">
        <v>3</v>
      </c>
      <c r="AR608" t="s">
        <v>904</v>
      </c>
      <c r="AS608" t="s">
        <v>905</v>
      </c>
      <c r="AT608">
        <v>0.19800000000000001</v>
      </c>
      <c r="AU608" t="s">
        <v>65</v>
      </c>
      <c r="AV608">
        <v>74</v>
      </c>
      <c r="AW608">
        <v>6</v>
      </c>
      <c r="AX608" t="s">
        <v>906</v>
      </c>
      <c r="AY608" t="s">
        <v>907</v>
      </c>
      <c r="AZ608" t="s">
        <v>908</v>
      </c>
      <c r="BA608">
        <v>1.9970000000000002E-2</v>
      </c>
      <c r="BB608">
        <v>1</v>
      </c>
      <c r="BC608" t="s">
        <v>69</v>
      </c>
      <c r="BD608">
        <v>0.63200000000000001</v>
      </c>
      <c r="BE608">
        <v>0.33700000000000002</v>
      </c>
    </row>
    <row r="609" spans="1:57">
      <c r="A609">
        <v>0</v>
      </c>
      <c r="B609">
        <v>0</v>
      </c>
      <c r="C609">
        <v>2</v>
      </c>
      <c r="D609">
        <v>1718</v>
      </c>
      <c r="E609" t="s">
        <v>2576</v>
      </c>
      <c r="F609" t="s">
        <v>5762</v>
      </c>
      <c r="G609" t="s">
        <v>57</v>
      </c>
      <c r="H609">
        <v>1724029</v>
      </c>
      <c r="I609">
        <v>1725294</v>
      </c>
      <c r="J609" t="s">
        <v>2577</v>
      </c>
      <c r="K609">
        <v>422</v>
      </c>
      <c r="L609" t="s">
        <v>59</v>
      </c>
      <c r="M609">
        <v>5</v>
      </c>
      <c r="N609" t="str">
        <f>HYPERLINK("Gene1718-zp_tree_all.dnd", "Gene1718-tree")</f>
        <v>Gene1718-tree</v>
      </c>
      <c r="O609">
        <v>2</v>
      </c>
      <c r="P609">
        <v>3</v>
      </c>
      <c r="Q609">
        <v>2</v>
      </c>
      <c r="R609">
        <v>3</v>
      </c>
      <c r="S609">
        <v>0.6</v>
      </c>
      <c r="T609" t="s">
        <v>135</v>
      </c>
      <c r="U609" t="s">
        <v>84</v>
      </c>
      <c r="V609" t="s">
        <v>62</v>
      </c>
      <c r="W609" t="s">
        <v>62</v>
      </c>
      <c r="X609">
        <v>1</v>
      </c>
      <c r="Y609">
        <v>2</v>
      </c>
      <c r="Z609">
        <v>19</v>
      </c>
      <c r="AA609">
        <v>9.5240000000000005E-2</v>
      </c>
      <c r="AB609">
        <v>0</v>
      </c>
      <c r="AC609">
        <v>0</v>
      </c>
      <c r="AD609">
        <v>0</v>
      </c>
      <c r="AE609">
        <v>1</v>
      </c>
      <c r="AF609">
        <v>0</v>
      </c>
      <c r="AG609">
        <v>0</v>
      </c>
      <c r="AH609">
        <v>2</v>
      </c>
      <c r="AI609">
        <v>2</v>
      </c>
      <c r="AJ609">
        <v>17</v>
      </c>
      <c r="AK609">
        <v>0.10526000000000001</v>
      </c>
      <c r="AL609">
        <v>5</v>
      </c>
      <c r="AM609">
        <v>2</v>
      </c>
      <c r="AN609">
        <v>69</v>
      </c>
      <c r="AO609">
        <v>22</v>
      </c>
      <c r="AP609">
        <v>35</v>
      </c>
      <c r="AQ609">
        <v>2</v>
      </c>
      <c r="AR609" t="s">
        <v>2578</v>
      </c>
      <c r="AS609" t="s">
        <v>2579</v>
      </c>
      <c r="AT609">
        <v>0.61599999999999999</v>
      </c>
      <c r="AU609" t="s">
        <v>65</v>
      </c>
      <c r="AV609">
        <v>104</v>
      </c>
      <c r="AW609">
        <v>24</v>
      </c>
      <c r="AX609" t="s">
        <v>2580</v>
      </c>
      <c r="AY609" t="s">
        <v>2581</v>
      </c>
      <c r="AZ609" t="s">
        <v>2582</v>
      </c>
      <c r="BA609">
        <v>5.9299999999999999E-2</v>
      </c>
      <c r="BB609">
        <v>1</v>
      </c>
      <c r="BC609" t="s">
        <v>69</v>
      </c>
      <c r="BD609">
        <v>0</v>
      </c>
      <c r="BE609">
        <v>-0.496</v>
      </c>
    </row>
    <row r="610" spans="1:57">
      <c r="A610">
        <v>0</v>
      </c>
      <c r="B610">
        <v>0</v>
      </c>
      <c r="C610">
        <v>0</v>
      </c>
      <c r="D610">
        <v>2268</v>
      </c>
      <c r="E610" t="s">
        <v>2932</v>
      </c>
      <c r="F610" t="s">
        <v>5762</v>
      </c>
      <c r="G610" t="s">
        <v>62</v>
      </c>
      <c r="H610">
        <v>2292772</v>
      </c>
      <c r="I610">
        <v>2294037</v>
      </c>
      <c r="J610" t="s">
        <v>2933</v>
      </c>
      <c r="K610">
        <v>422</v>
      </c>
      <c r="L610" t="s">
        <v>59</v>
      </c>
      <c r="M610">
        <v>5</v>
      </c>
      <c r="N610" t="str">
        <f>HYPERLINK("Gene2268-zp_tree_all.dnd", "Gene2268-tree")</f>
        <v>Gene2268-tree</v>
      </c>
      <c r="O610">
        <v>0</v>
      </c>
      <c r="P610">
        <v>5</v>
      </c>
      <c r="Q610">
        <v>0</v>
      </c>
      <c r="R610">
        <v>5</v>
      </c>
      <c r="S610">
        <v>1</v>
      </c>
      <c r="T610" t="s">
        <v>62</v>
      </c>
      <c r="U610" t="s">
        <v>98</v>
      </c>
      <c r="V610" t="s">
        <v>62</v>
      </c>
      <c r="W610" t="s">
        <v>62</v>
      </c>
      <c r="X610">
        <v>0</v>
      </c>
      <c r="Y610">
        <v>0</v>
      </c>
      <c r="Z610">
        <v>12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7</v>
      </c>
      <c r="AK610">
        <v>0</v>
      </c>
      <c r="AL610">
        <v>5</v>
      </c>
      <c r="AM610">
        <v>2</v>
      </c>
      <c r="AN610">
        <v>37</v>
      </c>
      <c r="AO610">
        <v>7</v>
      </c>
      <c r="AP610">
        <v>38</v>
      </c>
      <c r="AQ610">
        <v>6</v>
      </c>
      <c r="AR610" t="s">
        <v>2934</v>
      </c>
      <c r="AS610" t="s">
        <v>2935</v>
      </c>
      <c r="AT610">
        <v>0.67300000000000004</v>
      </c>
      <c r="AU610" t="s">
        <v>65</v>
      </c>
      <c r="AV610">
        <v>75</v>
      </c>
      <c r="AW610">
        <v>13</v>
      </c>
      <c r="AX610" t="s">
        <v>2936</v>
      </c>
      <c r="AY610" t="s">
        <v>2937</v>
      </c>
      <c r="AZ610" t="s">
        <v>2938</v>
      </c>
      <c r="BA610">
        <v>4.7840000000000001E-2</v>
      </c>
      <c r="BB610">
        <v>1</v>
      </c>
      <c r="BC610" t="s">
        <v>69</v>
      </c>
      <c r="BD610">
        <v>0.78200000000000003</v>
      </c>
      <c r="BE610">
        <v>0.316</v>
      </c>
    </row>
    <row r="611" spans="1:57">
      <c r="A611">
        <v>0</v>
      </c>
      <c r="B611">
        <v>0</v>
      </c>
      <c r="C611">
        <v>0</v>
      </c>
      <c r="D611">
        <v>2846</v>
      </c>
      <c r="E611" t="s">
        <v>3662</v>
      </c>
      <c r="F611" t="s">
        <v>5762</v>
      </c>
      <c r="G611" t="s">
        <v>62</v>
      </c>
      <c r="H611">
        <v>2792863</v>
      </c>
      <c r="I611">
        <v>2794128</v>
      </c>
      <c r="J611" t="s">
        <v>3663</v>
      </c>
      <c r="K611">
        <v>422</v>
      </c>
      <c r="L611" t="s">
        <v>83</v>
      </c>
      <c r="M611">
        <v>4</v>
      </c>
      <c r="N611" t="str">
        <f>HYPERLINK("Gene2846-zp_tree_all.dnd", "Gene2846-tree")</f>
        <v>Gene2846-tree</v>
      </c>
      <c r="O611">
        <v>2</v>
      </c>
      <c r="P611">
        <v>2</v>
      </c>
      <c r="Q611">
        <v>2</v>
      </c>
      <c r="R611">
        <v>2</v>
      </c>
      <c r="S611">
        <v>0.5</v>
      </c>
      <c r="T611" t="s">
        <v>135</v>
      </c>
      <c r="U611" t="s">
        <v>135</v>
      </c>
      <c r="V611" t="s">
        <v>62</v>
      </c>
      <c r="W611" t="s">
        <v>62</v>
      </c>
      <c r="X611">
        <v>0</v>
      </c>
      <c r="Y611">
        <v>0</v>
      </c>
      <c r="Z611">
        <v>6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6</v>
      </c>
      <c r="AK611">
        <v>0</v>
      </c>
      <c r="AL611">
        <v>4</v>
      </c>
      <c r="AM611">
        <v>1</v>
      </c>
      <c r="AN611">
        <v>64</v>
      </c>
      <c r="AO611">
        <v>7</v>
      </c>
      <c r="AP611">
        <v>7</v>
      </c>
      <c r="AQ611">
        <v>0</v>
      </c>
      <c r="AR611" t="s">
        <v>3664</v>
      </c>
      <c r="AS611" t="s">
        <v>64</v>
      </c>
      <c r="AT611">
        <v>0.91400000000000003</v>
      </c>
      <c r="AU611" t="s">
        <v>65</v>
      </c>
      <c r="AV611">
        <v>71</v>
      </c>
      <c r="AW611">
        <v>7</v>
      </c>
      <c r="AX611" t="s">
        <v>3665</v>
      </c>
      <c r="AY611" t="s">
        <v>3666</v>
      </c>
      <c r="AZ611" t="s">
        <v>3667</v>
      </c>
      <c r="BA611">
        <v>2.453E-2</v>
      </c>
      <c r="BB611">
        <v>1</v>
      </c>
      <c r="BC611" t="s">
        <v>69</v>
      </c>
      <c r="BD611">
        <v>-0.39600000000000002</v>
      </c>
      <c r="BE611">
        <v>-0.52500000000000002</v>
      </c>
    </row>
    <row r="612" spans="1:57">
      <c r="A612">
        <v>0</v>
      </c>
      <c r="B612">
        <v>0</v>
      </c>
      <c r="C612">
        <v>0</v>
      </c>
      <c r="D612">
        <v>1286</v>
      </c>
      <c r="E612" t="s">
        <v>1764</v>
      </c>
      <c r="F612" t="s">
        <v>5762</v>
      </c>
      <c r="G612" t="s">
        <v>57</v>
      </c>
      <c r="H612">
        <v>1314453</v>
      </c>
      <c r="I612">
        <v>1315721</v>
      </c>
      <c r="J612" t="s">
        <v>1765</v>
      </c>
      <c r="K612">
        <v>423</v>
      </c>
      <c r="L612" t="s">
        <v>59</v>
      </c>
      <c r="M612">
        <v>5</v>
      </c>
      <c r="N612" t="str">
        <f>HYPERLINK("Gene1286-zp_tree_all.dnd", "Gene1286-tree")</f>
        <v>Gene1286-tree</v>
      </c>
      <c r="O612">
        <v>0</v>
      </c>
      <c r="P612">
        <v>5</v>
      </c>
      <c r="Q612">
        <v>0</v>
      </c>
      <c r="R612">
        <v>5</v>
      </c>
      <c r="S612">
        <v>1</v>
      </c>
      <c r="T612" t="s">
        <v>62</v>
      </c>
      <c r="U612" t="s">
        <v>98</v>
      </c>
      <c r="V612" t="s">
        <v>62</v>
      </c>
      <c r="W612" t="s">
        <v>62</v>
      </c>
      <c r="X612">
        <v>0</v>
      </c>
      <c r="Y612">
        <v>0</v>
      </c>
      <c r="Z612">
        <v>13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10</v>
      </c>
      <c r="AK612">
        <v>0</v>
      </c>
      <c r="AL612">
        <v>3</v>
      </c>
      <c r="AM612">
        <v>2</v>
      </c>
      <c r="AN612">
        <v>26</v>
      </c>
      <c r="AO612">
        <v>9</v>
      </c>
      <c r="AP612">
        <v>19</v>
      </c>
      <c r="AQ612">
        <v>4</v>
      </c>
      <c r="AR612" t="s">
        <v>1766</v>
      </c>
      <c r="AS612" t="s">
        <v>1767</v>
      </c>
      <c r="AT612">
        <v>0.72399999999999998</v>
      </c>
      <c r="AU612" t="s">
        <v>65</v>
      </c>
      <c r="AV612">
        <v>45</v>
      </c>
      <c r="AW612">
        <v>13</v>
      </c>
      <c r="AX612" t="s">
        <v>1768</v>
      </c>
      <c r="AY612" t="s">
        <v>1769</v>
      </c>
      <c r="AZ612" t="s">
        <v>1770</v>
      </c>
      <c r="BA612">
        <v>7.3649999999999993E-2</v>
      </c>
      <c r="BB612">
        <v>1</v>
      </c>
      <c r="BC612" t="s">
        <v>69</v>
      </c>
      <c r="BD612">
        <v>-1.0999999999999999E-2</v>
      </c>
      <c r="BE612">
        <v>-1.0999999999999999E-2</v>
      </c>
    </row>
    <row r="613" spans="1:57">
      <c r="A613">
        <v>0</v>
      </c>
      <c r="B613">
        <v>0</v>
      </c>
      <c r="C613">
        <v>0</v>
      </c>
      <c r="D613">
        <v>3029</v>
      </c>
      <c r="E613" t="s">
        <v>4055</v>
      </c>
      <c r="F613" t="s">
        <v>5762</v>
      </c>
      <c r="G613" t="s">
        <v>62</v>
      </c>
      <c r="H613">
        <v>2979719</v>
      </c>
      <c r="I613">
        <v>2980987</v>
      </c>
      <c r="J613" t="s">
        <v>4056</v>
      </c>
      <c r="K613">
        <v>423</v>
      </c>
      <c r="L613" t="s">
        <v>59</v>
      </c>
      <c r="M613">
        <v>5</v>
      </c>
      <c r="N613" t="str">
        <f>HYPERLINK("Gene3029-zp_tree_all.dnd", "Gene3029-tree")</f>
        <v>Gene3029-tree</v>
      </c>
      <c r="O613">
        <v>5</v>
      </c>
      <c r="P613">
        <v>0</v>
      </c>
      <c r="Q613">
        <v>5</v>
      </c>
      <c r="R613">
        <v>0</v>
      </c>
      <c r="S613">
        <v>0</v>
      </c>
      <c r="T613" t="s">
        <v>98</v>
      </c>
      <c r="U613" t="s">
        <v>62</v>
      </c>
      <c r="V613" t="s">
        <v>62</v>
      </c>
      <c r="W613" t="s">
        <v>62</v>
      </c>
      <c r="X613">
        <v>0</v>
      </c>
      <c r="Y613">
        <v>0</v>
      </c>
      <c r="Z613">
        <v>5</v>
      </c>
      <c r="AA613">
        <v>0</v>
      </c>
      <c r="AB613">
        <v>0</v>
      </c>
      <c r="AC613">
        <v>0</v>
      </c>
      <c r="AD613">
        <v>0</v>
      </c>
      <c r="AE613">
        <v>1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5</v>
      </c>
      <c r="AM613">
        <v>2</v>
      </c>
      <c r="AN613">
        <v>34</v>
      </c>
      <c r="AO613">
        <v>0</v>
      </c>
      <c r="AP613">
        <v>28</v>
      </c>
      <c r="AQ613">
        <v>5</v>
      </c>
      <c r="AR613" t="s">
        <v>64</v>
      </c>
      <c r="AS613" t="s">
        <v>4057</v>
      </c>
      <c r="AT613">
        <v>1.276</v>
      </c>
      <c r="AU613" t="s">
        <v>65</v>
      </c>
      <c r="AV613">
        <v>62</v>
      </c>
      <c r="AW613">
        <v>5</v>
      </c>
      <c r="AX613" t="s">
        <v>4058</v>
      </c>
      <c r="AY613" t="s">
        <v>4059</v>
      </c>
      <c r="AZ613" t="s">
        <v>4060</v>
      </c>
      <c r="BA613">
        <v>2.8080000000000001E-2</v>
      </c>
      <c r="BB613">
        <v>1</v>
      </c>
      <c r="BC613" t="s">
        <v>69</v>
      </c>
      <c r="BD613">
        <v>0.56599999999999995</v>
      </c>
      <c r="BE613">
        <v>0.34</v>
      </c>
    </row>
    <row r="614" spans="1:57">
      <c r="A614">
        <v>0</v>
      </c>
      <c r="B614">
        <v>0</v>
      </c>
      <c r="C614">
        <v>0</v>
      </c>
      <c r="D614">
        <v>2940</v>
      </c>
      <c r="E614" t="s">
        <v>3876</v>
      </c>
      <c r="F614" t="s">
        <v>5762</v>
      </c>
      <c r="G614" t="s">
        <v>62</v>
      </c>
      <c r="H614">
        <v>2886318</v>
      </c>
      <c r="I614">
        <v>2887589</v>
      </c>
      <c r="J614" t="s">
        <v>3877</v>
      </c>
      <c r="K614">
        <v>424</v>
      </c>
      <c r="L614" t="s">
        <v>59</v>
      </c>
      <c r="M614">
        <v>5</v>
      </c>
      <c r="N614" t="str">
        <f>HYPERLINK("Gene2940-zp_tree_all.dnd", "Gene2940-tree")</f>
        <v>Gene2940-tree</v>
      </c>
      <c r="O614">
        <v>2</v>
      </c>
      <c r="P614">
        <v>3</v>
      </c>
      <c r="Q614">
        <v>2</v>
      </c>
      <c r="R614">
        <v>3</v>
      </c>
      <c r="S614">
        <v>0.6</v>
      </c>
      <c r="T614" t="s">
        <v>135</v>
      </c>
      <c r="U614" t="s">
        <v>84</v>
      </c>
      <c r="V614" t="s">
        <v>62</v>
      </c>
      <c r="W614" t="s">
        <v>62</v>
      </c>
      <c r="X614">
        <v>0</v>
      </c>
      <c r="Y614">
        <v>0</v>
      </c>
      <c r="Z614">
        <v>9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7</v>
      </c>
      <c r="AK614">
        <v>0</v>
      </c>
      <c r="AL614">
        <v>5</v>
      </c>
      <c r="AM614">
        <v>2</v>
      </c>
      <c r="AN614">
        <v>41</v>
      </c>
      <c r="AO614">
        <v>7</v>
      </c>
      <c r="AP614">
        <v>10</v>
      </c>
      <c r="AQ614">
        <v>3</v>
      </c>
      <c r="AR614" t="s">
        <v>3878</v>
      </c>
      <c r="AS614" t="s">
        <v>3879</v>
      </c>
      <c r="AT614">
        <v>0.93300000000000005</v>
      </c>
      <c r="AU614" t="s">
        <v>65</v>
      </c>
      <c r="AV614">
        <v>51</v>
      </c>
      <c r="AW614">
        <v>10</v>
      </c>
      <c r="AX614" t="s">
        <v>3880</v>
      </c>
      <c r="AY614" t="s">
        <v>3881</v>
      </c>
      <c r="AZ614" t="s">
        <v>3882</v>
      </c>
      <c r="BA614">
        <v>5.8549999999999998E-2</v>
      </c>
      <c r="BB614">
        <v>1</v>
      </c>
      <c r="BC614" t="s">
        <v>69</v>
      </c>
      <c r="BD614">
        <v>-0.152</v>
      </c>
      <c r="BE614">
        <v>-0.26800000000000002</v>
      </c>
    </row>
    <row r="615" spans="1:57">
      <c r="A615">
        <v>0</v>
      </c>
      <c r="B615">
        <v>2</v>
      </c>
      <c r="C615">
        <v>0</v>
      </c>
      <c r="D615">
        <v>2870</v>
      </c>
      <c r="E615" t="s">
        <v>3715</v>
      </c>
      <c r="F615" t="s">
        <v>5762</v>
      </c>
      <c r="G615" t="s">
        <v>62</v>
      </c>
      <c r="H615">
        <v>2816538</v>
      </c>
      <c r="I615">
        <v>2817809</v>
      </c>
      <c r="J615" t="s">
        <v>3716</v>
      </c>
      <c r="K615">
        <v>424</v>
      </c>
      <c r="L615" t="s">
        <v>83</v>
      </c>
      <c r="M615">
        <v>4</v>
      </c>
      <c r="N615" t="str">
        <f>HYPERLINK("Gene2870-zp_tree_all.dnd", "Gene2870-tree")</f>
        <v>Gene2870-tree</v>
      </c>
      <c r="O615">
        <v>0</v>
      </c>
      <c r="P615">
        <v>4</v>
      </c>
      <c r="Q615">
        <v>0</v>
      </c>
      <c r="R615">
        <v>4</v>
      </c>
      <c r="S615">
        <v>1</v>
      </c>
      <c r="T615" t="s">
        <v>62</v>
      </c>
      <c r="U615" t="s">
        <v>60</v>
      </c>
      <c r="V615" t="s">
        <v>62</v>
      </c>
      <c r="W615" t="s">
        <v>62</v>
      </c>
      <c r="X615">
        <v>1</v>
      </c>
      <c r="Y615">
        <v>2</v>
      </c>
      <c r="Z615">
        <v>13</v>
      </c>
      <c r="AA615">
        <v>0.13333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2</v>
      </c>
      <c r="AH615">
        <v>0</v>
      </c>
      <c r="AI615">
        <v>2</v>
      </c>
      <c r="AJ615">
        <v>11</v>
      </c>
      <c r="AK615">
        <v>0.15384999999999999</v>
      </c>
      <c r="AL615">
        <v>4</v>
      </c>
      <c r="AM615">
        <v>1</v>
      </c>
      <c r="AN615">
        <v>61</v>
      </c>
      <c r="AO615">
        <v>13</v>
      </c>
      <c r="AP615">
        <v>8</v>
      </c>
      <c r="AQ615">
        <v>2</v>
      </c>
      <c r="AR615" t="s">
        <v>3717</v>
      </c>
      <c r="AS615" t="s">
        <v>3718</v>
      </c>
      <c r="AT615">
        <v>0.29299999999999998</v>
      </c>
      <c r="AU615" t="s">
        <v>65</v>
      </c>
      <c r="AV615">
        <v>69</v>
      </c>
      <c r="AW615">
        <v>15</v>
      </c>
      <c r="AX615" t="s">
        <v>3719</v>
      </c>
      <c r="AY615" t="s">
        <v>3720</v>
      </c>
      <c r="AZ615" t="s">
        <v>3721</v>
      </c>
      <c r="BA615">
        <v>5.6309999999999999E-2</v>
      </c>
      <c r="BB615">
        <v>1</v>
      </c>
      <c r="BC615" t="s">
        <v>69</v>
      </c>
      <c r="BD615">
        <v>-0.14299999999999999</v>
      </c>
      <c r="BE615">
        <v>-0.628</v>
      </c>
    </row>
    <row r="616" spans="1:57">
      <c r="A616">
        <v>0</v>
      </c>
      <c r="B616">
        <v>0</v>
      </c>
      <c r="C616">
        <v>0</v>
      </c>
      <c r="D616">
        <v>2392</v>
      </c>
      <c r="E616" t="s">
        <v>3122</v>
      </c>
      <c r="F616" t="s">
        <v>5762</v>
      </c>
      <c r="G616" t="s">
        <v>62</v>
      </c>
      <c r="H616">
        <v>2402070</v>
      </c>
      <c r="I616">
        <v>2403350</v>
      </c>
      <c r="J616" t="s">
        <v>3123</v>
      </c>
      <c r="K616">
        <v>427</v>
      </c>
      <c r="L616" t="s">
        <v>59</v>
      </c>
      <c r="M616">
        <v>5</v>
      </c>
      <c r="N616" t="str">
        <f>HYPERLINK("Gene2392-zp_tree_all.dnd", "Gene2392-tree")</f>
        <v>Gene2392-tree</v>
      </c>
      <c r="O616">
        <v>4</v>
      </c>
      <c r="P616">
        <v>1</v>
      </c>
      <c r="Q616">
        <v>3</v>
      </c>
      <c r="R616">
        <v>1</v>
      </c>
      <c r="S616">
        <v>0.25</v>
      </c>
      <c r="T616" t="s">
        <v>119</v>
      </c>
      <c r="U616" t="s">
        <v>61</v>
      </c>
      <c r="V616" t="s">
        <v>62</v>
      </c>
      <c r="W616" t="s">
        <v>62</v>
      </c>
      <c r="X616">
        <v>0</v>
      </c>
      <c r="Y616">
        <v>0</v>
      </c>
      <c r="Z616">
        <v>4</v>
      </c>
      <c r="AA616">
        <v>0</v>
      </c>
      <c r="AB616">
        <v>0</v>
      </c>
      <c r="AC616">
        <v>0</v>
      </c>
      <c r="AD616">
        <v>0</v>
      </c>
      <c r="AE616">
        <v>3</v>
      </c>
      <c r="AF616">
        <v>0</v>
      </c>
      <c r="AG616">
        <v>0</v>
      </c>
      <c r="AH616">
        <v>0</v>
      </c>
      <c r="AI616">
        <v>0</v>
      </c>
      <c r="AJ616">
        <v>1</v>
      </c>
      <c r="AK616">
        <v>0</v>
      </c>
      <c r="AL616">
        <v>4</v>
      </c>
      <c r="AM616">
        <v>1</v>
      </c>
      <c r="AN616">
        <v>26</v>
      </c>
      <c r="AO616">
        <v>1</v>
      </c>
      <c r="AP616">
        <v>30</v>
      </c>
      <c r="AQ616">
        <v>3</v>
      </c>
      <c r="AR616" t="s">
        <v>3124</v>
      </c>
      <c r="AS616" t="s">
        <v>3125</v>
      </c>
      <c r="AT616">
        <v>0.92500000000000004</v>
      </c>
      <c r="AU616" t="s">
        <v>65</v>
      </c>
      <c r="AV616">
        <v>56</v>
      </c>
      <c r="AW616">
        <v>4</v>
      </c>
      <c r="AX616" t="s">
        <v>3126</v>
      </c>
      <c r="AY616" t="s">
        <v>3127</v>
      </c>
      <c r="AZ616" t="s">
        <v>3128</v>
      </c>
      <c r="BA616">
        <v>2.111E-2</v>
      </c>
      <c r="BB616">
        <v>1</v>
      </c>
      <c r="BC616" t="s">
        <v>69</v>
      </c>
      <c r="BD616">
        <v>0.92300000000000004</v>
      </c>
      <c r="BE616">
        <v>0.67400000000000004</v>
      </c>
    </row>
    <row r="617" spans="1:57">
      <c r="A617">
        <v>0</v>
      </c>
      <c r="B617">
        <v>0</v>
      </c>
      <c r="C617">
        <v>0</v>
      </c>
      <c r="D617">
        <v>3843</v>
      </c>
      <c r="E617" t="s">
        <v>5190</v>
      </c>
      <c r="F617" t="s">
        <v>5762</v>
      </c>
      <c r="G617" t="s">
        <v>62</v>
      </c>
      <c r="H617">
        <v>3803403</v>
      </c>
      <c r="I617">
        <v>3804683</v>
      </c>
      <c r="J617" t="s">
        <v>5191</v>
      </c>
      <c r="K617">
        <v>427</v>
      </c>
      <c r="L617" t="s">
        <v>59</v>
      </c>
      <c r="M617">
        <v>5</v>
      </c>
      <c r="N617" t="str">
        <f>HYPERLINK("Gene3843-zp_tree_all.dnd", "Gene3843-tree")</f>
        <v>Gene3843-tree</v>
      </c>
      <c r="O617">
        <v>5</v>
      </c>
      <c r="P617">
        <v>0</v>
      </c>
      <c r="Q617">
        <v>5</v>
      </c>
      <c r="R617">
        <v>0</v>
      </c>
      <c r="S617">
        <v>0</v>
      </c>
      <c r="T617" t="s">
        <v>98</v>
      </c>
      <c r="U617" t="s">
        <v>62</v>
      </c>
      <c r="V617" t="s">
        <v>62</v>
      </c>
      <c r="W617" t="s">
        <v>62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5</v>
      </c>
      <c r="AM617">
        <v>2</v>
      </c>
      <c r="AN617">
        <v>33</v>
      </c>
      <c r="AO617">
        <v>0</v>
      </c>
      <c r="AP617">
        <v>43</v>
      </c>
      <c r="AQ617">
        <v>0</v>
      </c>
      <c r="AR617" t="s">
        <v>64</v>
      </c>
      <c r="AS617" t="s">
        <v>64</v>
      </c>
      <c r="AT617">
        <v>0</v>
      </c>
      <c r="AU617" t="s">
        <v>65</v>
      </c>
      <c r="AV617">
        <v>76</v>
      </c>
      <c r="AW617">
        <v>0</v>
      </c>
      <c r="AX617" t="s">
        <v>5192</v>
      </c>
      <c r="AY617" t="s">
        <v>5193</v>
      </c>
      <c r="AZ617" t="s">
        <v>64</v>
      </c>
      <c r="BA617">
        <v>0</v>
      </c>
      <c r="BB617">
        <v>1</v>
      </c>
      <c r="BC617" t="s">
        <v>69</v>
      </c>
      <c r="BD617">
        <v>0.97899999999999998</v>
      </c>
      <c r="BE617">
        <v>0.52200000000000002</v>
      </c>
    </row>
    <row r="618" spans="1:57">
      <c r="A618">
        <v>0</v>
      </c>
      <c r="B618">
        <v>2</v>
      </c>
      <c r="C618">
        <v>0</v>
      </c>
      <c r="D618">
        <v>2908</v>
      </c>
      <c r="E618" t="s">
        <v>3785</v>
      </c>
      <c r="F618" t="s">
        <v>5762</v>
      </c>
      <c r="G618" t="s">
        <v>62</v>
      </c>
      <c r="H618">
        <v>2852664</v>
      </c>
      <c r="I618">
        <v>2853947</v>
      </c>
      <c r="J618" t="s">
        <v>3786</v>
      </c>
      <c r="K618">
        <v>428</v>
      </c>
      <c r="L618" t="s">
        <v>59</v>
      </c>
      <c r="M618">
        <v>5</v>
      </c>
      <c r="N618" t="str">
        <f>HYPERLINK("Gene2908-zp_tree_all.dnd", "Gene2908-tree")</f>
        <v>Gene2908-tree</v>
      </c>
      <c r="O618">
        <v>1</v>
      </c>
      <c r="P618">
        <v>4</v>
      </c>
      <c r="Q618">
        <v>1</v>
      </c>
      <c r="R618">
        <v>4</v>
      </c>
      <c r="S618">
        <v>0.8</v>
      </c>
      <c r="T618" t="s">
        <v>61</v>
      </c>
      <c r="U618" t="s">
        <v>60</v>
      </c>
      <c r="V618" t="s">
        <v>62</v>
      </c>
      <c r="W618" t="s">
        <v>62</v>
      </c>
      <c r="X618">
        <v>1</v>
      </c>
      <c r="Y618">
        <v>2</v>
      </c>
      <c r="Z618">
        <v>8</v>
      </c>
      <c r="AA618">
        <v>0.2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2</v>
      </c>
      <c r="AH618">
        <v>0</v>
      </c>
      <c r="AI618">
        <v>2</v>
      </c>
      <c r="AJ618">
        <v>3</v>
      </c>
      <c r="AK618">
        <v>0.4</v>
      </c>
      <c r="AL618">
        <v>5</v>
      </c>
      <c r="AM618">
        <v>2</v>
      </c>
      <c r="AN618">
        <v>58</v>
      </c>
      <c r="AO618">
        <v>5</v>
      </c>
      <c r="AP618">
        <v>33</v>
      </c>
      <c r="AQ618">
        <v>7</v>
      </c>
      <c r="AR618" t="s">
        <v>3787</v>
      </c>
      <c r="AS618" t="s">
        <v>3788</v>
      </c>
      <c r="AT618">
        <v>2.4860000000000002</v>
      </c>
      <c r="AU618" t="s">
        <v>65</v>
      </c>
      <c r="AV618">
        <v>91</v>
      </c>
      <c r="AW618">
        <v>12</v>
      </c>
      <c r="AX618" t="s">
        <v>3789</v>
      </c>
      <c r="AY618" t="s">
        <v>3790</v>
      </c>
      <c r="AZ618" t="s">
        <v>3791</v>
      </c>
      <c r="BA618">
        <v>4.0809999999999999E-2</v>
      </c>
      <c r="BB618">
        <v>1</v>
      </c>
      <c r="BC618" t="s">
        <v>69</v>
      </c>
      <c r="BD618">
        <v>0.28199999999999997</v>
      </c>
      <c r="BE618">
        <v>6.0999999999999999E-2</v>
      </c>
    </row>
    <row r="619" spans="1:57">
      <c r="A619">
        <v>0</v>
      </c>
      <c r="B619">
        <v>0</v>
      </c>
      <c r="C619">
        <v>0</v>
      </c>
      <c r="D619">
        <v>1506</v>
      </c>
      <c r="E619" t="s">
        <v>2001</v>
      </c>
      <c r="F619" t="s">
        <v>5762</v>
      </c>
      <c r="G619" t="s">
        <v>57</v>
      </c>
      <c r="H619">
        <v>1518333</v>
      </c>
      <c r="I619">
        <v>1519616</v>
      </c>
      <c r="J619" t="s">
        <v>2002</v>
      </c>
      <c r="K619">
        <v>428</v>
      </c>
      <c r="L619" t="s">
        <v>83</v>
      </c>
      <c r="M619">
        <v>4</v>
      </c>
      <c r="N619" t="str">
        <f>HYPERLINK("Gene1506-zp_tree_all.dnd", "Gene1506-tree")</f>
        <v>Gene1506-tree</v>
      </c>
      <c r="O619">
        <v>2</v>
      </c>
      <c r="P619">
        <v>2</v>
      </c>
      <c r="Q619">
        <v>2</v>
      </c>
      <c r="R619">
        <v>2</v>
      </c>
      <c r="S619">
        <v>0.5</v>
      </c>
      <c r="T619" t="s">
        <v>135</v>
      </c>
      <c r="U619" t="s">
        <v>135</v>
      </c>
      <c r="V619" t="s">
        <v>62</v>
      </c>
      <c r="W619" t="s">
        <v>62</v>
      </c>
      <c r="X619">
        <v>0</v>
      </c>
      <c r="Y619">
        <v>0</v>
      </c>
      <c r="Z619">
        <v>10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10</v>
      </c>
      <c r="AK619">
        <v>0</v>
      </c>
      <c r="AL619">
        <v>4</v>
      </c>
      <c r="AM619">
        <v>1</v>
      </c>
      <c r="AN619">
        <v>55</v>
      </c>
      <c r="AO619">
        <v>10</v>
      </c>
      <c r="AP619">
        <v>8</v>
      </c>
      <c r="AQ619">
        <v>0</v>
      </c>
      <c r="AR619" t="s">
        <v>2003</v>
      </c>
      <c r="AS619" t="s">
        <v>64</v>
      </c>
      <c r="AT619">
        <v>0.52500000000000002</v>
      </c>
      <c r="AU619" t="s">
        <v>65</v>
      </c>
      <c r="AV619">
        <v>63</v>
      </c>
      <c r="AW619">
        <v>10</v>
      </c>
      <c r="AX619" t="s">
        <v>2004</v>
      </c>
      <c r="AY619" t="s">
        <v>2005</v>
      </c>
      <c r="AZ619" t="s">
        <v>2006</v>
      </c>
      <c r="BA619">
        <v>3.798E-2</v>
      </c>
      <c r="BB619">
        <v>1</v>
      </c>
      <c r="BC619" t="s">
        <v>69</v>
      </c>
      <c r="BD619">
        <v>-0.36899999999999999</v>
      </c>
      <c r="BE619">
        <v>-0.64200000000000002</v>
      </c>
    </row>
    <row r="620" spans="1:57">
      <c r="A620">
        <v>0</v>
      </c>
      <c r="B620">
        <v>0</v>
      </c>
      <c r="C620">
        <v>0</v>
      </c>
      <c r="D620">
        <v>1747</v>
      </c>
      <c r="E620" t="s">
        <v>2654</v>
      </c>
      <c r="F620" t="s">
        <v>5762</v>
      </c>
      <c r="G620" t="s">
        <v>57</v>
      </c>
      <c r="H620">
        <v>1758314</v>
      </c>
      <c r="I620">
        <v>1759597</v>
      </c>
      <c r="J620" t="s">
        <v>2655</v>
      </c>
      <c r="K620">
        <v>428</v>
      </c>
      <c r="L620" t="s">
        <v>83</v>
      </c>
      <c r="M620">
        <v>4</v>
      </c>
      <c r="N620" t="str">
        <f>HYPERLINK("Gene1747-zp_tree_all.dnd", "Gene1747-tree")</f>
        <v>Gene1747-tree</v>
      </c>
      <c r="O620">
        <v>2</v>
      </c>
      <c r="P620">
        <v>2</v>
      </c>
      <c r="Q620">
        <v>2</v>
      </c>
      <c r="R620">
        <v>2</v>
      </c>
      <c r="S620">
        <v>0.5</v>
      </c>
      <c r="T620" t="s">
        <v>135</v>
      </c>
      <c r="U620" t="s">
        <v>135</v>
      </c>
      <c r="V620" t="s">
        <v>62</v>
      </c>
      <c r="W620" t="s">
        <v>62</v>
      </c>
      <c r="X620">
        <v>0</v>
      </c>
      <c r="Y620">
        <v>0</v>
      </c>
      <c r="Z620">
        <v>7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7</v>
      </c>
      <c r="AK620">
        <v>0</v>
      </c>
      <c r="AL620">
        <v>4</v>
      </c>
      <c r="AM620">
        <v>1</v>
      </c>
      <c r="AN620">
        <v>65</v>
      </c>
      <c r="AO620">
        <v>7</v>
      </c>
      <c r="AP620">
        <v>9</v>
      </c>
      <c r="AQ620">
        <v>0</v>
      </c>
      <c r="AR620" t="s">
        <v>2656</v>
      </c>
      <c r="AS620" t="s">
        <v>64</v>
      </c>
      <c r="AT620">
        <v>0.59799999999999998</v>
      </c>
      <c r="AU620" t="s">
        <v>65</v>
      </c>
      <c r="AV620">
        <v>74</v>
      </c>
      <c r="AW620">
        <v>7</v>
      </c>
      <c r="AX620" t="s">
        <v>2657</v>
      </c>
      <c r="AY620" t="s">
        <v>2658</v>
      </c>
      <c r="AZ620" t="s">
        <v>2659</v>
      </c>
      <c r="BA620">
        <v>2.2939999999999999E-2</v>
      </c>
      <c r="BB620">
        <v>1</v>
      </c>
      <c r="BC620" t="s">
        <v>69</v>
      </c>
      <c r="BD620">
        <v>-0.379</v>
      </c>
      <c r="BE620">
        <v>-0.625</v>
      </c>
    </row>
    <row r="621" spans="1:57">
      <c r="A621">
        <v>0</v>
      </c>
      <c r="B621">
        <v>0</v>
      </c>
      <c r="C621">
        <v>0</v>
      </c>
      <c r="D621">
        <v>3846</v>
      </c>
      <c r="E621" t="s">
        <v>5199</v>
      </c>
      <c r="F621" t="s">
        <v>5762</v>
      </c>
      <c r="G621" t="s">
        <v>62</v>
      </c>
      <c r="H621">
        <v>3806089</v>
      </c>
      <c r="I621">
        <v>3807375</v>
      </c>
      <c r="J621" t="s">
        <v>5095</v>
      </c>
      <c r="K621">
        <v>429</v>
      </c>
      <c r="L621" t="s">
        <v>59</v>
      </c>
      <c r="M621">
        <v>5</v>
      </c>
      <c r="N621" t="str">
        <f>HYPERLINK("Gene3846-zp_tree_all.dnd", "Gene3846-tree")</f>
        <v>Gene3846-tree</v>
      </c>
      <c r="O621">
        <v>4</v>
      </c>
      <c r="P621">
        <v>1</v>
      </c>
      <c r="Q621">
        <v>4</v>
      </c>
      <c r="R621">
        <v>1</v>
      </c>
      <c r="S621">
        <v>0.2</v>
      </c>
      <c r="T621" t="s">
        <v>60</v>
      </c>
      <c r="U621" t="s">
        <v>61</v>
      </c>
      <c r="V621" t="s">
        <v>62</v>
      </c>
      <c r="W621" t="s">
        <v>62</v>
      </c>
      <c r="X621">
        <v>0</v>
      </c>
      <c r="Y621">
        <v>0</v>
      </c>
      <c r="Z621">
        <v>2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1</v>
      </c>
      <c r="AK621">
        <v>0</v>
      </c>
      <c r="AL621">
        <v>5</v>
      </c>
      <c r="AM621">
        <v>2</v>
      </c>
      <c r="AN621">
        <v>40</v>
      </c>
      <c r="AO621">
        <v>1</v>
      </c>
      <c r="AP621">
        <v>44</v>
      </c>
      <c r="AQ621">
        <v>1</v>
      </c>
      <c r="AR621" t="s">
        <v>5200</v>
      </c>
      <c r="AS621" t="s">
        <v>5201</v>
      </c>
      <c r="AT621">
        <v>7.1999999999999995E-2</v>
      </c>
      <c r="AU621" t="s">
        <v>65</v>
      </c>
      <c r="AV621">
        <v>84</v>
      </c>
      <c r="AW621">
        <v>2</v>
      </c>
      <c r="AX621" t="s">
        <v>5202</v>
      </c>
      <c r="AY621" t="s">
        <v>5203</v>
      </c>
      <c r="AZ621" t="s">
        <v>5204</v>
      </c>
      <c r="BA621">
        <v>8.7500000000000008E-3</v>
      </c>
      <c r="BB621">
        <v>1</v>
      </c>
      <c r="BC621" t="s">
        <v>69</v>
      </c>
      <c r="BD621">
        <v>0.73099999999999998</v>
      </c>
      <c r="BE621">
        <v>0.35599999999999998</v>
      </c>
    </row>
    <row r="622" spans="1:57">
      <c r="A622">
        <v>0</v>
      </c>
      <c r="B622">
        <v>0</v>
      </c>
      <c r="C622">
        <v>0</v>
      </c>
      <c r="D622">
        <v>3517</v>
      </c>
      <c r="E622" t="s">
        <v>4813</v>
      </c>
      <c r="F622" t="s">
        <v>5762</v>
      </c>
      <c r="G622" t="s">
        <v>62</v>
      </c>
      <c r="H622">
        <v>3476558</v>
      </c>
      <c r="I622">
        <v>3477847</v>
      </c>
      <c r="J622" t="s">
        <v>4814</v>
      </c>
      <c r="K622">
        <v>430</v>
      </c>
      <c r="L622" t="s">
        <v>59</v>
      </c>
      <c r="M622">
        <v>5</v>
      </c>
      <c r="N622" t="str">
        <f>HYPERLINK("Gene3517-zp_tree_all.dnd", "Gene3517-tree")</f>
        <v>Gene3517-tree</v>
      </c>
      <c r="O622">
        <v>4</v>
      </c>
      <c r="P622">
        <v>1</v>
      </c>
      <c r="Q622">
        <v>4</v>
      </c>
      <c r="R622">
        <v>1</v>
      </c>
      <c r="S622">
        <v>0.2</v>
      </c>
      <c r="T622" t="s">
        <v>60</v>
      </c>
      <c r="U622" t="s">
        <v>61</v>
      </c>
      <c r="V622" t="s">
        <v>62</v>
      </c>
      <c r="W622" t="s">
        <v>62</v>
      </c>
      <c r="X622">
        <v>0</v>
      </c>
      <c r="Y622">
        <v>0</v>
      </c>
      <c r="Z622">
        <v>5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1</v>
      </c>
      <c r="AK622">
        <v>0</v>
      </c>
      <c r="AL622">
        <v>5</v>
      </c>
      <c r="AM622">
        <v>1</v>
      </c>
      <c r="AN622">
        <v>22</v>
      </c>
      <c r="AO622">
        <v>1</v>
      </c>
      <c r="AP622">
        <v>18</v>
      </c>
      <c r="AQ622">
        <v>7</v>
      </c>
      <c r="AR622" t="s">
        <v>4815</v>
      </c>
      <c r="AS622" t="s">
        <v>4816</v>
      </c>
      <c r="AT622">
        <v>3.423</v>
      </c>
      <c r="AU622" t="s">
        <v>65</v>
      </c>
      <c r="AV622">
        <v>40</v>
      </c>
      <c r="AW622">
        <v>8</v>
      </c>
      <c r="AX622" t="s">
        <v>4817</v>
      </c>
      <c r="AY622" t="s">
        <v>4818</v>
      </c>
      <c r="AZ622" t="s">
        <v>4819</v>
      </c>
      <c r="BA622">
        <v>6.9779999999999995E-2</v>
      </c>
      <c r="BB622">
        <v>1</v>
      </c>
      <c r="BC622" t="s">
        <v>69</v>
      </c>
      <c r="BD622">
        <v>0.44800000000000001</v>
      </c>
      <c r="BE622">
        <v>0.28100000000000003</v>
      </c>
    </row>
    <row r="623" spans="1:57">
      <c r="A623">
        <v>0</v>
      </c>
      <c r="B623">
        <v>0</v>
      </c>
      <c r="C623">
        <v>0</v>
      </c>
      <c r="D623">
        <v>2330</v>
      </c>
      <c r="E623" t="s">
        <v>2991</v>
      </c>
      <c r="F623" t="s">
        <v>5762</v>
      </c>
      <c r="G623" t="s">
        <v>62</v>
      </c>
      <c r="H623">
        <v>2346227</v>
      </c>
      <c r="I623">
        <v>2347516</v>
      </c>
      <c r="J623" t="s">
        <v>2992</v>
      </c>
      <c r="K623">
        <v>430</v>
      </c>
      <c r="L623" t="s">
        <v>59</v>
      </c>
      <c r="M623">
        <v>5</v>
      </c>
      <c r="N623" t="str">
        <f>HYPERLINK("Gene2330-zp_tree_all.dnd", "Gene2330-tree")</f>
        <v>Gene2330-tree</v>
      </c>
      <c r="O623">
        <v>4</v>
      </c>
      <c r="P623">
        <v>1</v>
      </c>
      <c r="Q623">
        <v>4</v>
      </c>
      <c r="R623">
        <v>1</v>
      </c>
      <c r="S623">
        <v>0.2</v>
      </c>
      <c r="T623" t="s">
        <v>60</v>
      </c>
      <c r="U623" t="s">
        <v>61</v>
      </c>
      <c r="V623" t="s">
        <v>62</v>
      </c>
      <c r="W623" t="s">
        <v>62</v>
      </c>
      <c r="X623">
        <v>0</v>
      </c>
      <c r="Y623">
        <v>0</v>
      </c>
      <c r="Z623">
        <v>8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3</v>
      </c>
      <c r="AK623">
        <v>0</v>
      </c>
      <c r="AL623">
        <v>5</v>
      </c>
      <c r="AM623">
        <v>2</v>
      </c>
      <c r="AN623">
        <v>29</v>
      </c>
      <c r="AO623">
        <v>3</v>
      </c>
      <c r="AP623">
        <v>43</v>
      </c>
      <c r="AQ623">
        <v>5</v>
      </c>
      <c r="AR623" t="s">
        <v>2993</v>
      </c>
      <c r="AS623" t="s">
        <v>2994</v>
      </c>
      <c r="AT623">
        <v>1.4999999999999999E-2</v>
      </c>
      <c r="AU623" t="s">
        <v>65</v>
      </c>
      <c r="AV623">
        <v>72</v>
      </c>
      <c r="AW623">
        <v>8</v>
      </c>
      <c r="AX623" t="s">
        <v>2995</v>
      </c>
      <c r="AY623" t="s">
        <v>2996</v>
      </c>
      <c r="AZ623" t="s">
        <v>2997</v>
      </c>
      <c r="BA623">
        <v>2.9700000000000001E-2</v>
      </c>
      <c r="BB623">
        <v>1</v>
      </c>
      <c r="BC623" t="s">
        <v>69</v>
      </c>
      <c r="BD623">
        <v>0.80800000000000005</v>
      </c>
      <c r="BE623">
        <v>0.624</v>
      </c>
    </row>
    <row r="624" spans="1:57">
      <c r="A624">
        <v>0</v>
      </c>
      <c r="B624">
        <v>0</v>
      </c>
      <c r="C624">
        <v>0</v>
      </c>
      <c r="D624">
        <v>4188</v>
      </c>
      <c r="E624" t="s">
        <v>5653</v>
      </c>
      <c r="F624" t="s">
        <v>5762</v>
      </c>
      <c r="G624" t="s">
        <v>62</v>
      </c>
      <c r="H624">
        <v>4155436</v>
      </c>
      <c r="I624">
        <v>4156725</v>
      </c>
      <c r="J624" t="s">
        <v>5654</v>
      </c>
      <c r="K624">
        <v>430</v>
      </c>
      <c r="L624" t="s">
        <v>59</v>
      </c>
      <c r="M624">
        <v>5</v>
      </c>
      <c r="N624" t="str">
        <f>HYPERLINK("Gene4188-zp_tree_all.dnd", "Gene4188-tree")</f>
        <v>Gene4188-tree</v>
      </c>
      <c r="O624">
        <v>2</v>
      </c>
      <c r="P624">
        <v>3</v>
      </c>
      <c r="Q624">
        <v>2</v>
      </c>
      <c r="R624">
        <v>3</v>
      </c>
      <c r="S624">
        <v>0.6</v>
      </c>
      <c r="T624" t="s">
        <v>135</v>
      </c>
      <c r="U624" t="s">
        <v>84</v>
      </c>
      <c r="V624" t="s">
        <v>62</v>
      </c>
      <c r="W624" t="s">
        <v>62</v>
      </c>
      <c r="X624">
        <v>0</v>
      </c>
      <c r="Y624">
        <v>0</v>
      </c>
      <c r="Z624">
        <v>6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3</v>
      </c>
      <c r="AK624">
        <v>0</v>
      </c>
      <c r="AL624">
        <v>5</v>
      </c>
      <c r="AM624">
        <v>2</v>
      </c>
      <c r="AN624">
        <v>39</v>
      </c>
      <c r="AO624">
        <v>3</v>
      </c>
      <c r="AP624">
        <v>34</v>
      </c>
      <c r="AQ624">
        <v>3</v>
      </c>
      <c r="AR624" t="s">
        <v>5655</v>
      </c>
      <c r="AS624" t="s">
        <v>5656</v>
      </c>
      <c r="AT624">
        <v>6.2E-2</v>
      </c>
      <c r="AU624" t="s">
        <v>65</v>
      </c>
      <c r="AV624">
        <v>73</v>
      </c>
      <c r="AW624">
        <v>6</v>
      </c>
      <c r="AX624" t="s">
        <v>5657</v>
      </c>
      <c r="AY624" t="s">
        <v>5658</v>
      </c>
      <c r="AZ624" t="s">
        <v>5659</v>
      </c>
      <c r="BA624">
        <v>2.4060000000000002E-2</v>
      </c>
      <c r="BB624">
        <v>1</v>
      </c>
      <c r="BC624" t="s">
        <v>69</v>
      </c>
      <c r="BD624">
        <v>0.255</v>
      </c>
      <c r="BE624">
        <v>0.154</v>
      </c>
    </row>
    <row r="625" spans="1:57">
      <c r="A625">
        <v>0</v>
      </c>
      <c r="B625">
        <v>0</v>
      </c>
      <c r="C625">
        <v>0</v>
      </c>
      <c r="D625">
        <v>136</v>
      </c>
      <c r="E625" t="s">
        <v>533</v>
      </c>
      <c r="F625" t="s">
        <v>5762</v>
      </c>
      <c r="G625" t="s">
        <v>57</v>
      </c>
      <c r="H625">
        <v>144527</v>
      </c>
      <c r="I625">
        <v>145819</v>
      </c>
      <c r="J625" t="s">
        <v>390</v>
      </c>
      <c r="K625">
        <v>431</v>
      </c>
      <c r="L625" t="s">
        <v>59</v>
      </c>
      <c r="M625">
        <v>5</v>
      </c>
      <c r="N625" t="str">
        <f>HYPERLINK("Gene136-zp_tree_all.dnd", "Gene136-tree")</f>
        <v>Gene136-tree</v>
      </c>
      <c r="O625">
        <v>4</v>
      </c>
      <c r="P625">
        <v>1</v>
      </c>
      <c r="Q625">
        <v>4</v>
      </c>
      <c r="R625">
        <v>1</v>
      </c>
      <c r="S625">
        <v>0.2</v>
      </c>
      <c r="T625" t="s">
        <v>60</v>
      </c>
      <c r="U625" t="s">
        <v>61</v>
      </c>
      <c r="V625" t="s">
        <v>62</v>
      </c>
      <c r="W625" t="s">
        <v>62</v>
      </c>
      <c r="X625">
        <v>0</v>
      </c>
      <c r="Y625">
        <v>0</v>
      </c>
      <c r="Z625">
        <v>5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1</v>
      </c>
      <c r="AK625">
        <v>0</v>
      </c>
      <c r="AL625">
        <v>4</v>
      </c>
      <c r="AM625">
        <v>2</v>
      </c>
      <c r="AN625">
        <v>11</v>
      </c>
      <c r="AO625">
        <v>1</v>
      </c>
      <c r="AP625">
        <v>13</v>
      </c>
      <c r="AQ625">
        <v>4</v>
      </c>
      <c r="AR625" t="s">
        <v>534</v>
      </c>
      <c r="AS625" t="s">
        <v>535</v>
      </c>
      <c r="AT625">
        <v>0.58699999999999997</v>
      </c>
      <c r="AU625" t="s">
        <v>65</v>
      </c>
      <c r="AV625">
        <v>24</v>
      </c>
      <c r="AW625">
        <v>5</v>
      </c>
      <c r="AX625" t="s">
        <v>536</v>
      </c>
      <c r="AY625" t="s">
        <v>537</v>
      </c>
      <c r="AZ625" t="s">
        <v>538</v>
      </c>
      <c r="BA625">
        <v>7.1609999999999993E-2</v>
      </c>
      <c r="BB625">
        <v>1</v>
      </c>
      <c r="BC625" t="s">
        <v>69</v>
      </c>
      <c r="BD625">
        <v>0.7</v>
      </c>
      <c r="BE625">
        <v>0.42199999999999999</v>
      </c>
    </row>
    <row r="626" spans="1:57">
      <c r="A626">
        <v>0</v>
      </c>
      <c r="B626">
        <v>2</v>
      </c>
      <c r="C626">
        <v>0</v>
      </c>
      <c r="D626">
        <v>678</v>
      </c>
      <c r="E626" t="s">
        <v>1112</v>
      </c>
      <c r="F626" t="s">
        <v>5762</v>
      </c>
      <c r="G626" t="s">
        <v>57</v>
      </c>
      <c r="H626">
        <v>700232</v>
      </c>
      <c r="I626">
        <v>701524</v>
      </c>
      <c r="J626" t="s">
        <v>1113</v>
      </c>
      <c r="K626">
        <v>431</v>
      </c>
      <c r="L626" t="s">
        <v>59</v>
      </c>
      <c r="M626">
        <v>5</v>
      </c>
      <c r="N626" t="str">
        <f>HYPERLINK("Gene678-zp_tree_all.dnd", "Gene678-tree")</f>
        <v>Gene678-tree</v>
      </c>
      <c r="O626">
        <v>3</v>
      </c>
      <c r="P626">
        <v>2</v>
      </c>
      <c r="Q626">
        <v>3</v>
      </c>
      <c r="R626">
        <v>2</v>
      </c>
      <c r="S626">
        <v>0.4</v>
      </c>
      <c r="T626" t="s">
        <v>84</v>
      </c>
      <c r="U626" t="s">
        <v>135</v>
      </c>
      <c r="V626" t="s">
        <v>62</v>
      </c>
      <c r="W626" t="s">
        <v>62</v>
      </c>
      <c r="X626">
        <v>1</v>
      </c>
      <c r="Y626">
        <v>2</v>
      </c>
      <c r="Z626">
        <v>3</v>
      </c>
      <c r="AA626">
        <v>0.4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2</v>
      </c>
      <c r="AH626">
        <v>0</v>
      </c>
      <c r="AI626">
        <v>2</v>
      </c>
      <c r="AJ626">
        <v>1</v>
      </c>
      <c r="AK626">
        <v>0.66666999999999998</v>
      </c>
      <c r="AL626">
        <v>5</v>
      </c>
      <c r="AM626">
        <v>2</v>
      </c>
      <c r="AN626">
        <v>44</v>
      </c>
      <c r="AO626">
        <v>3</v>
      </c>
      <c r="AP626">
        <v>45</v>
      </c>
      <c r="AQ626">
        <v>2</v>
      </c>
      <c r="AR626" t="s">
        <v>1114</v>
      </c>
      <c r="AS626" t="s">
        <v>1115</v>
      </c>
      <c r="AT626">
        <v>0.42299999999999999</v>
      </c>
      <c r="AU626" t="s">
        <v>65</v>
      </c>
      <c r="AV626">
        <v>89</v>
      </c>
      <c r="AW626">
        <v>5</v>
      </c>
      <c r="AX626" t="s">
        <v>1116</v>
      </c>
      <c r="AY626" t="s">
        <v>1117</v>
      </c>
      <c r="AZ626" t="s">
        <v>1118</v>
      </c>
      <c r="BA626">
        <v>1.359E-2</v>
      </c>
      <c r="BB626">
        <v>1</v>
      </c>
      <c r="BC626" t="s">
        <v>69</v>
      </c>
      <c r="BD626">
        <v>0.89500000000000002</v>
      </c>
      <c r="BE626">
        <v>0.432</v>
      </c>
    </row>
    <row r="627" spans="1:57">
      <c r="A627">
        <v>0</v>
      </c>
      <c r="B627">
        <v>0</v>
      </c>
      <c r="C627">
        <v>0</v>
      </c>
      <c r="D627">
        <v>3097</v>
      </c>
      <c r="E627" t="s">
        <v>4199</v>
      </c>
      <c r="F627" t="s">
        <v>5762</v>
      </c>
      <c r="G627" t="s">
        <v>62</v>
      </c>
      <c r="H627">
        <v>3048180</v>
      </c>
      <c r="I627">
        <v>3049475</v>
      </c>
      <c r="J627" t="s">
        <v>4200</v>
      </c>
      <c r="K627">
        <v>432</v>
      </c>
      <c r="L627" t="s">
        <v>83</v>
      </c>
      <c r="M627">
        <v>4</v>
      </c>
      <c r="N627" t="str">
        <f>HYPERLINK("Gene3097-zp_tree_all.dnd", "Gene3097-tree")</f>
        <v>Gene3097-tree</v>
      </c>
      <c r="O627">
        <v>2</v>
      </c>
      <c r="P627">
        <v>2</v>
      </c>
      <c r="Q627">
        <v>2</v>
      </c>
      <c r="R627">
        <v>2</v>
      </c>
      <c r="S627">
        <v>0.5</v>
      </c>
      <c r="T627" t="s">
        <v>135</v>
      </c>
      <c r="U627" t="s">
        <v>135</v>
      </c>
      <c r="V627" t="s">
        <v>62</v>
      </c>
      <c r="W627" t="s">
        <v>62</v>
      </c>
      <c r="X627">
        <v>0</v>
      </c>
      <c r="Y627">
        <v>0</v>
      </c>
      <c r="Z627">
        <v>6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5</v>
      </c>
      <c r="AK627">
        <v>0</v>
      </c>
      <c r="AL627">
        <v>4</v>
      </c>
      <c r="AM627">
        <v>1</v>
      </c>
      <c r="AN627">
        <v>61</v>
      </c>
      <c r="AO627">
        <v>5</v>
      </c>
      <c r="AP627">
        <v>7</v>
      </c>
      <c r="AQ627">
        <v>1</v>
      </c>
      <c r="AR627" t="s">
        <v>4201</v>
      </c>
      <c r="AS627" t="s">
        <v>4202</v>
      </c>
      <c r="AT627">
        <v>0.51900000000000002</v>
      </c>
      <c r="AU627" t="s">
        <v>65</v>
      </c>
      <c r="AV627">
        <v>68</v>
      </c>
      <c r="AW627">
        <v>6</v>
      </c>
      <c r="AX627" t="s">
        <v>4203</v>
      </c>
      <c r="AY627" t="s">
        <v>4204</v>
      </c>
      <c r="AZ627" t="s">
        <v>4205</v>
      </c>
      <c r="BA627">
        <v>2.3099999999999999E-2</v>
      </c>
      <c r="BB627">
        <v>1</v>
      </c>
      <c r="BC627" t="s">
        <v>69</v>
      </c>
      <c r="BD627">
        <v>-0.38300000000000001</v>
      </c>
      <c r="BE627">
        <v>-0.64900000000000002</v>
      </c>
    </row>
    <row r="628" spans="1:57">
      <c r="A628">
        <v>0</v>
      </c>
      <c r="B628">
        <v>0</v>
      </c>
      <c r="C628">
        <v>0</v>
      </c>
      <c r="D628">
        <v>3896</v>
      </c>
      <c r="E628" t="s">
        <v>5262</v>
      </c>
      <c r="F628" t="s">
        <v>5762</v>
      </c>
      <c r="G628" t="s">
        <v>62</v>
      </c>
      <c r="H628">
        <v>3859538</v>
      </c>
      <c r="I628">
        <v>3860836</v>
      </c>
      <c r="J628" t="s">
        <v>5263</v>
      </c>
      <c r="K628">
        <v>433</v>
      </c>
      <c r="L628" t="s">
        <v>59</v>
      </c>
      <c r="M628">
        <v>5</v>
      </c>
      <c r="N628" t="str">
        <f>HYPERLINK("Gene3896-zp_tree_all.dnd", "Gene3896-tree")</f>
        <v>Gene3896-tree</v>
      </c>
      <c r="O628">
        <v>1</v>
      </c>
      <c r="P628">
        <v>4</v>
      </c>
      <c r="Q628">
        <v>1</v>
      </c>
      <c r="R628">
        <v>4</v>
      </c>
      <c r="S628">
        <v>0.8</v>
      </c>
      <c r="T628" t="s">
        <v>61</v>
      </c>
      <c r="U628" t="s">
        <v>60</v>
      </c>
      <c r="V628" t="s">
        <v>62</v>
      </c>
      <c r="W628" t="s">
        <v>62</v>
      </c>
      <c r="X628">
        <v>0</v>
      </c>
      <c r="Y628">
        <v>0</v>
      </c>
      <c r="Z628">
        <v>9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7</v>
      </c>
      <c r="AK628">
        <v>0</v>
      </c>
      <c r="AL628">
        <v>5</v>
      </c>
      <c r="AM628">
        <v>2</v>
      </c>
      <c r="AN628">
        <v>29</v>
      </c>
      <c r="AO628">
        <v>7</v>
      </c>
      <c r="AP628">
        <v>39</v>
      </c>
      <c r="AQ628">
        <v>2</v>
      </c>
      <c r="AR628" t="s">
        <v>5264</v>
      </c>
      <c r="AS628" t="s">
        <v>5265</v>
      </c>
      <c r="AT628">
        <v>2.1070000000000002</v>
      </c>
      <c r="AU628" t="s">
        <v>286</v>
      </c>
      <c r="AV628">
        <v>68</v>
      </c>
      <c r="AW628">
        <v>9</v>
      </c>
      <c r="AX628" t="s">
        <v>5266</v>
      </c>
      <c r="AY628" t="s">
        <v>5267</v>
      </c>
      <c r="AZ628" t="s">
        <v>5268</v>
      </c>
      <c r="BA628">
        <v>3.3300000000000003E-2</v>
      </c>
      <c r="BB628">
        <v>1</v>
      </c>
      <c r="BC628" t="s">
        <v>69</v>
      </c>
      <c r="BD628">
        <v>0.77300000000000002</v>
      </c>
      <c r="BE628">
        <v>6.4000000000000001E-2</v>
      </c>
    </row>
    <row r="629" spans="1:57">
      <c r="A629">
        <v>0</v>
      </c>
      <c r="B629">
        <v>0</v>
      </c>
      <c r="C629">
        <v>0</v>
      </c>
      <c r="D629">
        <v>796</v>
      </c>
      <c r="E629" t="s">
        <v>1255</v>
      </c>
      <c r="F629" t="s">
        <v>5762</v>
      </c>
      <c r="G629" t="s">
        <v>57</v>
      </c>
      <c r="H629">
        <v>834383</v>
      </c>
      <c r="I629">
        <v>835681</v>
      </c>
      <c r="J629" t="s">
        <v>1256</v>
      </c>
      <c r="K629">
        <v>433</v>
      </c>
      <c r="L629" t="s">
        <v>59</v>
      </c>
      <c r="M629">
        <v>5</v>
      </c>
      <c r="N629" t="str">
        <f>HYPERLINK("Gene796-zp_tree_all.dnd", "Gene796-tree")</f>
        <v>Gene796-tree</v>
      </c>
      <c r="O629">
        <v>3</v>
      </c>
      <c r="P629">
        <v>2</v>
      </c>
      <c r="Q629">
        <v>3</v>
      </c>
      <c r="R629">
        <v>2</v>
      </c>
      <c r="S629">
        <v>0.4</v>
      </c>
      <c r="T629" t="s">
        <v>84</v>
      </c>
      <c r="U629" t="s">
        <v>135</v>
      </c>
      <c r="V629" t="s">
        <v>62</v>
      </c>
      <c r="W629" t="s">
        <v>62</v>
      </c>
      <c r="X629">
        <v>0</v>
      </c>
      <c r="Y629">
        <v>0</v>
      </c>
      <c r="Z629">
        <v>3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3</v>
      </c>
      <c r="AK629">
        <v>0</v>
      </c>
      <c r="AL629">
        <v>5</v>
      </c>
      <c r="AM629">
        <v>2</v>
      </c>
      <c r="AN629">
        <v>46</v>
      </c>
      <c r="AO629">
        <v>3</v>
      </c>
      <c r="AP629">
        <v>44</v>
      </c>
      <c r="AQ629">
        <v>0</v>
      </c>
      <c r="AR629" t="s">
        <v>1257</v>
      </c>
      <c r="AS629" t="s">
        <v>64</v>
      </c>
      <c r="AT629">
        <v>0.98299999999999998</v>
      </c>
      <c r="AU629" t="s">
        <v>65</v>
      </c>
      <c r="AV629">
        <v>90</v>
      </c>
      <c r="AW629">
        <v>3</v>
      </c>
      <c r="AX629" t="s">
        <v>1258</v>
      </c>
      <c r="AY629" t="s">
        <v>1259</v>
      </c>
      <c r="AZ629" t="s">
        <v>1260</v>
      </c>
      <c r="BA629">
        <v>8.0099999999999998E-3</v>
      </c>
      <c r="BB629">
        <v>1</v>
      </c>
      <c r="BC629" t="s">
        <v>69</v>
      </c>
      <c r="BD629">
        <v>0.37</v>
      </c>
      <c r="BE629">
        <v>0.22800000000000001</v>
      </c>
    </row>
    <row r="630" spans="1:57">
      <c r="A630">
        <v>0</v>
      </c>
      <c r="B630">
        <v>0</v>
      </c>
      <c r="C630">
        <v>0</v>
      </c>
      <c r="D630">
        <v>3811</v>
      </c>
      <c r="E630" t="s">
        <v>5094</v>
      </c>
      <c r="F630" t="s">
        <v>5762</v>
      </c>
      <c r="G630" t="s">
        <v>62</v>
      </c>
      <c r="H630">
        <v>3777952</v>
      </c>
      <c r="I630">
        <v>3779259</v>
      </c>
      <c r="J630" t="s">
        <v>5095</v>
      </c>
      <c r="K630">
        <v>436</v>
      </c>
      <c r="L630" t="s">
        <v>59</v>
      </c>
      <c r="M630">
        <v>5</v>
      </c>
      <c r="N630" t="str">
        <f>HYPERLINK("Gene3811-zp_tree_all.dnd", "Gene3811-tree")</f>
        <v>Gene3811-tree</v>
      </c>
      <c r="O630">
        <v>4</v>
      </c>
      <c r="P630">
        <v>1</v>
      </c>
      <c r="Q630">
        <v>4</v>
      </c>
      <c r="R630">
        <v>1</v>
      </c>
      <c r="S630">
        <v>0.2</v>
      </c>
      <c r="T630" t="s">
        <v>60</v>
      </c>
      <c r="U630" t="s">
        <v>61</v>
      </c>
      <c r="V630" t="s">
        <v>62</v>
      </c>
      <c r="W630" t="s">
        <v>62</v>
      </c>
      <c r="X630">
        <v>0</v>
      </c>
      <c r="Y630">
        <v>0</v>
      </c>
      <c r="Z630">
        <v>4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2</v>
      </c>
      <c r="AK630">
        <v>0</v>
      </c>
      <c r="AL630">
        <v>5</v>
      </c>
      <c r="AM630">
        <v>2</v>
      </c>
      <c r="AN630">
        <v>21</v>
      </c>
      <c r="AO630">
        <v>2</v>
      </c>
      <c r="AP630">
        <v>33</v>
      </c>
      <c r="AQ630">
        <v>2</v>
      </c>
      <c r="AR630" t="s">
        <v>5096</v>
      </c>
      <c r="AS630" t="s">
        <v>5097</v>
      </c>
      <c r="AT630">
        <v>0.189</v>
      </c>
      <c r="AU630" t="s">
        <v>65</v>
      </c>
      <c r="AV630">
        <v>54</v>
      </c>
      <c r="AW630">
        <v>4</v>
      </c>
      <c r="AX630" t="s">
        <v>5098</v>
      </c>
      <c r="AY630" t="s">
        <v>5099</v>
      </c>
      <c r="AZ630" t="s">
        <v>5100</v>
      </c>
      <c r="BA630">
        <v>2.1149999999999999E-2</v>
      </c>
      <c r="BB630">
        <v>1</v>
      </c>
      <c r="BC630" t="s">
        <v>69</v>
      </c>
      <c r="BD630">
        <v>0.83</v>
      </c>
      <c r="BE630">
        <v>0.68700000000000006</v>
      </c>
    </row>
    <row r="631" spans="1:57">
      <c r="A631">
        <v>0</v>
      </c>
      <c r="B631">
        <v>0</v>
      </c>
      <c r="C631">
        <v>4</v>
      </c>
      <c r="D631">
        <v>40</v>
      </c>
      <c r="E631" t="s">
        <v>155</v>
      </c>
      <c r="F631" t="s">
        <v>5762</v>
      </c>
      <c r="G631" t="s">
        <v>57</v>
      </c>
      <c r="H631">
        <v>48629</v>
      </c>
      <c r="I631">
        <v>49939</v>
      </c>
      <c r="J631" t="s">
        <v>156</v>
      </c>
      <c r="K631">
        <v>437</v>
      </c>
      <c r="L631" t="s">
        <v>59</v>
      </c>
      <c r="M631">
        <v>5</v>
      </c>
      <c r="N631" t="str">
        <f>HYPERLINK("Gene40-zp_tree_all.dnd", "Gene40-tree")</f>
        <v>Gene40-tree</v>
      </c>
      <c r="O631">
        <v>1</v>
      </c>
      <c r="P631">
        <v>4</v>
      </c>
      <c r="Q631">
        <v>1</v>
      </c>
      <c r="R631">
        <v>4</v>
      </c>
      <c r="S631">
        <v>0.8</v>
      </c>
      <c r="T631" t="s">
        <v>61</v>
      </c>
      <c r="U631" t="s">
        <v>60</v>
      </c>
      <c r="V631" t="s">
        <v>62</v>
      </c>
      <c r="W631" t="s">
        <v>62</v>
      </c>
      <c r="X631">
        <v>2</v>
      </c>
      <c r="Y631">
        <v>4</v>
      </c>
      <c r="Z631">
        <v>7</v>
      </c>
      <c r="AA631">
        <v>0.36364000000000002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7</v>
      </c>
      <c r="AK631">
        <v>0</v>
      </c>
      <c r="AL631">
        <v>5</v>
      </c>
      <c r="AM631">
        <v>2</v>
      </c>
      <c r="AN631">
        <v>16</v>
      </c>
      <c r="AO631">
        <v>7</v>
      </c>
      <c r="AP631">
        <v>29</v>
      </c>
      <c r="AQ631">
        <v>4</v>
      </c>
      <c r="AR631" t="s">
        <v>157</v>
      </c>
      <c r="AS631" t="s">
        <v>158</v>
      </c>
      <c r="AT631">
        <v>1.9139999999999999</v>
      </c>
      <c r="AU631" t="s">
        <v>65</v>
      </c>
      <c r="AV631">
        <v>45</v>
      </c>
      <c r="AW631">
        <v>11</v>
      </c>
      <c r="AX631" t="s">
        <v>159</v>
      </c>
      <c r="AY631" t="s">
        <v>160</v>
      </c>
      <c r="AZ631" t="s">
        <v>161</v>
      </c>
      <c r="BA631">
        <v>5.8310000000000001E-2</v>
      </c>
      <c r="BB631">
        <v>1</v>
      </c>
      <c r="BC631" t="s">
        <v>69</v>
      </c>
      <c r="BD631">
        <v>0.88900000000000001</v>
      </c>
      <c r="BE631">
        <v>0.61699999999999999</v>
      </c>
    </row>
    <row r="632" spans="1:57">
      <c r="A632">
        <v>0</v>
      </c>
      <c r="B632">
        <v>2</v>
      </c>
      <c r="C632">
        <v>2</v>
      </c>
      <c r="D632">
        <v>3390</v>
      </c>
      <c r="E632" t="s">
        <v>4628</v>
      </c>
      <c r="F632" t="s">
        <v>5762</v>
      </c>
      <c r="G632" t="s">
        <v>62</v>
      </c>
      <c r="H632">
        <v>3358667</v>
      </c>
      <c r="I632">
        <v>3359977</v>
      </c>
      <c r="J632" t="s">
        <v>4629</v>
      </c>
      <c r="K632">
        <v>437</v>
      </c>
      <c r="L632" t="s">
        <v>59</v>
      </c>
      <c r="M632">
        <v>5</v>
      </c>
      <c r="N632" t="str">
        <f>HYPERLINK("Gene3390-zp_tree_all.dnd", "Gene3390-tree")</f>
        <v>Gene3390-tree</v>
      </c>
      <c r="O632">
        <v>2</v>
      </c>
      <c r="P632">
        <v>3</v>
      </c>
      <c r="Q632">
        <v>2</v>
      </c>
      <c r="R632">
        <v>3</v>
      </c>
      <c r="S632">
        <v>0.6</v>
      </c>
      <c r="T632" t="s">
        <v>135</v>
      </c>
      <c r="U632" t="s">
        <v>84</v>
      </c>
      <c r="V632" t="s">
        <v>62</v>
      </c>
      <c r="W632" t="s">
        <v>62</v>
      </c>
      <c r="X632">
        <v>2</v>
      </c>
      <c r="Y632">
        <v>4</v>
      </c>
      <c r="Z632">
        <v>3</v>
      </c>
      <c r="AA632">
        <v>0.57142999999999999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2</v>
      </c>
      <c r="AI632">
        <v>2</v>
      </c>
      <c r="AJ632">
        <v>2</v>
      </c>
      <c r="AK632">
        <v>0.5</v>
      </c>
      <c r="AL632">
        <v>5</v>
      </c>
      <c r="AM632">
        <v>2</v>
      </c>
      <c r="AN632">
        <v>31</v>
      </c>
      <c r="AO632">
        <v>4</v>
      </c>
      <c r="AP632">
        <v>28</v>
      </c>
      <c r="AQ632">
        <v>3</v>
      </c>
      <c r="AR632" t="s">
        <v>4630</v>
      </c>
      <c r="AS632" t="s">
        <v>4631</v>
      </c>
      <c r="AT632">
        <v>0.17199999999999999</v>
      </c>
      <c r="AU632" t="s">
        <v>65</v>
      </c>
      <c r="AV632">
        <v>59</v>
      </c>
      <c r="AW632">
        <v>7</v>
      </c>
      <c r="AX632" t="s">
        <v>4632</v>
      </c>
      <c r="AY632" t="s">
        <v>4633</v>
      </c>
      <c r="AZ632" t="s">
        <v>4634</v>
      </c>
      <c r="BA632">
        <v>2.827E-2</v>
      </c>
      <c r="BB632">
        <v>1</v>
      </c>
      <c r="BC632" t="s">
        <v>69</v>
      </c>
      <c r="BD632">
        <v>0.46800000000000003</v>
      </c>
      <c r="BE632">
        <v>0.214</v>
      </c>
    </row>
    <row r="633" spans="1:57">
      <c r="A633">
        <v>0</v>
      </c>
      <c r="B633">
        <v>0</v>
      </c>
      <c r="C633">
        <v>0</v>
      </c>
      <c r="D633">
        <v>1589</v>
      </c>
      <c r="E633" t="s">
        <v>2217</v>
      </c>
      <c r="F633" t="s">
        <v>5762</v>
      </c>
      <c r="G633" t="s">
        <v>57</v>
      </c>
      <c r="H633">
        <v>1596474</v>
      </c>
      <c r="I633">
        <v>1597793</v>
      </c>
      <c r="J633" t="s">
        <v>2218</v>
      </c>
      <c r="K633">
        <v>440</v>
      </c>
      <c r="L633" t="s">
        <v>59</v>
      </c>
      <c r="M633">
        <v>5</v>
      </c>
      <c r="N633" t="str">
        <f>HYPERLINK("Gene1589-zp_tree_all.dnd", "Gene1589-tree")</f>
        <v>Gene1589-tree</v>
      </c>
      <c r="O633">
        <v>2</v>
      </c>
      <c r="P633">
        <v>3</v>
      </c>
      <c r="Q633">
        <v>2</v>
      </c>
      <c r="R633">
        <v>3</v>
      </c>
      <c r="S633">
        <v>0.6</v>
      </c>
      <c r="T633" t="s">
        <v>135</v>
      </c>
      <c r="U633" t="s">
        <v>84</v>
      </c>
      <c r="V633" t="s">
        <v>62</v>
      </c>
      <c r="W633" t="s">
        <v>62</v>
      </c>
      <c r="X633">
        <v>0</v>
      </c>
      <c r="Y633">
        <v>0</v>
      </c>
      <c r="Z633">
        <v>7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3</v>
      </c>
      <c r="AK633">
        <v>0</v>
      </c>
      <c r="AL633">
        <v>4</v>
      </c>
      <c r="AM633">
        <v>2</v>
      </c>
      <c r="AN633">
        <v>22</v>
      </c>
      <c r="AO633">
        <v>3</v>
      </c>
      <c r="AP633">
        <v>18</v>
      </c>
      <c r="AQ633">
        <v>4</v>
      </c>
      <c r="AR633" t="s">
        <v>2219</v>
      </c>
      <c r="AS633" t="s">
        <v>2220</v>
      </c>
      <c r="AT633">
        <v>0.32500000000000001</v>
      </c>
      <c r="AU633" t="s">
        <v>65</v>
      </c>
      <c r="AV633">
        <v>40</v>
      </c>
      <c r="AW633">
        <v>7</v>
      </c>
      <c r="AX633" t="s">
        <v>2221</v>
      </c>
      <c r="AY633" t="s">
        <v>2222</v>
      </c>
      <c r="AZ633" t="s">
        <v>2223</v>
      </c>
      <c r="BA633">
        <v>5.2859999999999997E-2</v>
      </c>
      <c r="BB633">
        <v>1</v>
      </c>
      <c r="BC633" t="s">
        <v>69</v>
      </c>
      <c r="BD633">
        <v>0.314</v>
      </c>
      <c r="BE633">
        <v>0</v>
      </c>
    </row>
    <row r="634" spans="1:57">
      <c r="A634">
        <v>0</v>
      </c>
      <c r="B634">
        <v>0</v>
      </c>
      <c r="C634">
        <v>0</v>
      </c>
      <c r="D634">
        <v>1519</v>
      </c>
      <c r="E634" t="s">
        <v>2025</v>
      </c>
      <c r="F634" t="s">
        <v>5762</v>
      </c>
      <c r="G634" t="s">
        <v>57</v>
      </c>
      <c r="H634">
        <v>1530537</v>
      </c>
      <c r="I634">
        <v>1531862</v>
      </c>
      <c r="J634" t="s">
        <v>2026</v>
      </c>
      <c r="K634">
        <v>442</v>
      </c>
      <c r="L634" t="s">
        <v>59</v>
      </c>
      <c r="M634">
        <v>5</v>
      </c>
      <c r="N634" t="str">
        <f>HYPERLINK("Gene1519-zp_tree_all.dnd", "Gene1519-tree")</f>
        <v>Gene1519-tree</v>
      </c>
      <c r="O634">
        <v>5</v>
      </c>
      <c r="P634">
        <v>0</v>
      </c>
      <c r="Q634">
        <v>5</v>
      </c>
      <c r="R634">
        <v>0</v>
      </c>
      <c r="S634">
        <v>0</v>
      </c>
      <c r="T634" t="s">
        <v>98</v>
      </c>
      <c r="U634" t="s">
        <v>62</v>
      </c>
      <c r="V634" t="s">
        <v>62</v>
      </c>
      <c r="W634" t="s">
        <v>62</v>
      </c>
      <c r="X634">
        <v>0</v>
      </c>
      <c r="Y634">
        <v>0</v>
      </c>
      <c r="Z634">
        <v>3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5</v>
      </c>
      <c r="AM634">
        <v>1</v>
      </c>
      <c r="AN634">
        <v>17</v>
      </c>
      <c r="AO634">
        <v>0</v>
      </c>
      <c r="AP634">
        <v>13</v>
      </c>
      <c r="AQ634">
        <v>3</v>
      </c>
      <c r="AR634" t="s">
        <v>64</v>
      </c>
      <c r="AS634" t="s">
        <v>2027</v>
      </c>
      <c r="AT634">
        <v>0</v>
      </c>
      <c r="AU634" t="s">
        <v>65</v>
      </c>
      <c r="AV634">
        <v>30</v>
      </c>
      <c r="AW634">
        <v>3</v>
      </c>
      <c r="AX634" t="s">
        <v>2028</v>
      </c>
      <c r="AY634" t="s">
        <v>2029</v>
      </c>
      <c r="AZ634" t="s">
        <v>2030</v>
      </c>
      <c r="BA634">
        <v>3.585E-2</v>
      </c>
      <c r="BB634">
        <v>1</v>
      </c>
      <c r="BC634" t="s">
        <v>69</v>
      </c>
      <c r="BD634">
        <v>0.26500000000000001</v>
      </c>
      <c r="BE634">
        <v>0.26500000000000001</v>
      </c>
    </row>
    <row r="635" spans="1:57">
      <c r="A635">
        <v>0</v>
      </c>
      <c r="B635">
        <v>2</v>
      </c>
      <c r="C635">
        <v>0</v>
      </c>
      <c r="D635">
        <v>10</v>
      </c>
      <c r="E635" t="s">
        <v>96</v>
      </c>
      <c r="F635" t="s">
        <v>5762</v>
      </c>
      <c r="G635" t="s">
        <v>57</v>
      </c>
      <c r="H635">
        <v>17534</v>
      </c>
      <c r="I635">
        <v>18862</v>
      </c>
      <c r="J635" t="s">
        <v>97</v>
      </c>
      <c r="K635">
        <v>443</v>
      </c>
      <c r="L635" t="s">
        <v>59</v>
      </c>
      <c r="M635">
        <v>5</v>
      </c>
      <c r="N635" t="str">
        <f>HYPERLINK("Gene10-zp_tree_all.dnd", "Gene10-tree")</f>
        <v>Gene10-tree</v>
      </c>
      <c r="O635">
        <v>0</v>
      </c>
      <c r="P635">
        <v>5</v>
      </c>
      <c r="Q635">
        <v>0</v>
      </c>
      <c r="R635">
        <v>5</v>
      </c>
      <c r="S635">
        <v>1</v>
      </c>
      <c r="T635" t="s">
        <v>62</v>
      </c>
      <c r="U635" t="s">
        <v>98</v>
      </c>
      <c r="V635" t="s">
        <v>62</v>
      </c>
      <c r="W635" t="s">
        <v>62</v>
      </c>
      <c r="X635">
        <v>1</v>
      </c>
      <c r="Y635">
        <v>2</v>
      </c>
      <c r="Z635">
        <v>13</v>
      </c>
      <c r="AA635">
        <v>0.13333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2</v>
      </c>
      <c r="AH635">
        <v>0</v>
      </c>
      <c r="AI635">
        <v>2</v>
      </c>
      <c r="AJ635">
        <v>7</v>
      </c>
      <c r="AK635">
        <v>0.22222</v>
      </c>
      <c r="AL635">
        <v>5</v>
      </c>
      <c r="AM635">
        <v>2</v>
      </c>
      <c r="AN635">
        <v>26</v>
      </c>
      <c r="AO635">
        <v>9</v>
      </c>
      <c r="AP635">
        <v>35</v>
      </c>
      <c r="AQ635">
        <v>6</v>
      </c>
      <c r="AR635" t="s">
        <v>99</v>
      </c>
      <c r="AS635" t="s">
        <v>100</v>
      </c>
      <c r="AT635">
        <v>0.76600000000000001</v>
      </c>
      <c r="AU635" t="s">
        <v>65</v>
      </c>
      <c r="AV635">
        <v>61</v>
      </c>
      <c r="AW635">
        <v>15</v>
      </c>
      <c r="AX635" t="s">
        <v>101</v>
      </c>
      <c r="AY635" t="s">
        <v>102</v>
      </c>
      <c r="AZ635" t="s">
        <v>103</v>
      </c>
      <c r="BA635">
        <v>5.9339999999999997E-2</v>
      </c>
      <c r="BB635">
        <v>1</v>
      </c>
      <c r="BC635" t="s">
        <v>69</v>
      </c>
      <c r="BD635">
        <v>0.61899999999999999</v>
      </c>
      <c r="BE635">
        <v>0.51100000000000001</v>
      </c>
    </row>
    <row r="636" spans="1:57">
      <c r="A636">
        <v>0</v>
      </c>
      <c r="B636">
        <v>0</v>
      </c>
      <c r="C636">
        <v>0</v>
      </c>
      <c r="D636">
        <v>1809</v>
      </c>
      <c r="E636" t="s">
        <v>2736</v>
      </c>
      <c r="F636" t="s">
        <v>5762</v>
      </c>
      <c r="G636" t="s">
        <v>57</v>
      </c>
      <c r="H636">
        <v>1878425</v>
      </c>
      <c r="I636">
        <v>1879756</v>
      </c>
      <c r="J636" t="s">
        <v>2737</v>
      </c>
      <c r="K636">
        <v>444</v>
      </c>
      <c r="L636" t="s">
        <v>59</v>
      </c>
      <c r="M636">
        <v>5</v>
      </c>
      <c r="N636" t="str">
        <f>HYPERLINK("Gene1809-zp_tree_all.dnd", "Gene1809-tree")</f>
        <v>Gene1809-tree</v>
      </c>
      <c r="O636">
        <v>3</v>
      </c>
      <c r="P636">
        <v>2</v>
      </c>
      <c r="Q636">
        <v>3</v>
      </c>
      <c r="R636">
        <v>2</v>
      </c>
      <c r="S636">
        <v>0.4</v>
      </c>
      <c r="T636" t="s">
        <v>84</v>
      </c>
      <c r="U636" t="s">
        <v>135</v>
      </c>
      <c r="V636" t="s">
        <v>62</v>
      </c>
      <c r="W636" t="s">
        <v>62</v>
      </c>
      <c r="X636">
        <v>0</v>
      </c>
      <c r="Y636">
        <v>0</v>
      </c>
      <c r="Z636">
        <v>4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2</v>
      </c>
      <c r="AK636">
        <v>0</v>
      </c>
      <c r="AL636">
        <v>5</v>
      </c>
      <c r="AM636">
        <v>2</v>
      </c>
      <c r="AN636">
        <v>54</v>
      </c>
      <c r="AO636">
        <v>2</v>
      </c>
      <c r="AP636">
        <v>29</v>
      </c>
      <c r="AQ636">
        <v>3</v>
      </c>
      <c r="AR636" t="s">
        <v>2738</v>
      </c>
      <c r="AS636" t="s">
        <v>2739</v>
      </c>
      <c r="AT636">
        <v>0.63700000000000001</v>
      </c>
      <c r="AU636" t="s">
        <v>65</v>
      </c>
      <c r="AV636">
        <v>83</v>
      </c>
      <c r="AW636">
        <v>5</v>
      </c>
      <c r="AX636" t="s">
        <v>2740</v>
      </c>
      <c r="AY636" t="s">
        <v>2741</v>
      </c>
      <c r="AZ636" t="s">
        <v>2742</v>
      </c>
      <c r="BA636">
        <v>1.804E-2</v>
      </c>
      <c r="BB636">
        <v>1</v>
      </c>
      <c r="BC636" t="s">
        <v>69</v>
      </c>
      <c r="BD636">
        <v>0.27700000000000002</v>
      </c>
      <c r="BE636">
        <v>0.04</v>
      </c>
    </row>
    <row r="637" spans="1:57">
      <c r="A637">
        <v>0</v>
      </c>
      <c r="B637">
        <v>0</v>
      </c>
      <c r="C637">
        <v>4</v>
      </c>
      <c r="D637">
        <v>1824</v>
      </c>
      <c r="E637" t="s">
        <v>2750</v>
      </c>
      <c r="F637" t="s">
        <v>5762</v>
      </c>
      <c r="G637" t="s">
        <v>57</v>
      </c>
      <c r="H637">
        <v>1891908</v>
      </c>
      <c r="I637">
        <v>1893242</v>
      </c>
      <c r="J637" t="s">
        <v>2751</v>
      </c>
      <c r="K637">
        <v>445</v>
      </c>
      <c r="L637" t="s">
        <v>59</v>
      </c>
      <c r="M637">
        <v>5</v>
      </c>
      <c r="N637" t="str">
        <f>HYPERLINK("Gene1824-zp_tree_all.dnd", "Gene1824-tree")</f>
        <v>Gene1824-tree</v>
      </c>
      <c r="O637">
        <v>0</v>
      </c>
      <c r="P637">
        <v>5</v>
      </c>
      <c r="Q637">
        <v>0</v>
      </c>
      <c r="R637">
        <v>5</v>
      </c>
      <c r="S637">
        <v>1</v>
      </c>
      <c r="T637" t="s">
        <v>62</v>
      </c>
      <c r="U637" t="s">
        <v>98</v>
      </c>
      <c r="V637" t="s">
        <v>62</v>
      </c>
      <c r="W637" t="s">
        <v>62</v>
      </c>
      <c r="X637">
        <v>2</v>
      </c>
      <c r="Y637">
        <v>4</v>
      </c>
      <c r="Z637">
        <v>20</v>
      </c>
      <c r="AA637">
        <v>0.16667000000000001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11</v>
      </c>
      <c r="AK637">
        <v>0</v>
      </c>
      <c r="AL637">
        <v>5</v>
      </c>
      <c r="AM637">
        <v>2</v>
      </c>
      <c r="AN637">
        <v>25</v>
      </c>
      <c r="AO637">
        <v>11</v>
      </c>
      <c r="AP637">
        <v>39</v>
      </c>
      <c r="AQ637">
        <v>16</v>
      </c>
      <c r="AR637" t="s">
        <v>2752</v>
      </c>
      <c r="AS637" t="s">
        <v>2753</v>
      </c>
      <c r="AT637">
        <v>0.11</v>
      </c>
      <c r="AU637" t="s">
        <v>65</v>
      </c>
      <c r="AV637">
        <v>64</v>
      </c>
      <c r="AW637">
        <v>27</v>
      </c>
      <c r="AX637" t="s">
        <v>2754</v>
      </c>
      <c r="AY637" t="s">
        <v>2755</v>
      </c>
      <c r="AZ637" t="s">
        <v>2756</v>
      </c>
      <c r="BA637">
        <v>0.11024</v>
      </c>
      <c r="BB637">
        <v>1</v>
      </c>
      <c r="BC637" t="s">
        <v>69</v>
      </c>
      <c r="BD637">
        <v>0.92300000000000004</v>
      </c>
      <c r="BE637">
        <v>0.68400000000000005</v>
      </c>
    </row>
    <row r="638" spans="1:57">
      <c r="A638">
        <v>0</v>
      </c>
      <c r="B638">
        <v>0</v>
      </c>
      <c r="C638">
        <v>0</v>
      </c>
      <c r="D638">
        <v>1659</v>
      </c>
      <c r="E638" t="s">
        <v>2396</v>
      </c>
      <c r="F638" t="s">
        <v>5762</v>
      </c>
      <c r="G638" t="s">
        <v>57</v>
      </c>
      <c r="H638">
        <v>1672174</v>
      </c>
      <c r="I638">
        <v>1673511</v>
      </c>
      <c r="J638" t="s">
        <v>2397</v>
      </c>
      <c r="K638">
        <v>446</v>
      </c>
      <c r="L638" t="s">
        <v>59</v>
      </c>
      <c r="M638">
        <v>5</v>
      </c>
      <c r="N638" t="str">
        <f>HYPERLINK("Gene1659-zp_tree_all.dnd", "Gene1659-tree")</f>
        <v>Gene1659-tree</v>
      </c>
      <c r="O638">
        <v>4</v>
      </c>
      <c r="P638">
        <v>1</v>
      </c>
      <c r="Q638">
        <v>4</v>
      </c>
      <c r="R638">
        <v>1</v>
      </c>
      <c r="S638">
        <v>0.2</v>
      </c>
      <c r="T638" t="s">
        <v>60</v>
      </c>
      <c r="U638" t="s">
        <v>61</v>
      </c>
      <c r="V638" t="s">
        <v>62</v>
      </c>
      <c r="W638" t="s">
        <v>62</v>
      </c>
      <c r="X638">
        <v>0</v>
      </c>
      <c r="Y638">
        <v>0</v>
      </c>
      <c r="Z638">
        <v>3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1</v>
      </c>
      <c r="AK638">
        <v>0</v>
      </c>
      <c r="AL638">
        <v>5</v>
      </c>
      <c r="AM638">
        <v>2</v>
      </c>
      <c r="AN638">
        <v>42</v>
      </c>
      <c r="AO638">
        <v>1</v>
      </c>
      <c r="AP638">
        <v>26</v>
      </c>
      <c r="AQ638">
        <v>2</v>
      </c>
      <c r="AR638" t="s">
        <v>2398</v>
      </c>
      <c r="AS638" t="s">
        <v>2399</v>
      </c>
      <c r="AT638">
        <v>0.58499999999999996</v>
      </c>
      <c r="AU638" t="s">
        <v>65</v>
      </c>
      <c r="AV638">
        <v>68</v>
      </c>
      <c r="AW638">
        <v>3</v>
      </c>
      <c r="AX638" t="s">
        <v>2400</v>
      </c>
      <c r="AY638" t="s">
        <v>2401</v>
      </c>
      <c r="AZ638" t="s">
        <v>2402</v>
      </c>
      <c r="BA638">
        <v>1.4160000000000001E-2</v>
      </c>
      <c r="BB638">
        <v>1</v>
      </c>
      <c r="BC638" t="s">
        <v>69</v>
      </c>
      <c r="BD638">
        <v>0.22</v>
      </c>
      <c r="BE638">
        <v>-0.115</v>
      </c>
    </row>
    <row r="639" spans="1:57">
      <c r="A639">
        <v>0</v>
      </c>
      <c r="B639">
        <v>0</v>
      </c>
      <c r="C639">
        <v>0</v>
      </c>
      <c r="D639">
        <v>1</v>
      </c>
      <c r="E639" t="s">
        <v>56</v>
      </c>
      <c r="F639" t="s">
        <v>5762</v>
      </c>
      <c r="G639" t="s">
        <v>57</v>
      </c>
      <c r="H639">
        <v>410</v>
      </c>
      <c r="I639">
        <v>1747</v>
      </c>
      <c r="J639" t="s">
        <v>58</v>
      </c>
      <c r="K639">
        <v>446</v>
      </c>
      <c r="L639" t="s">
        <v>59</v>
      </c>
      <c r="M639">
        <v>5</v>
      </c>
      <c r="N639" t="str">
        <f>HYPERLINK("Gene1-zp_tree_all.dnd", "Gene1-tree")</f>
        <v>Gene1-tree</v>
      </c>
      <c r="O639">
        <v>4</v>
      </c>
      <c r="P639">
        <v>1</v>
      </c>
      <c r="Q639">
        <v>4</v>
      </c>
      <c r="R639">
        <v>1</v>
      </c>
      <c r="S639">
        <v>0.2</v>
      </c>
      <c r="T639" t="s">
        <v>60</v>
      </c>
      <c r="U639" t="s">
        <v>61</v>
      </c>
      <c r="V639" t="s">
        <v>62</v>
      </c>
      <c r="W639" t="s">
        <v>62</v>
      </c>
      <c r="X639">
        <v>0</v>
      </c>
      <c r="Y639">
        <v>0</v>
      </c>
      <c r="Z639">
        <v>1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1</v>
      </c>
      <c r="AK639">
        <v>0</v>
      </c>
      <c r="AL639">
        <v>5</v>
      </c>
      <c r="AM639">
        <v>2</v>
      </c>
      <c r="AN639">
        <v>33</v>
      </c>
      <c r="AO639">
        <v>1</v>
      </c>
      <c r="AP639">
        <v>30</v>
      </c>
      <c r="AQ639">
        <v>0</v>
      </c>
      <c r="AR639" t="s">
        <v>63</v>
      </c>
      <c r="AS639" t="s">
        <v>64</v>
      </c>
      <c r="AT639">
        <v>0.46300000000000002</v>
      </c>
      <c r="AU639" t="s">
        <v>65</v>
      </c>
      <c r="AV639">
        <v>63</v>
      </c>
      <c r="AW639">
        <v>1</v>
      </c>
      <c r="AX639" t="s">
        <v>66</v>
      </c>
      <c r="AY639" t="s">
        <v>67</v>
      </c>
      <c r="AZ639" t="s">
        <v>68</v>
      </c>
      <c r="BA639">
        <v>6.0099999999999997E-3</v>
      </c>
      <c r="BB639">
        <v>1</v>
      </c>
      <c r="BC639" t="s">
        <v>69</v>
      </c>
      <c r="BD639">
        <v>0.39400000000000002</v>
      </c>
      <c r="BE639">
        <v>0.26300000000000001</v>
      </c>
    </row>
    <row r="640" spans="1:57">
      <c r="A640">
        <v>0</v>
      </c>
      <c r="B640">
        <v>0</v>
      </c>
      <c r="C640">
        <v>0</v>
      </c>
      <c r="D640">
        <v>178</v>
      </c>
      <c r="E640" t="s">
        <v>630</v>
      </c>
      <c r="F640" t="s">
        <v>5762</v>
      </c>
      <c r="G640" t="s">
        <v>57</v>
      </c>
      <c r="H640">
        <v>198497</v>
      </c>
      <c r="I640">
        <v>199840</v>
      </c>
      <c r="J640" t="s">
        <v>631</v>
      </c>
      <c r="K640">
        <v>448</v>
      </c>
      <c r="L640" t="s">
        <v>83</v>
      </c>
      <c r="M640">
        <v>4</v>
      </c>
      <c r="N640" t="str">
        <f>HYPERLINK("Gene178-zp_tree_all.dnd", "Gene178-tree")</f>
        <v>Gene178-tree</v>
      </c>
      <c r="O640">
        <v>3</v>
      </c>
      <c r="P640">
        <v>1</v>
      </c>
      <c r="Q640">
        <v>3</v>
      </c>
      <c r="R640">
        <v>1</v>
      </c>
      <c r="S640">
        <v>0.25</v>
      </c>
      <c r="T640" t="s">
        <v>84</v>
      </c>
      <c r="U640" t="s">
        <v>61</v>
      </c>
      <c r="V640" t="s">
        <v>62</v>
      </c>
      <c r="W640" t="s">
        <v>62</v>
      </c>
      <c r="X640">
        <v>0</v>
      </c>
      <c r="Y640">
        <v>0</v>
      </c>
      <c r="Z640">
        <v>1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1</v>
      </c>
      <c r="AK640">
        <v>0</v>
      </c>
      <c r="AL640">
        <v>4</v>
      </c>
      <c r="AM640">
        <v>1</v>
      </c>
      <c r="AN640">
        <v>73</v>
      </c>
      <c r="AO640">
        <v>1</v>
      </c>
      <c r="AP640">
        <v>0</v>
      </c>
      <c r="AQ640">
        <v>1</v>
      </c>
      <c r="AR640" t="s">
        <v>632</v>
      </c>
      <c r="AS640" t="s">
        <v>64</v>
      </c>
      <c r="AT640">
        <v>0.39800000000000002</v>
      </c>
      <c r="AU640" t="s">
        <v>65</v>
      </c>
      <c r="AV640">
        <v>73</v>
      </c>
      <c r="AW640">
        <v>2</v>
      </c>
      <c r="AX640" t="s">
        <v>633</v>
      </c>
      <c r="AY640" t="s">
        <v>634</v>
      </c>
      <c r="AZ640" t="s">
        <v>635</v>
      </c>
      <c r="BA640">
        <v>8.6800000000000002E-3</v>
      </c>
      <c r="BB640">
        <v>1</v>
      </c>
      <c r="BC640" t="s">
        <v>69</v>
      </c>
      <c r="BD640">
        <v>-0.78400000000000003</v>
      </c>
      <c r="BE640">
        <v>-0.78400000000000003</v>
      </c>
    </row>
    <row r="641" spans="1:57">
      <c r="A641">
        <v>0</v>
      </c>
      <c r="B641">
        <v>0</v>
      </c>
      <c r="C641">
        <v>0</v>
      </c>
      <c r="D641">
        <v>2536</v>
      </c>
      <c r="E641" t="s">
        <v>3335</v>
      </c>
      <c r="F641" t="s">
        <v>5762</v>
      </c>
      <c r="G641" t="s">
        <v>62</v>
      </c>
      <c r="H641">
        <v>2530357</v>
      </c>
      <c r="I641">
        <v>2531706</v>
      </c>
      <c r="J641" t="s">
        <v>3336</v>
      </c>
      <c r="K641">
        <v>450</v>
      </c>
      <c r="L641" t="s">
        <v>59</v>
      </c>
      <c r="M641">
        <v>5</v>
      </c>
      <c r="N641" t="str">
        <f>HYPERLINK("Gene2536-zp_tree_all.dnd", "Gene2536-tree")</f>
        <v>Gene2536-tree</v>
      </c>
      <c r="O641">
        <v>2</v>
      </c>
      <c r="P641">
        <v>3</v>
      </c>
      <c r="Q641">
        <v>2</v>
      </c>
      <c r="R641">
        <v>3</v>
      </c>
      <c r="S641">
        <v>0.6</v>
      </c>
      <c r="T641" t="s">
        <v>135</v>
      </c>
      <c r="U641" t="s">
        <v>84</v>
      </c>
      <c r="V641" t="s">
        <v>62</v>
      </c>
      <c r="W641" t="s">
        <v>62</v>
      </c>
      <c r="X641">
        <v>0</v>
      </c>
      <c r="Y641">
        <v>0</v>
      </c>
      <c r="Z641">
        <v>5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3</v>
      </c>
      <c r="AK641">
        <v>0</v>
      </c>
      <c r="AL641">
        <v>5</v>
      </c>
      <c r="AM641">
        <v>2</v>
      </c>
      <c r="AN641">
        <v>34</v>
      </c>
      <c r="AO641">
        <v>3</v>
      </c>
      <c r="AP641">
        <v>43</v>
      </c>
      <c r="AQ641">
        <v>2</v>
      </c>
      <c r="AR641" t="s">
        <v>3337</v>
      </c>
      <c r="AS641" t="s">
        <v>3338</v>
      </c>
      <c r="AT641">
        <v>0.77800000000000002</v>
      </c>
      <c r="AU641" t="s">
        <v>65</v>
      </c>
      <c r="AV641">
        <v>77</v>
      </c>
      <c r="AW641">
        <v>5</v>
      </c>
      <c r="AX641" t="s">
        <v>3339</v>
      </c>
      <c r="AY641" t="s">
        <v>3340</v>
      </c>
      <c r="AZ641" t="s">
        <v>3341</v>
      </c>
      <c r="BA641">
        <v>1.7090000000000001E-2</v>
      </c>
      <c r="BB641">
        <v>1</v>
      </c>
      <c r="BC641" t="s">
        <v>69</v>
      </c>
      <c r="BD641">
        <v>0.62</v>
      </c>
      <c r="BE641">
        <v>0.35699999999999998</v>
      </c>
    </row>
    <row r="642" spans="1:57">
      <c r="A642">
        <v>0</v>
      </c>
      <c r="B642">
        <v>0</v>
      </c>
      <c r="C642">
        <v>0</v>
      </c>
      <c r="D642">
        <v>3254</v>
      </c>
      <c r="E642" t="s">
        <v>4389</v>
      </c>
      <c r="F642" t="s">
        <v>5762</v>
      </c>
      <c r="G642" t="s">
        <v>62</v>
      </c>
      <c r="H642">
        <v>3220734</v>
      </c>
      <c r="I642">
        <v>3222083</v>
      </c>
      <c r="J642" t="s">
        <v>4390</v>
      </c>
      <c r="K642">
        <v>450</v>
      </c>
      <c r="L642" t="s">
        <v>83</v>
      </c>
      <c r="M642">
        <v>4</v>
      </c>
      <c r="N642" t="str">
        <f>HYPERLINK("Gene3254-zp_tree_all.dnd", "Gene3254-tree")</f>
        <v>Gene3254-tree</v>
      </c>
      <c r="O642">
        <v>3</v>
      </c>
      <c r="P642">
        <v>1</v>
      </c>
      <c r="Q642">
        <v>3</v>
      </c>
      <c r="R642">
        <v>1</v>
      </c>
      <c r="S642">
        <v>0.25</v>
      </c>
      <c r="T642" t="s">
        <v>84</v>
      </c>
      <c r="U642" t="s">
        <v>61</v>
      </c>
      <c r="V642" t="s">
        <v>62</v>
      </c>
      <c r="W642" t="s">
        <v>62</v>
      </c>
      <c r="X642">
        <v>0</v>
      </c>
      <c r="Y642">
        <v>0</v>
      </c>
      <c r="Z642">
        <v>2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2</v>
      </c>
      <c r="AK642">
        <v>0</v>
      </c>
      <c r="AL642">
        <v>4</v>
      </c>
      <c r="AM642">
        <v>1</v>
      </c>
      <c r="AN642">
        <v>68</v>
      </c>
      <c r="AO642">
        <v>2</v>
      </c>
      <c r="AP642">
        <v>7</v>
      </c>
      <c r="AQ642">
        <v>0</v>
      </c>
      <c r="AR642" t="s">
        <v>4391</v>
      </c>
      <c r="AS642" t="s">
        <v>64</v>
      </c>
      <c r="AT642">
        <v>0.42599999999999999</v>
      </c>
      <c r="AU642" t="s">
        <v>65</v>
      </c>
      <c r="AV642">
        <v>75</v>
      </c>
      <c r="AW642">
        <v>2</v>
      </c>
      <c r="AX642" t="s">
        <v>4392</v>
      </c>
      <c r="AY642" t="s">
        <v>4393</v>
      </c>
      <c r="AZ642" t="s">
        <v>4394</v>
      </c>
      <c r="BA642">
        <v>6.9300000000000004E-3</v>
      </c>
      <c r="BB642">
        <v>1</v>
      </c>
      <c r="BC642" t="s">
        <v>69</v>
      </c>
      <c r="BD642">
        <v>-0.30199999999999999</v>
      </c>
      <c r="BE642">
        <v>-0.69499999999999995</v>
      </c>
    </row>
    <row r="643" spans="1:57">
      <c r="A643">
        <v>0</v>
      </c>
      <c r="B643">
        <v>0</v>
      </c>
      <c r="C643">
        <v>0</v>
      </c>
      <c r="D643">
        <v>4190</v>
      </c>
      <c r="E643" t="s">
        <v>5660</v>
      </c>
      <c r="F643" t="s">
        <v>5762</v>
      </c>
      <c r="G643" t="s">
        <v>62</v>
      </c>
      <c r="H643">
        <v>4157474</v>
      </c>
      <c r="I643">
        <v>4158835</v>
      </c>
      <c r="J643" t="s">
        <v>5661</v>
      </c>
      <c r="K643">
        <v>454</v>
      </c>
      <c r="L643" t="s">
        <v>59</v>
      </c>
      <c r="M643">
        <v>5</v>
      </c>
      <c r="N643" t="str">
        <f>HYPERLINK("Gene4190-zp_tree_all.dnd", "Gene4190-tree")</f>
        <v>Gene4190-tree</v>
      </c>
      <c r="O643">
        <v>3</v>
      </c>
      <c r="P643">
        <v>2</v>
      </c>
      <c r="Q643">
        <v>3</v>
      </c>
      <c r="R643">
        <v>2</v>
      </c>
      <c r="S643">
        <v>0.4</v>
      </c>
      <c r="T643" t="s">
        <v>84</v>
      </c>
      <c r="U643" t="s">
        <v>135</v>
      </c>
      <c r="V643" t="s">
        <v>62</v>
      </c>
      <c r="W643" t="s">
        <v>62</v>
      </c>
      <c r="X643">
        <v>0</v>
      </c>
      <c r="Y643">
        <v>0</v>
      </c>
      <c r="Z643">
        <v>3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2</v>
      </c>
      <c r="AK643">
        <v>0</v>
      </c>
      <c r="AL643">
        <v>4</v>
      </c>
      <c r="AM643">
        <v>2</v>
      </c>
      <c r="AN643">
        <v>30</v>
      </c>
      <c r="AO643">
        <v>2</v>
      </c>
      <c r="AP643">
        <v>53</v>
      </c>
      <c r="AQ643">
        <v>1</v>
      </c>
      <c r="AR643" t="s">
        <v>5662</v>
      </c>
      <c r="AS643" t="s">
        <v>5663</v>
      </c>
      <c r="AT643">
        <v>1.137</v>
      </c>
      <c r="AU643" t="s">
        <v>65</v>
      </c>
      <c r="AV643">
        <v>83</v>
      </c>
      <c r="AW643">
        <v>3</v>
      </c>
      <c r="AX643" t="s">
        <v>5664</v>
      </c>
      <c r="AY643" t="s">
        <v>5665</v>
      </c>
      <c r="AZ643" t="s">
        <v>5666</v>
      </c>
      <c r="BA643">
        <v>9.0900000000000009E-3</v>
      </c>
      <c r="BB643">
        <v>1</v>
      </c>
      <c r="BC643" t="s">
        <v>69</v>
      </c>
      <c r="BD643">
        <v>1.198</v>
      </c>
      <c r="BE643">
        <v>0.624</v>
      </c>
    </row>
    <row r="644" spans="1:57">
      <c r="A644">
        <v>0</v>
      </c>
      <c r="B644">
        <v>0</v>
      </c>
      <c r="C644">
        <v>2</v>
      </c>
      <c r="D644">
        <v>2934</v>
      </c>
      <c r="E644" t="s">
        <v>3863</v>
      </c>
      <c r="F644" t="s">
        <v>5762</v>
      </c>
      <c r="G644" t="s">
        <v>62</v>
      </c>
      <c r="H644">
        <v>2877769</v>
      </c>
      <c r="I644">
        <v>2879133</v>
      </c>
      <c r="J644" t="s">
        <v>3864</v>
      </c>
      <c r="K644">
        <v>455</v>
      </c>
      <c r="L644" t="s">
        <v>59</v>
      </c>
      <c r="M644">
        <v>5</v>
      </c>
      <c r="N644" t="str">
        <f>HYPERLINK("Gene2934-zp_tree_all.dnd", "Gene2934-tree")</f>
        <v>Gene2934-tree</v>
      </c>
      <c r="O644">
        <v>2</v>
      </c>
      <c r="P644">
        <v>3</v>
      </c>
      <c r="Q644">
        <v>2</v>
      </c>
      <c r="R644">
        <v>3</v>
      </c>
      <c r="S644">
        <v>0.6</v>
      </c>
      <c r="T644" t="s">
        <v>135</v>
      </c>
      <c r="U644" t="s">
        <v>84</v>
      </c>
      <c r="V644" t="s">
        <v>62</v>
      </c>
      <c r="W644" t="s">
        <v>62</v>
      </c>
      <c r="X644">
        <v>1</v>
      </c>
      <c r="Y644">
        <v>2</v>
      </c>
      <c r="Z644">
        <v>5</v>
      </c>
      <c r="AA644">
        <v>0.28571000000000002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4</v>
      </c>
      <c r="AK644">
        <v>0</v>
      </c>
      <c r="AL644">
        <v>5</v>
      </c>
      <c r="AM644">
        <v>2</v>
      </c>
      <c r="AN644">
        <v>35</v>
      </c>
      <c r="AO644">
        <v>4</v>
      </c>
      <c r="AP644">
        <v>48</v>
      </c>
      <c r="AQ644">
        <v>4</v>
      </c>
      <c r="AR644" t="s">
        <v>3865</v>
      </c>
      <c r="AS644" t="s">
        <v>3866</v>
      </c>
      <c r="AT644">
        <v>0.33900000000000002</v>
      </c>
      <c r="AU644" t="s">
        <v>65</v>
      </c>
      <c r="AV644">
        <v>83</v>
      </c>
      <c r="AW644">
        <v>8</v>
      </c>
      <c r="AX644" t="s">
        <v>3867</v>
      </c>
      <c r="AY644" t="s">
        <v>3868</v>
      </c>
      <c r="AZ644" t="s">
        <v>3869</v>
      </c>
      <c r="BA644">
        <v>2.4490000000000001E-2</v>
      </c>
      <c r="BB644">
        <v>1</v>
      </c>
      <c r="BC644" t="s">
        <v>69</v>
      </c>
      <c r="BD644">
        <v>0.92600000000000005</v>
      </c>
      <c r="BE644">
        <v>0.41099999999999998</v>
      </c>
    </row>
    <row r="645" spans="1:57">
      <c r="A645">
        <v>0</v>
      </c>
      <c r="B645">
        <v>0</v>
      </c>
      <c r="C645">
        <v>0</v>
      </c>
      <c r="D645">
        <v>50</v>
      </c>
      <c r="E645" t="s">
        <v>197</v>
      </c>
      <c r="F645" t="s">
        <v>5762</v>
      </c>
      <c r="G645" t="s">
        <v>57</v>
      </c>
      <c r="H645">
        <v>56352</v>
      </c>
      <c r="I645">
        <v>57719</v>
      </c>
      <c r="J645" t="s">
        <v>198</v>
      </c>
      <c r="K645">
        <v>456</v>
      </c>
      <c r="L645" t="s">
        <v>59</v>
      </c>
      <c r="M645">
        <v>5</v>
      </c>
      <c r="N645" t="str">
        <f>HYPERLINK("Gene50-zp_tree_all.dnd", "Gene50-tree")</f>
        <v>Gene50-tree</v>
      </c>
      <c r="O645">
        <v>1</v>
      </c>
      <c r="P645">
        <v>4</v>
      </c>
      <c r="Q645">
        <v>1</v>
      </c>
      <c r="R645">
        <v>4</v>
      </c>
      <c r="S645">
        <v>0.8</v>
      </c>
      <c r="T645" t="s">
        <v>61</v>
      </c>
      <c r="U645" t="s">
        <v>60</v>
      </c>
      <c r="V645" t="s">
        <v>62</v>
      </c>
      <c r="W645" t="s">
        <v>62</v>
      </c>
      <c r="X645">
        <v>0</v>
      </c>
      <c r="Y645">
        <v>0</v>
      </c>
      <c r="Z645">
        <v>8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4</v>
      </c>
      <c r="AK645">
        <v>0</v>
      </c>
      <c r="AL645">
        <v>5</v>
      </c>
      <c r="AM645">
        <v>2</v>
      </c>
      <c r="AN645">
        <v>24</v>
      </c>
      <c r="AO645">
        <v>4</v>
      </c>
      <c r="AP645">
        <v>37</v>
      </c>
      <c r="AQ645">
        <v>4</v>
      </c>
      <c r="AR645" t="s">
        <v>199</v>
      </c>
      <c r="AS645" t="s">
        <v>200</v>
      </c>
      <c r="AT645">
        <v>0.77400000000000002</v>
      </c>
      <c r="AU645" t="s">
        <v>65</v>
      </c>
      <c r="AV645">
        <v>61</v>
      </c>
      <c r="AW645">
        <v>8</v>
      </c>
      <c r="AX645" t="s">
        <v>201</v>
      </c>
      <c r="AY645" t="s">
        <v>202</v>
      </c>
      <c r="AZ645" t="s">
        <v>203</v>
      </c>
      <c r="BA645">
        <v>3.542E-2</v>
      </c>
      <c r="BB645">
        <v>1</v>
      </c>
      <c r="BC645" t="s">
        <v>69</v>
      </c>
      <c r="BD645">
        <v>0.79400000000000004</v>
      </c>
      <c r="BE645">
        <v>0.60199999999999998</v>
      </c>
    </row>
    <row r="646" spans="1:57">
      <c r="A646">
        <v>0</v>
      </c>
      <c r="B646">
        <v>0</v>
      </c>
      <c r="C646">
        <v>0</v>
      </c>
      <c r="D646">
        <v>1275</v>
      </c>
      <c r="E646" t="s">
        <v>1744</v>
      </c>
      <c r="F646" t="s">
        <v>5762</v>
      </c>
      <c r="G646" t="s">
        <v>57</v>
      </c>
      <c r="H646">
        <v>1301939</v>
      </c>
      <c r="I646">
        <v>1303315</v>
      </c>
      <c r="J646" t="s">
        <v>1745</v>
      </c>
      <c r="K646">
        <v>459</v>
      </c>
      <c r="L646" t="s">
        <v>59</v>
      </c>
      <c r="M646">
        <v>5</v>
      </c>
      <c r="N646" t="str">
        <f>HYPERLINK("Gene1275-zp_tree_all.dnd", "Gene1275-tree")</f>
        <v>Gene1275-tree</v>
      </c>
      <c r="O646">
        <v>0</v>
      </c>
      <c r="P646">
        <v>5</v>
      </c>
      <c r="Q646">
        <v>0</v>
      </c>
      <c r="R646">
        <v>5</v>
      </c>
      <c r="S646">
        <v>1</v>
      </c>
      <c r="T646" t="s">
        <v>62</v>
      </c>
      <c r="U646" t="s">
        <v>98</v>
      </c>
      <c r="V646" t="s">
        <v>62</v>
      </c>
      <c r="W646" t="s">
        <v>62</v>
      </c>
      <c r="X646">
        <v>0</v>
      </c>
      <c r="Y646">
        <v>0</v>
      </c>
      <c r="Z646">
        <v>11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8</v>
      </c>
      <c r="AK646">
        <v>0</v>
      </c>
      <c r="AL646">
        <v>5</v>
      </c>
      <c r="AM646">
        <v>2</v>
      </c>
      <c r="AN646">
        <v>37</v>
      </c>
      <c r="AO646">
        <v>8</v>
      </c>
      <c r="AP646">
        <v>51</v>
      </c>
      <c r="AQ646">
        <v>3</v>
      </c>
      <c r="AR646" t="s">
        <v>1746</v>
      </c>
      <c r="AS646" t="s">
        <v>1747</v>
      </c>
      <c r="AT646">
        <v>3.04</v>
      </c>
      <c r="AU646" t="s">
        <v>286</v>
      </c>
      <c r="AV646">
        <v>88</v>
      </c>
      <c r="AW646">
        <v>11</v>
      </c>
      <c r="AX646" t="s">
        <v>1748</v>
      </c>
      <c r="AY646" t="s">
        <v>1749</v>
      </c>
      <c r="AZ646" t="s">
        <v>1750</v>
      </c>
      <c r="BA646">
        <v>3.3020000000000001E-2</v>
      </c>
      <c r="BB646">
        <v>1</v>
      </c>
      <c r="BC646" t="s">
        <v>69</v>
      </c>
      <c r="BD646">
        <v>0.63600000000000001</v>
      </c>
      <c r="BE646">
        <v>0.41799999999999998</v>
      </c>
    </row>
    <row r="647" spans="1:57">
      <c r="A647">
        <v>0</v>
      </c>
      <c r="B647">
        <v>0</v>
      </c>
      <c r="C647">
        <v>0</v>
      </c>
      <c r="D647">
        <v>4254</v>
      </c>
      <c r="E647" t="s">
        <v>5732</v>
      </c>
      <c r="F647" t="s">
        <v>5762</v>
      </c>
      <c r="G647" t="s">
        <v>62</v>
      </c>
      <c r="H647">
        <v>4211513</v>
      </c>
      <c r="I647">
        <v>4212889</v>
      </c>
      <c r="J647" t="s">
        <v>5733</v>
      </c>
      <c r="K647">
        <v>459</v>
      </c>
      <c r="L647" t="s">
        <v>59</v>
      </c>
      <c r="M647">
        <v>5</v>
      </c>
      <c r="N647" t="str">
        <f>HYPERLINK("Gene4254-zp_tree_all.dnd", "Gene4254-tree")</f>
        <v>Gene4254-tree</v>
      </c>
      <c r="O647">
        <v>3</v>
      </c>
      <c r="P647">
        <v>2</v>
      </c>
      <c r="Q647">
        <v>3</v>
      </c>
      <c r="R647">
        <v>2</v>
      </c>
      <c r="S647">
        <v>0.4</v>
      </c>
      <c r="T647" t="s">
        <v>84</v>
      </c>
      <c r="U647" t="s">
        <v>135</v>
      </c>
      <c r="V647" t="s">
        <v>62</v>
      </c>
      <c r="W647" t="s">
        <v>62</v>
      </c>
      <c r="X647">
        <v>0</v>
      </c>
      <c r="Y647">
        <v>0</v>
      </c>
      <c r="Z647">
        <v>7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4</v>
      </c>
      <c r="AK647">
        <v>0</v>
      </c>
      <c r="AL647">
        <v>5</v>
      </c>
      <c r="AM647">
        <v>2</v>
      </c>
      <c r="AN647">
        <v>40</v>
      </c>
      <c r="AO647">
        <v>4</v>
      </c>
      <c r="AP647">
        <v>44</v>
      </c>
      <c r="AQ647">
        <v>3</v>
      </c>
      <c r="AR647" t="s">
        <v>5734</v>
      </c>
      <c r="AS647" t="s">
        <v>5735</v>
      </c>
      <c r="AT647">
        <v>0.27900000000000003</v>
      </c>
      <c r="AU647" t="s">
        <v>65</v>
      </c>
      <c r="AV647">
        <v>84</v>
      </c>
      <c r="AW647">
        <v>7</v>
      </c>
      <c r="AX647" t="s">
        <v>5736</v>
      </c>
      <c r="AY647" t="s">
        <v>5737</v>
      </c>
      <c r="AZ647" t="s">
        <v>5738</v>
      </c>
      <c r="BA647">
        <v>2.4109999999999999E-2</v>
      </c>
      <c r="BB647">
        <v>1</v>
      </c>
      <c r="BC647" t="s">
        <v>69</v>
      </c>
      <c r="BD647">
        <v>0.93600000000000005</v>
      </c>
      <c r="BE647">
        <v>0.29599999999999999</v>
      </c>
    </row>
    <row r="648" spans="1:57">
      <c r="A648">
        <v>0</v>
      </c>
      <c r="B648">
        <v>0</v>
      </c>
      <c r="C648">
        <v>0</v>
      </c>
      <c r="D648">
        <v>3428</v>
      </c>
      <c r="E648" t="s">
        <v>4722</v>
      </c>
      <c r="F648" t="s">
        <v>5762</v>
      </c>
      <c r="G648" t="s">
        <v>62</v>
      </c>
      <c r="H648">
        <v>3389027</v>
      </c>
      <c r="I648">
        <v>3390412</v>
      </c>
      <c r="J648" t="s">
        <v>4723</v>
      </c>
      <c r="K648">
        <v>462</v>
      </c>
      <c r="L648" t="s">
        <v>59</v>
      </c>
      <c r="M648">
        <v>5</v>
      </c>
      <c r="N648" t="str">
        <f>HYPERLINK("Gene3428-zp_tree_all.dnd", "Gene3428-tree")</f>
        <v>Gene3428-tree</v>
      </c>
      <c r="O648">
        <v>4</v>
      </c>
      <c r="P648">
        <v>1</v>
      </c>
      <c r="Q648">
        <v>4</v>
      </c>
      <c r="R648">
        <v>1</v>
      </c>
      <c r="S648">
        <v>0.2</v>
      </c>
      <c r="T648" t="s">
        <v>60</v>
      </c>
      <c r="U648" t="s">
        <v>61</v>
      </c>
      <c r="V648" t="s">
        <v>62</v>
      </c>
      <c r="W648" t="s">
        <v>62</v>
      </c>
      <c r="X648">
        <v>0</v>
      </c>
      <c r="Y648">
        <v>0</v>
      </c>
      <c r="Z648">
        <v>3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1</v>
      </c>
      <c r="AK648">
        <v>0</v>
      </c>
      <c r="AL648">
        <v>4</v>
      </c>
      <c r="AM648">
        <v>2</v>
      </c>
      <c r="AN648">
        <v>36</v>
      </c>
      <c r="AO648">
        <v>1</v>
      </c>
      <c r="AP648">
        <v>37</v>
      </c>
      <c r="AQ648">
        <v>2</v>
      </c>
      <c r="AR648" t="s">
        <v>4724</v>
      </c>
      <c r="AS648" t="s">
        <v>4725</v>
      </c>
      <c r="AT648">
        <v>0.29599999999999999</v>
      </c>
      <c r="AU648" t="s">
        <v>65</v>
      </c>
      <c r="AV648">
        <v>73</v>
      </c>
      <c r="AW648">
        <v>3</v>
      </c>
      <c r="AX648" t="s">
        <v>4726</v>
      </c>
      <c r="AY648" t="s">
        <v>4727</v>
      </c>
      <c r="AZ648" t="s">
        <v>4728</v>
      </c>
      <c r="BA648">
        <v>1.159E-2</v>
      </c>
      <c r="BB648">
        <v>1</v>
      </c>
      <c r="BC648" t="s">
        <v>69</v>
      </c>
      <c r="BD648">
        <v>0.53500000000000003</v>
      </c>
      <c r="BE648">
        <v>0.316</v>
      </c>
    </row>
    <row r="649" spans="1:57">
      <c r="A649">
        <v>0</v>
      </c>
      <c r="B649">
        <v>2</v>
      </c>
      <c r="C649">
        <v>0</v>
      </c>
      <c r="D649">
        <v>1821</v>
      </c>
      <c r="E649" t="s">
        <v>2743</v>
      </c>
      <c r="F649" t="s">
        <v>5762</v>
      </c>
      <c r="G649" t="s">
        <v>57</v>
      </c>
      <c r="H649">
        <v>1887352</v>
      </c>
      <c r="I649">
        <v>1888740</v>
      </c>
      <c r="J649" t="s">
        <v>2744</v>
      </c>
      <c r="K649">
        <v>463</v>
      </c>
      <c r="L649" t="s">
        <v>83</v>
      </c>
      <c r="M649">
        <v>4</v>
      </c>
      <c r="N649" t="str">
        <f>HYPERLINK("Gene1821-zp_tree_all.dnd", "Gene1821-tree")</f>
        <v>Gene1821-tree</v>
      </c>
      <c r="O649">
        <v>1</v>
      </c>
      <c r="P649">
        <v>3</v>
      </c>
      <c r="Q649">
        <v>1</v>
      </c>
      <c r="R649">
        <v>3</v>
      </c>
      <c r="S649">
        <v>0.75</v>
      </c>
      <c r="T649" t="s">
        <v>61</v>
      </c>
      <c r="U649" t="s">
        <v>84</v>
      </c>
      <c r="V649" t="s">
        <v>62</v>
      </c>
      <c r="W649" t="s">
        <v>62</v>
      </c>
      <c r="X649">
        <v>1</v>
      </c>
      <c r="Y649">
        <v>2</v>
      </c>
      <c r="Z649">
        <v>15</v>
      </c>
      <c r="AA649">
        <v>0.11765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2</v>
      </c>
      <c r="AH649">
        <v>0</v>
      </c>
      <c r="AI649">
        <v>2</v>
      </c>
      <c r="AJ649">
        <v>14</v>
      </c>
      <c r="AK649">
        <v>0.125</v>
      </c>
      <c r="AL649">
        <v>4</v>
      </c>
      <c r="AM649">
        <v>1</v>
      </c>
      <c r="AN649">
        <v>59</v>
      </c>
      <c r="AO649">
        <v>16</v>
      </c>
      <c r="AP649">
        <v>10</v>
      </c>
      <c r="AQ649">
        <v>1</v>
      </c>
      <c r="AR649" t="s">
        <v>2745</v>
      </c>
      <c r="AS649" t="s">
        <v>2746</v>
      </c>
      <c r="AT649">
        <v>0.56100000000000005</v>
      </c>
      <c r="AU649" t="s">
        <v>65</v>
      </c>
      <c r="AV649">
        <v>69</v>
      </c>
      <c r="AW649">
        <v>17</v>
      </c>
      <c r="AX649" t="s">
        <v>2747</v>
      </c>
      <c r="AY649" t="s">
        <v>2748</v>
      </c>
      <c r="AZ649" t="s">
        <v>2749</v>
      </c>
      <c r="BA649">
        <v>6.7169999999999994E-2</v>
      </c>
      <c r="BB649">
        <v>1</v>
      </c>
      <c r="BC649" t="s">
        <v>69</v>
      </c>
      <c r="BD649">
        <v>-0.33200000000000002</v>
      </c>
      <c r="BE649">
        <v>-0.44800000000000001</v>
      </c>
    </row>
    <row r="650" spans="1:57">
      <c r="A650">
        <v>0</v>
      </c>
      <c r="B650">
        <v>0</v>
      </c>
      <c r="C650">
        <v>0</v>
      </c>
      <c r="D650">
        <v>3387</v>
      </c>
      <c r="E650" t="s">
        <v>4611</v>
      </c>
      <c r="F650" t="s">
        <v>5762</v>
      </c>
      <c r="G650" t="s">
        <v>62</v>
      </c>
      <c r="H650">
        <v>3355596</v>
      </c>
      <c r="I650">
        <v>3356990</v>
      </c>
      <c r="J650" t="s">
        <v>4612</v>
      </c>
      <c r="K650">
        <v>465</v>
      </c>
      <c r="L650" t="s">
        <v>59</v>
      </c>
      <c r="M650">
        <v>5</v>
      </c>
      <c r="N650" t="str">
        <f>HYPERLINK("Gene3387-zp_tree_all.dnd", "Gene3387-tree")</f>
        <v>Gene3387-tree</v>
      </c>
      <c r="O650">
        <v>4</v>
      </c>
      <c r="P650">
        <v>1</v>
      </c>
      <c r="Q650">
        <v>4</v>
      </c>
      <c r="R650">
        <v>1</v>
      </c>
      <c r="S650">
        <v>0.2</v>
      </c>
      <c r="T650" t="s">
        <v>60</v>
      </c>
      <c r="U650" t="s">
        <v>61</v>
      </c>
      <c r="V650" t="s">
        <v>62</v>
      </c>
      <c r="W650" t="s">
        <v>62</v>
      </c>
      <c r="X650">
        <v>0</v>
      </c>
      <c r="Y650">
        <v>0</v>
      </c>
      <c r="Z650">
        <v>1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1</v>
      </c>
      <c r="AK650">
        <v>0</v>
      </c>
      <c r="AL650">
        <v>5</v>
      </c>
      <c r="AM650">
        <v>2</v>
      </c>
      <c r="AN650">
        <v>30</v>
      </c>
      <c r="AO650">
        <v>1</v>
      </c>
      <c r="AP650">
        <v>16</v>
      </c>
      <c r="AQ650">
        <v>0</v>
      </c>
      <c r="AR650" t="s">
        <v>4613</v>
      </c>
      <c r="AS650" t="s">
        <v>64</v>
      </c>
      <c r="AT650">
        <v>0.53800000000000003</v>
      </c>
      <c r="AU650" t="s">
        <v>65</v>
      </c>
      <c r="AV650">
        <v>46</v>
      </c>
      <c r="AW650">
        <v>1</v>
      </c>
      <c r="AX650" t="s">
        <v>4614</v>
      </c>
      <c r="AY650" t="s">
        <v>4615</v>
      </c>
      <c r="AZ650" t="s">
        <v>4616</v>
      </c>
      <c r="BA650">
        <v>5.0699999999999999E-3</v>
      </c>
      <c r="BB650">
        <v>1</v>
      </c>
      <c r="BC650" t="s">
        <v>69</v>
      </c>
      <c r="BD650">
        <v>-0.16400000000000001</v>
      </c>
      <c r="BE650">
        <v>-0.187</v>
      </c>
    </row>
    <row r="651" spans="1:57">
      <c r="A651">
        <v>0</v>
      </c>
      <c r="B651">
        <v>0</v>
      </c>
      <c r="C651">
        <v>0</v>
      </c>
      <c r="D651">
        <v>94</v>
      </c>
      <c r="E651" t="s">
        <v>356</v>
      </c>
      <c r="F651" t="s">
        <v>5762</v>
      </c>
      <c r="G651" t="s">
        <v>57</v>
      </c>
      <c r="H651">
        <v>113450</v>
      </c>
      <c r="I651">
        <v>114847</v>
      </c>
      <c r="J651" t="s">
        <v>357</v>
      </c>
      <c r="K651">
        <v>466</v>
      </c>
      <c r="L651" t="s">
        <v>83</v>
      </c>
      <c r="M651">
        <v>4</v>
      </c>
      <c r="N651" t="str">
        <f>HYPERLINK("Gene94-zp_tree_all.dnd", "Gene94-tree")</f>
        <v>Gene94-tree</v>
      </c>
      <c r="O651">
        <v>0</v>
      </c>
      <c r="P651">
        <v>4</v>
      </c>
      <c r="Q651">
        <v>0</v>
      </c>
      <c r="R651">
        <v>4</v>
      </c>
      <c r="S651">
        <v>1</v>
      </c>
      <c r="T651" t="s">
        <v>62</v>
      </c>
      <c r="U651" t="s">
        <v>60</v>
      </c>
      <c r="V651" t="s">
        <v>62</v>
      </c>
      <c r="W651" t="s">
        <v>62</v>
      </c>
      <c r="X651">
        <v>0</v>
      </c>
      <c r="Y651">
        <v>0</v>
      </c>
      <c r="Z651">
        <v>5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5</v>
      </c>
      <c r="AK651">
        <v>0</v>
      </c>
      <c r="AL651">
        <v>4</v>
      </c>
      <c r="AM651">
        <v>1</v>
      </c>
      <c r="AN651">
        <v>71</v>
      </c>
      <c r="AO651">
        <v>5</v>
      </c>
      <c r="AP651">
        <v>4</v>
      </c>
      <c r="AQ651">
        <v>0</v>
      </c>
      <c r="AR651" t="s">
        <v>358</v>
      </c>
      <c r="AS651" t="s">
        <v>64</v>
      </c>
      <c r="AT651">
        <v>0.94199999999999995</v>
      </c>
      <c r="AU651" t="s">
        <v>65</v>
      </c>
      <c r="AV651">
        <v>75</v>
      </c>
      <c r="AW651">
        <v>5</v>
      </c>
      <c r="AX651" t="s">
        <v>359</v>
      </c>
      <c r="AY651" t="s">
        <v>360</v>
      </c>
      <c r="AZ651" t="s">
        <v>361</v>
      </c>
      <c r="BA651">
        <v>1.6140000000000002E-2</v>
      </c>
      <c r="BB651">
        <v>1</v>
      </c>
      <c r="BC651" t="s">
        <v>69</v>
      </c>
      <c r="BD651">
        <v>-0.57999999999999996</v>
      </c>
      <c r="BE651">
        <v>-0.82899999999999996</v>
      </c>
    </row>
    <row r="652" spans="1:57">
      <c r="A652">
        <v>0</v>
      </c>
      <c r="B652">
        <v>0</v>
      </c>
      <c r="C652">
        <v>0</v>
      </c>
      <c r="D652">
        <v>1677</v>
      </c>
      <c r="E652" t="s">
        <v>2443</v>
      </c>
      <c r="F652" t="s">
        <v>5762</v>
      </c>
      <c r="G652" t="s">
        <v>57</v>
      </c>
      <c r="H652">
        <v>1688676</v>
      </c>
      <c r="I652">
        <v>1690076</v>
      </c>
      <c r="J652" t="s">
        <v>2444</v>
      </c>
      <c r="K652">
        <v>467</v>
      </c>
      <c r="L652" t="s">
        <v>83</v>
      </c>
      <c r="M652">
        <v>4</v>
      </c>
      <c r="N652" t="str">
        <f>HYPERLINK("Gene1677-zp_tree_all.dnd", "Gene1677-tree")</f>
        <v>Gene1677-tree</v>
      </c>
      <c r="O652">
        <v>2</v>
      </c>
      <c r="P652">
        <v>2</v>
      </c>
      <c r="Q652">
        <v>2</v>
      </c>
      <c r="R652">
        <v>2</v>
      </c>
      <c r="S652">
        <v>0.5</v>
      </c>
      <c r="T652" t="s">
        <v>135</v>
      </c>
      <c r="U652" t="s">
        <v>135</v>
      </c>
      <c r="V652" t="s">
        <v>62</v>
      </c>
      <c r="W652" t="s">
        <v>62</v>
      </c>
      <c r="X652">
        <v>0</v>
      </c>
      <c r="Y652">
        <v>0</v>
      </c>
      <c r="Z652">
        <v>4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4</v>
      </c>
      <c r="AK652">
        <v>0</v>
      </c>
      <c r="AL652">
        <v>4</v>
      </c>
      <c r="AM652">
        <v>1</v>
      </c>
      <c r="AN652">
        <v>59</v>
      </c>
      <c r="AO652">
        <v>4</v>
      </c>
      <c r="AP652">
        <v>3</v>
      </c>
      <c r="AQ652">
        <v>0</v>
      </c>
      <c r="AR652" t="s">
        <v>2445</v>
      </c>
      <c r="AS652" t="s">
        <v>64</v>
      </c>
      <c r="AT652">
        <v>0.64500000000000002</v>
      </c>
      <c r="AU652" t="s">
        <v>65</v>
      </c>
      <c r="AV652">
        <v>62</v>
      </c>
      <c r="AW652">
        <v>4</v>
      </c>
      <c r="AX652" t="s">
        <v>2446</v>
      </c>
      <c r="AY652" t="s">
        <v>2447</v>
      </c>
      <c r="AZ652" t="s">
        <v>2448</v>
      </c>
      <c r="BA652">
        <v>1.644E-2</v>
      </c>
      <c r="BB652">
        <v>1</v>
      </c>
      <c r="BC652" t="s">
        <v>69</v>
      </c>
      <c r="BD652">
        <v>-0.62</v>
      </c>
      <c r="BE652">
        <v>-0.77</v>
      </c>
    </row>
    <row r="653" spans="1:57">
      <c r="A653">
        <v>0</v>
      </c>
      <c r="B653">
        <v>0</v>
      </c>
      <c r="C653">
        <v>0</v>
      </c>
      <c r="D653">
        <v>4014</v>
      </c>
      <c r="E653" t="s">
        <v>5420</v>
      </c>
      <c r="F653" t="s">
        <v>5762</v>
      </c>
      <c r="G653" t="s">
        <v>62</v>
      </c>
      <c r="H653">
        <v>3977794</v>
      </c>
      <c r="I653">
        <v>3979197</v>
      </c>
      <c r="J653" t="s">
        <v>5421</v>
      </c>
      <c r="K653">
        <v>468</v>
      </c>
      <c r="L653" t="s">
        <v>83</v>
      </c>
      <c r="M653">
        <v>4</v>
      </c>
      <c r="N653" t="str">
        <f>HYPERLINK("Gene4014-zp_tree_all.dnd", "Gene4014-tree")</f>
        <v>Gene4014-tree</v>
      </c>
      <c r="O653">
        <v>2</v>
      </c>
      <c r="P653">
        <v>2</v>
      </c>
      <c r="Q653">
        <v>2</v>
      </c>
      <c r="R653">
        <v>2</v>
      </c>
      <c r="S653">
        <v>0.5</v>
      </c>
      <c r="T653" t="s">
        <v>135</v>
      </c>
      <c r="U653" t="s">
        <v>135</v>
      </c>
      <c r="V653" t="s">
        <v>62</v>
      </c>
      <c r="W653" t="s">
        <v>62</v>
      </c>
      <c r="X653">
        <v>0</v>
      </c>
      <c r="Y653">
        <v>0</v>
      </c>
      <c r="Z653">
        <v>6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6</v>
      </c>
      <c r="AK653">
        <v>0</v>
      </c>
      <c r="AL653">
        <v>4</v>
      </c>
      <c r="AM653">
        <v>1</v>
      </c>
      <c r="AN653">
        <v>83</v>
      </c>
      <c r="AO653">
        <v>7</v>
      </c>
      <c r="AP653">
        <v>7</v>
      </c>
      <c r="AQ653">
        <v>0</v>
      </c>
      <c r="AR653" t="s">
        <v>5422</v>
      </c>
      <c r="AS653" t="s">
        <v>64</v>
      </c>
      <c r="AT653">
        <v>0.71699999999999997</v>
      </c>
      <c r="AU653" t="s">
        <v>65</v>
      </c>
      <c r="AV653">
        <v>90</v>
      </c>
      <c r="AW653">
        <v>7</v>
      </c>
      <c r="AX653" t="s">
        <v>5423</v>
      </c>
      <c r="AY653" t="s">
        <v>5424</v>
      </c>
      <c r="AZ653" t="s">
        <v>5425</v>
      </c>
      <c r="BA653">
        <v>2.0140000000000002E-2</v>
      </c>
      <c r="BB653">
        <v>1</v>
      </c>
      <c r="BC653" t="s">
        <v>69</v>
      </c>
      <c r="BD653">
        <v>-0.30299999999999999</v>
      </c>
      <c r="BE653">
        <v>-0.623</v>
      </c>
    </row>
    <row r="654" spans="1:57">
      <c r="A654">
        <v>0</v>
      </c>
      <c r="B654">
        <v>0</v>
      </c>
      <c r="C654">
        <v>0</v>
      </c>
      <c r="D654">
        <v>4066</v>
      </c>
      <c r="E654" t="s">
        <v>5459</v>
      </c>
      <c r="F654" t="s">
        <v>5762</v>
      </c>
      <c r="G654" t="s">
        <v>62</v>
      </c>
      <c r="H654">
        <v>4032349</v>
      </c>
      <c r="I654">
        <v>4033755</v>
      </c>
      <c r="J654" t="s">
        <v>5460</v>
      </c>
      <c r="K654">
        <v>469</v>
      </c>
      <c r="L654" t="s">
        <v>83</v>
      </c>
      <c r="M654">
        <v>4</v>
      </c>
      <c r="N654" t="str">
        <f>HYPERLINK("Gene4066-zp_tree_all.dnd", "Gene4066-tree")</f>
        <v>Gene4066-tree</v>
      </c>
      <c r="O654">
        <v>1</v>
      </c>
      <c r="P654">
        <v>3</v>
      </c>
      <c r="Q654">
        <v>1</v>
      </c>
      <c r="R654">
        <v>3</v>
      </c>
      <c r="S654">
        <v>0.75</v>
      </c>
      <c r="T654" t="s">
        <v>61</v>
      </c>
      <c r="U654" t="s">
        <v>84</v>
      </c>
      <c r="V654" t="s">
        <v>62</v>
      </c>
      <c r="W654" t="s">
        <v>62</v>
      </c>
      <c r="X654">
        <v>0</v>
      </c>
      <c r="Y654">
        <v>0</v>
      </c>
      <c r="Z654">
        <v>11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9</v>
      </c>
      <c r="AK654">
        <v>0</v>
      </c>
      <c r="AL654">
        <v>4</v>
      </c>
      <c r="AM654">
        <v>1</v>
      </c>
      <c r="AN654">
        <v>48</v>
      </c>
      <c r="AO654">
        <v>9</v>
      </c>
      <c r="AP654">
        <v>17</v>
      </c>
      <c r="AQ654">
        <v>3</v>
      </c>
      <c r="AR654" t="s">
        <v>5461</v>
      </c>
      <c r="AS654" t="s">
        <v>5462</v>
      </c>
      <c r="AT654">
        <v>9.8000000000000004E-2</v>
      </c>
      <c r="AU654" t="s">
        <v>65</v>
      </c>
      <c r="AV654">
        <v>65</v>
      </c>
      <c r="AW654">
        <v>12</v>
      </c>
      <c r="AX654" t="s">
        <v>5463</v>
      </c>
      <c r="AY654" t="s">
        <v>5464</v>
      </c>
      <c r="AZ654" t="s">
        <v>5465</v>
      </c>
      <c r="BA654">
        <v>4.9700000000000001E-2</v>
      </c>
      <c r="BB654">
        <v>1</v>
      </c>
      <c r="BC654" t="s">
        <v>69</v>
      </c>
      <c r="BD654">
        <v>6.6000000000000003E-2</v>
      </c>
      <c r="BE654">
        <v>-6.2E-2</v>
      </c>
    </row>
    <row r="655" spans="1:57">
      <c r="A655">
        <v>0</v>
      </c>
      <c r="B655">
        <v>0</v>
      </c>
      <c r="C655">
        <v>0</v>
      </c>
      <c r="D655">
        <v>2488</v>
      </c>
      <c r="E655" t="s">
        <v>3255</v>
      </c>
      <c r="F655" t="s">
        <v>5762</v>
      </c>
      <c r="G655" t="s">
        <v>62</v>
      </c>
      <c r="H655">
        <v>2480753</v>
      </c>
      <c r="I655">
        <v>2482159</v>
      </c>
      <c r="J655" t="s">
        <v>3256</v>
      </c>
      <c r="K655">
        <v>469</v>
      </c>
      <c r="L655" t="s">
        <v>59</v>
      </c>
      <c r="M655">
        <v>5</v>
      </c>
      <c r="N655" t="str">
        <f>HYPERLINK("Gene2488-zp_tree_all.dnd", "Gene2488-tree")</f>
        <v>Gene2488-tree</v>
      </c>
      <c r="O655">
        <v>4</v>
      </c>
      <c r="P655">
        <v>1</v>
      </c>
      <c r="Q655">
        <v>4</v>
      </c>
      <c r="R655">
        <v>1</v>
      </c>
      <c r="S655">
        <v>0.2</v>
      </c>
      <c r="T655" t="s">
        <v>60</v>
      </c>
      <c r="U655" t="s">
        <v>61</v>
      </c>
      <c r="V655" t="s">
        <v>62</v>
      </c>
      <c r="W655" t="s">
        <v>62</v>
      </c>
      <c r="X655">
        <v>0</v>
      </c>
      <c r="Y655">
        <v>0</v>
      </c>
      <c r="Z655">
        <v>2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1</v>
      </c>
      <c r="AK655">
        <v>0</v>
      </c>
      <c r="AL655">
        <v>5</v>
      </c>
      <c r="AM655">
        <v>2</v>
      </c>
      <c r="AN655">
        <v>52</v>
      </c>
      <c r="AO655">
        <v>1</v>
      </c>
      <c r="AP655">
        <v>48</v>
      </c>
      <c r="AQ655">
        <v>1</v>
      </c>
      <c r="AR655" t="s">
        <v>3257</v>
      </c>
      <c r="AS655" t="s">
        <v>3258</v>
      </c>
      <c r="AT655">
        <v>1.4999999999999999E-2</v>
      </c>
      <c r="AU655" t="s">
        <v>65</v>
      </c>
      <c r="AV655">
        <v>100</v>
      </c>
      <c r="AW655">
        <v>2</v>
      </c>
      <c r="AX655" t="s">
        <v>3259</v>
      </c>
      <c r="AY655" t="s">
        <v>3260</v>
      </c>
      <c r="AZ655" t="s">
        <v>3261</v>
      </c>
      <c r="BA655">
        <v>5.5799999999999999E-3</v>
      </c>
      <c r="BB655">
        <v>1</v>
      </c>
      <c r="BC655" t="s">
        <v>69</v>
      </c>
      <c r="BD655">
        <v>0.53800000000000003</v>
      </c>
      <c r="BE655">
        <v>-4.1000000000000002E-2</v>
      </c>
    </row>
    <row r="656" spans="1:57">
      <c r="A656">
        <v>0</v>
      </c>
      <c r="B656">
        <v>0</v>
      </c>
      <c r="C656">
        <v>0</v>
      </c>
      <c r="D656">
        <v>1520</v>
      </c>
      <c r="E656" t="s">
        <v>2031</v>
      </c>
      <c r="F656" t="s">
        <v>5762</v>
      </c>
      <c r="G656" t="s">
        <v>57</v>
      </c>
      <c r="H656">
        <v>1531870</v>
      </c>
      <c r="I656">
        <v>1533279</v>
      </c>
      <c r="J656" t="s">
        <v>2032</v>
      </c>
      <c r="K656">
        <v>470</v>
      </c>
      <c r="L656" t="s">
        <v>59</v>
      </c>
      <c r="M656">
        <v>5</v>
      </c>
      <c r="N656" t="str">
        <f>HYPERLINK("Gene1520-zp_tree_all.dnd", "Gene1520-tree")</f>
        <v>Gene1520-tree</v>
      </c>
      <c r="O656">
        <v>4</v>
      </c>
      <c r="P656">
        <v>1</v>
      </c>
      <c r="Q656">
        <v>4</v>
      </c>
      <c r="R656">
        <v>1</v>
      </c>
      <c r="S656">
        <v>0.2</v>
      </c>
      <c r="T656" t="s">
        <v>60</v>
      </c>
      <c r="U656" t="s">
        <v>61</v>
      </c>
      <c r="V656" t="s">
        <v>62</v>
      </c>
      <c r="W656" t="s">
        <v>62</v>
      </c>
      <c r="X656">
        <v>0</v>
      </c>
      <c r="Y656">
        <v>0</v>
      </c>
      <c r="Z656">
        <v>4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1</v>
      </c>
      <c r="AK656">
        <v>0</v>
      </c>
      <c r="AL656">
        <v>5</v>
      </c>
      <c r="AM656">
        <v>2</v>
      </c>
      <c r="AN656">
        <v>27</v>
      </c>
      <c r="AO656">
        <v>1</v>
      </c>
      <c r="AP656">
        <v>33</v>
      </c>
      <c r="AQ656">
        <v>3</v>
      </c>
      <c r="AR656" t="s">
        <v>2033</v>
      </c>
      <c r="AS656" t="s">
        <v>2034</v>
      </c>
      <c r="AT656">
        <v>0.39700000000000002</v>
      </c>
      <c r="AU656" t="s">
        <v>65</v>
      </c>
      <c r="AV656">
        <v>60</v>
      </c>
      <c r="AW656">
        <v>4</v>
      </c>
      <c r="AX656" t="s">
        <v>2035</v>
      </c>
      <c r="AY656" t="s">
        <v>2036</v>
      </c>
      <c r="AZ656" t="s">
        <v>2037</v>
      </c>
      <c r="BA656">
        <v>2.1919999999999999E-2</v>
      </c>
      <c r="BB656">
        <v>1</v>
      </c>
      <c r="BC656" t="s">
        <v>69</v>
      </c>
      <c r="BD656">
        <v>0.62</v>
      </c>
      <c r="BE656">
        <v>0.62</v>
      </c>
    </row>
    <row r="657" spans="1:57">
      <c r="A657">
        <v>0</v>
      </c>
      <c r="B657">
        <v>2</v>
      </c>
      <c r="C657">
        <v>2</v>
      </c>
      <c r="D657">
        <v>67</v>
      </c>
      <c r="E657" t="s">
        <v>249</v>
      </c>
      <c r="F657" t="s">
        <v>5762</v>
      </c>
      <c r="G657" t="s">
        <v>57</v>
      </c>
      <c r="H657">
        <v>74929</v>
      </c>
      <c r="I657">
        <v>76344</v>
      </c>
      <c r="J657" t="s">
        <v>250</v>
      </c>
      <c r="K657">
        <v>472</v>
      </c>
      <c r="L657" t="s">
        <v>59</v>
      </c>
      <c r="M657">
        <v>5</v>
      </c>
      <c r="N657" t="str">
        <f>HYPERLINK("Gene67-zp_tree_all.dnd", "Gene67-tree")</f>
        <v>Gene67-tree</v>
      </c>
      <c r="O657">
        <v>0</v>
      </c>
      <c r="P657">
        <v>5</v>
      </c>
      <c r="Q657">
        <v>0</v>
      </c>
      <c r="R657">
        <v>5</v>
      </c>
      <c r="S657">
        <v>1</v>
      </c>
      <c r="T657" t="s">
        <v>62</v>
      </c>
      <c r="U657" t="s">
        <v>98</v>
      </c>
      <c r="V657" t="s">
        <v>62</v>
      </c>
      <c r="W657" t="s">
        <v>62</v>
      </c>
      <c r="X657">
        <v>2</v>
      </c>
      <c r="Y657">
        <v>4</v>
      </c>
      <c r="Z657">
        <v>25</v>
      </c>
      <c r="AA657">
        <v>0.13793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2</v>
      </c>
      <c r="AH657">
        <v>0</v>
      </c>
      <c r="AI657">
        <v>2</v>
      </c>
      <c r="AJ657">
        <v>18</v>
      </c>
      <c r="AK657">
        <v>0.1</v>
      </c>
      <c r="AL657">
        <v>5</v>
      </c>
      <c r="AM657">
        <v>2</v>
      </c>
      <c r="AN657">
        <v>21</v>
      </c>
      <c r="AO657">
        <v>19</v>
      </c>
      <c r="AP657">
        <v>33</v>
      </c>
      <c r="AQ657">
        <v>10</v>
      </c>
      <c r="AR657" t="s">
        <v>251</v>
      </c>
      <c r="AS657" t="s">
        <v>252</v>
      </c>
      <c r="AT657">
        <v>1.615</v>
      </c>
      <c r="AU657" t="s">
        <v>65</v>
      </c>
      <c r="AV657">
        <v>54</v>
      </c>
      <c r="AW657">
        <v>29</v>
      </c>
      <c r="AX657" t="s">
        <v>253</v>
      </c>
      <c r="AY657" t="s">
        <v>254</v>
      </c>
      <c r="AZ657" t="s">
        <v>255</v>
      </c>
      <c r="BA657">
        <v>0.12712000000000001</v>
      </c>
      <c r="BB657">
        <v>1</v>
      </c>
      <c r="BC657" t="s">
        <v>69</v>
      </c>
      <c r="BD657">
        <v>0.61599999999999999</v>
      </c>
      <c r="BE657">
        <v>0.53600000000000003</v>
      </c>
    </row>
    <row r="658" spans="1:57">
      <c r="A658">
        <v>0</v>
      </c>
      <c r="B658">
        <v>0</v>
      </c>
      <c r="C658">
        <v>2</v>
      </c>
      <c r="D658">
        <v>2943</v>
      </c>
      <c r="E658" t="s">
        <v>3890</v>
      </c>
      <c r="F658" t="s">
        <v>5762</v>
      </c>
      <c r="G658" t="s">
        <v>62</v>
      </c>
      <c r="H658">
        <v>2889555</v>
      </c>
      <c r="I658">
        <v>2890970</v>
      </c>
      <c r="J658" t="s">
        <v>3891</v>
      </c>
      <c r="K658">
        <v>472</v>
      </c>
      <c r="L658" t="s">
        <v>59</v>
      </c>
      <c r="M658">
        <v>5</v>
      </c>
      <c r="N658" t="str">
        <f>HYPERLINK("Gene2943-zp_tree_all.dnd", "Gene2943-tree")</f>
        <v>Gene2943-tree</v>
      </c>
      <c r="O658">
        <v>2</v>
      </c>
      <c r="P658">
        <v>3</v>
      </c>
      <c r="Q658">
        <v>2</v>
      </c>
      <c r="R658">
        <v>3</v>
      </c>
      <c r="S658">
        <v>0.6</v>
      </c>
      <c r="T658" t="s">
        <v>135</v>
      </c>
      <c r="U658" t="s">
        <v>84</v>
      </c>
      <c r="V658" t="s">
        <v>62</v>
      </c>
      <c r="W658" t="s">
        <v>62</v>
      </c>
      <c r="X658">
        <v>1</v>
      </c>
      <c r="Y658">
        <v>2</v>
      </c>
      <c r="Z658">
        <v>7</v>
      </c>
      <c r="AA658">
        <v>0.22222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7</v>
      </c>
      <c r="AK658">
        <v>0</v>
      </c>
      <c r="AL658">
        <v>5</v>
      </c>
      <c r="AM658">
        <v>2</v>
      </c>
      <c r="AN658">
        <v>42</v>
      </c>
      <c r="AO658">
        <v>7</v>
      </c>
      <c r="AP658">
        <v>48</v>
      </c>
      <c r="AQ658">
        <v>2</v>
      </c>
      <c r="AR658" t="s">
        <v>3892</v>
      </c>
      <c r="AS658" t="s">
        <v>3893</v>
      </c>
      <c r="AT658">
        <v>1.0960000000000001</v>
      </c>
      <c r="AU658" t="s">
        <v>65</v>
      </c>
      <c r="AV658">
        <v>90</v>
      </c>
      <c r="AW658">
        <v>9</v>
      </c>
      <c r="AX658" t="s">
        <v>3894</v>
      </c>
      <c r="AY658" t="s">
        <v>3895</v>
      </c>
      <c r="AZ658" t="s">
        <v>3896</v>
      </c>
      <c r="BA658">
        <v>2.3140000000000001E-2</v>
      </c>
      <c r="BB658">
        <v>1</v>
      </c>
      <c r="BC658" t="s">
        <v>69</v>
      </c>
      <c r="BD658">
        <v>0.67800000000000005</v>
      </c>
      <c r="BE658">
        <v>0.35099999999999998</v>
      </c>
    </row>
    <row r="659" spans="1:57">
      <c r="A659">
        <v>0</v>
      </c>
      <c r="B659">
        <v>0</v>
      </c>
      <c r="C659">
        <v>0</v>
      </c>
      <c r="D659">
        <v>3816</v>
      </c>
      <c r="E659" t="s">
        <v>5114</v>
      </c>
      <c r="F659" t="s">
        <v>5762</v>
      </c>
      <c r="G659" t="s">
        <v>62</v>
      </c>
      <c r="H659">
        <v>3781494</v>
      </c>
      <c r="I659">
        <v>3782912</v>
      </c>
      <c r="J659" t="s">
        <v>5115</v>
      </c>
      <c r="K659">
        <v>473</v>
      </c>
      <c r="L659" t="s">
        <v>59</v>
      </c>
      <c r="M659">
        <v>5</v>
      </c>
      <c r="N659" t="str">
        <f>HYPERLINK("Gene3816-zp_tree_all.dnd", "Gene3816-tree")</f>
        <v>Gene3816-tree</v>
      </c>
      <c r="O659">
        <v>4</v>
      </c>
      <c r="P659">
        <v>1</v>
      </c>
      <c r="Q659">
        <v>4</v>
      </c>
      <c r="R659">
        <v>1</v>
      </c>
      <c r="S659">
        <v>0.2</v>
      </c>
      <c r="T659" t="s">
        <v>60</v>
      </c>
      <c r="U659" t="s">
        <v>61</v>
      </c>
      <c r="V659" t="s">
        <v>62</v>
      </c>
      <c r="W659" t="s">
        <v>62</v>
      </c>
      <c r="X659">
        <v>0</v>
      </c>
      <c r="Y659">
        <v>0</v>
      </c>
      <c r="Z659">
        <v>5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1</v>
      </c>
      <c r="AK659">
        <v>0</v>
      </c>
      <c r="AL659">
        <v>5</v>
      </c>
      <c r="AM659">
        <v>1</v>
      </c>
      <c r="AN659">
        <v>27</v>
      </c>
      <c r="AO659">
        <v>1</v>
      </c>
      <c r="AP659">
        <v>33</v>
      </c>
      <c r="AQ659">
        <v>4</v>
      </c>
      <c r="AR659" t="s">
        <v>5116</v>
      </c>
      <c r="AS659" t="s">
        <v>5117</v>
      </c>
      <c r="AT659">
        <v>1.085</v>
      </c>
      <c r="AU659" t="s">
        <v>65</v>
      </c>
      <c r="AV659">
        <v>60</v>
      </c>
      <c r="AW659">
        <v>5</v>
      </c>
      <c r="AX659" t="s">
        <v>5118</v>
      </c>
      <c r="AY659" t="s">
        <v>5119</v>
      </c>
      <c r="AZ659" t="s">
        <v>5120</v>
      </c>
      <c r="BA659">
        <v>2.6749999999999999E-2</v>
      </c>
      <c r="BB659">
        <v>1</v>
      </c>
      <c r="BC659" t="s">
        <v>69</v>
      </c>
      <c r="BD659">
        <v>0.61099999999999999</v>
      </c>
      <c r="BE659">
        <v>0.61099999999999999</v>
      </c>
    </row>
    <row r="660" spans="1:57">
      <c r="A660">
        <v>0</v>
      </c>
      <c r="B660">
        <v>0</v>
      </c>
      <c r="C660">
        <v>0</v>
      </c>
      <c r="D660">
        <v>704</v>
      </c>
      <c r="E660" t="s">
        <v>1167</v>
      </c>
      <c r="F660" t="s">
        <v>5762</v>
      </c>
      <c r="G660" t="s">
        <v>57</v>
      </c>
      <c r="H660">
        <v>730509</v>
      </c>
      <c r="I660">
        <v>731936</v>
      </c>
      <c r="J660" t="s">
        <v>1168</v>
      </c>
      <c r="K660">
        <v>476</v>
      </c>
      <c r="L660" t="s">
        <v>59</v>
      </c>
      <c r="M660">
        <v>5</v>
      </c>
      <c r="N660" t="str">
        <f>HYPERLINK("Gene704-zp_tree_all.dnd", "Gene704-tree")</f>
        <v>Gene704-tree</v>
      </c>
      <c r="O660">
        <v>4</v>
      </c>
      <c r="P660">
        <v>1</v>
      </c>
      <c r="Q660">
        <v>4</v>
      </c>
      <c r="R660">
        <v>1</v>
      </c>
      <c r="S660">
        <v>0.2</v>
      </c>
      <c r="T660" t="s">
        <v>60</v>
      </c>
      <c r="U660" t="s">
        <v>61</v>
      </c>
      <c r="V660" t="s">
        <v>62</v>
      </c>
      <c r="W660" t="s">
        <v>62</v>
      </c>
      <c r="X660">
        <v>0</v>
      </c>
      <c r="Y660">
        <v>0</v>
      </c>
      <c r="Z660">
        <v>1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1</v>
      </c>
      <c r="AK660">
        <v>0</v>
      </c>
      <c r="AL660">
        <v>5</v>
      </c>
      <c r="AM660">
        <v>2</v>
      </c>
      <c r="AN660">
        <v>47</v>
      </c>
      <c r="AO660">
        <v>1</v>
      </c>
      <c r="AP660">
        <v>38</v>
      </c>
      <c r="AQ660">
        <v>0</v>
      </c>
      <c r="AR660" t="s">
        <v>1169</v>
      </c>
      <c r="AS660" t="s">
        <v>64</v>
      </c>
      <c r="AT660">
        <v>0.53400000000000003</v>
      </c>
      <c r="AU660" t="s">
        <v>65</v>
      </c>
      <c r="AV660">
        <v>85</v>
      </c>
      <c r="AW660">
        <v>1</v>
      </c>
      <c r="AX660" t="s">
        <v>1170</v>
      </c>
      <c r="AY660" t="s">
        <v>1171</v>
      </c>
      <c r="AZ660" t="s">
        <v>1172</v>
      </c>
      <c r="BA660">
        <v>2.6099999999999999E-3</v>
      </c>
      <c r="BB660">
        <v>1</v>
      </c>
      <c r="BC660" t="s">
        <v>69</v>
      </c>
      <c r="BD660">
        <v>0.221</v>
      </c>
      <c r="BE660">
        <v>0.221</v>
      </c>
    </row>
    <row r="661" spans="1:57">
      <c r="A661">
        <v>0</v>
      </c>
      <c r="B661">
        <v>0</v>
      </c>
      <c r="C661">
        <v>0</v>
      </c>
      <c r="D661">
        <v>792</v>
      </c>
      <c r="E661" t="s">
        <v>1248</v>
      </c>
      <c r="F661" t="s">
        <v>5762</v>
      </c>
      <c r="G661" t="s">
        <v>57</v>
      </c>
      <c r="H661">
        <v>829382</v>
      </c>
      <c r="I661">
        <v>830815</v>
      </c>
      <c r="J661" t="s">
        <v>1249</v>
      </c>
      <c r="K661">
        <v>478</v>
      </c>
      <c r="L661" t="s">
        <v>59</v>
      </c>
      <c r="M661">
        <v>5</v>
      </c>
      <c r="N661" t="str">
        <f>HYPERLINK("Gene792-zp_tree_all.dnd", "Gene792-tree")</f>
        <v>Gene792-tree</v>
      </c>
      <c r="O661">
        <v>3</v>
      </c>
      <c r="P661">
        <v>2</v>
      </c>
      <c r="Q661">
        <v>3</v>
      </c>
      <c r="R661">
        <v>2</v>
      </c>
      <c r="S661">
        <v>0.4</v>
      </c>
      <c r="T661" t="s">
        <v>84</v>
      </c>
      <c r="U661" t="s">
        <v>135</v>
      </c>
      <c r="V661" t="s">
        <v>62</v>
      </c>
      <c r="W661" t="s">
        <v>62</v>
      </c>
      <c r="X661">
        <v>0</v>
      </c>
      <c r="Y661">
        <v>0</v>
      </c>
      <c r="Z661">
        <v>11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7</v>
      </c>
      <c r="AK661">
        <v>0</v>
      </c>
      <c r="AL661">
        <v>5</v>
      </c>
      <c r="AM661">
        <v>1</v>
      </c>
      <c r="AN661">
        <v>53</v>
      </c>
      <c r="AO661">
        <v>8</v>
      </c>
      <c r="AP661">
        <v>30</v>
      </c>
      <c r="AQ661">
        <v>4</v>
      </c>
      <c r="AR661" t="s">
        <v>1250</v>
      </c>
      <c r="AS661" t="s">
        <v>1251</v>
      </c>
      <c r="AT661">
        <v>0.17399999999999999</v>
      </c>
      <c r="AU661" t="s">
        <v>65</v>
      </c>
      <c r="AV661">
        <v>83</v>
      </c>
      <c r="AW661">
        <v>12</v>
      </c>
      <c r="AX661" t="s">
        <v>1252</v>
      </c>
      <c r="AY661" t="s">
        <v>1253</v>
      </c>
      <c r="AZ661" t="s">
        <v>1254</v>
      </c>
      <c r="BA661">
        <v>4.3580000000000001E-2</v>
      </c>
      <c r="BB661">
        <v>1</v>
      </c>
      <c r="BC661" t="s">
        <v>69</v>
      </c>
      <c r="BD661">
        <v>5.2999999999999999E-2</v>
      </c>
      <c r="BE661">
        <v>-0.2</v>
      </c>
    </row>
    <row r="662" spans="1:57">
      <c r="A662">
        <v>0</v>
      </c>
      <c r="B662">
        <v>2</v>
      </c>
      <c r="C662">
        <v>0</v>
      </c>
      <c r="D662">
        <v>92</v>
      </c>
      <c r="E662" t="s">
        <v>343</v>
      </c>
      <c r="F662" t="s">
        <v>5762</v>
      </c>
      <c r="G662" t="s">
        <v>57</v>
      </c>
      <c r="H662">
        <v>111047</v>
      </c>
      <c r="I662">
        <v>112495</v>
      </c>
      <c r="J662" t="s">
        <v>344</v>
      </c>
      <c r="K662">
        <v>483</v>
      </c>
      <c r="L662" t="s">
        <v>59</v>
      </c>
      <c r="M662">
        <v>5</v>
      </c>
      <c r="N662" t="str">
        <f>HYPERLINK("Gene92-zp_tree_all.dnd", "Gene92-tree")</f>
        <v>Gene92-tree</v>
      </c>
      <c r="O662">
        <v>2</v>
      </c>
      <c r="P662">
        <v>3</v>
      </c>
      <c r="Q662">
        <v>2</v>
      </c>
      <c r="R662">
        <v>3</v>
      </c>
      <c r="S662">
        <v>0.6</v>
      </c>
      <c r="T662" t="s">
        <v>135</v>
      </c>
      <c r="U662" t="s">
        <v>84</v>
      </c>
      <c r="V662" t="s">
        <v>62</v>
      </c>
      <c r="W662" t="s">
        <v>62</v>
      </c>
      <c r="X662">
        <v>1</v>
      </c>
      <c r="Y662">
        <v>2</v>
      </c>
      <c r="Z662">
        <v>8</v>
      </c>
      <c r="AA662">
        <v>0.2</v>
      </c>
      <c r="AB662">
        <v>0</v>
      </c>
      <c r="AC662">
        <v>0</v>
      </c>
      <c r="AD662">
        <v>0</v>
      </c>
      <c r="AE662">
        <v>1</v>
      </c>
      <c r="AF662">
        <v>0</v>
      </c>
      <c r="AG662">
        <v>0</v>
      </c>
      <c r="AH662">
        <v>0</v>
      </c>
      <c r="AI662">
        <v>0</v>
      </c>
      <c r="AJ662">
        <v>7</v>
      </c>
      <c r="AK662">
        <v>0</v>
      </c>
      <c r="AL662">
        <v>5</v>
      </c>
      <c r="AM662">
        <v>2</v>
      </c>
      <c r="AN662">
        <v>48</v>
      </c>
      <c r="AO662">
        <v>7</v>
      </c>
      <c r="AP662">
        <v>40</v>
      </c>
      <c r="AQ662">
        <v>4</v>
      </c>
      <c r="AR662" t="s">
        <v>345</v>
      </c>
      <c r="AS662" t="s">
        <v>346</v>
      </c>
      <c r="AT662">
        <v>0.61499999999999999</v>
      </c>
      <c r="AU662" t="s">
        <v>65</v>
      </c>
      <c r="AV662">
        <v>88</v>
      </c>
      <c r="AW662">
        <v>11</v>
      </c>
      <c r="AX662" t="s">
        <v>347</v>
      </c>
      <c r="AY662" t="s">
        <v>348</v>
      </c>
      <c r="AZ662" t="s">
        <v>349</v>
      </c>
      <c r="BA662">
        <v>2.8379999999999999E-2</v>
      </c>
      <c r="BB662">
        <v>1</v>
      </c>
      <c r="BC662" t="s">
        <v>69</v>
      </c>
      <c r="BD662">
        <v>0.51200000000000001</v>
      </c>
      <c r="BE662">
        <v>0.33400000000000002</v>
      </c>
    </row>
    <row r="663" spans="1:57">
      <c r="A663">
        <v>0</v>
      </c>
      <c r="B663">
        <v>0</v>
      </c>
      <c r="C663">
        <v>0</v>
      </c>
      <c r="D663">
        <v>3608</v>
      </c>
      <c r="E663" t="s">
        <v>4917</v>
      </c>
      <c r="F663" t="s">
        <v>5762</v>
      </c>
      <c r="G663" t="s">
        <v>62</v>
      </c>
      <c r="H663">
        <v>3576168</v>
      </c>
      <c r="I663">
        <v>3577619</v>
      </c>
      <c r="J663" t="s">
        <v>118</v>
      </c>
      <c r="K663">
        <v>484</v>
      </c>
      <c r="L663" t="s">
        <v>83</v>
      </c>
      <c r="M663">
        <v>4</v>
      </c>
      <c r="N663" t="str">
        <f>HYPERLINK("Gene3608-zp_tree_all.dnd", "Gene3608-tree")</f>
        <v>Gene3608-tree</v>
      </c>
      <c r="O663">
        <v>0</v>
      </c>
      <c r="P663">
        <v>4</v>
      </c>
      <c r="Q663">
        <v>0</v>
      </c>
      <c r="R663">
        <v>4</v>
      </c>
      <c r="S663">
        <v>1</v>
      </c>
      <c r="T663" t="s">
        <v>62</v>
      </c>
      <c r="U663" t="s">
        <v>60</v>
      </c>
      <c r="V663" t="s">
        <v>62</v>
      </c>
      <c r="W663" t="s">
        <v>62</v>
      </c>
      <c r="X663">
        <v>0</v>
      </c>
      <c r="Y663">
        <v>0</v>
      </c>
      <c r="Z663">
        <v>10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9</v>
      </c>
      <c r="AK663">
        <v>0</v>
      </c>
      <c r="AL663">
        <v>4</v>
      </c>
      <c r="AM663">
        <v>1</v>
      </c>
      <c r="AN663">
        <v>65</v>
      </c>
      <c r="AO663">
        <v>9</v>
      </c>
      <c r="AP663">
        <v>4</v>
      </c>
      <c r="AQ663">
        <v>1</v>
      </c>
      <c r="AR663" t="s">
        <v>4918</v>
      </c>
      <c r="AS663" t="s">
        <v>4919</v>
      </c>
      <c r="AT663">
        <v>0.83199999999999996</v>
      </c>
      <c r="AU663" t="s">
        <v>65</v>
      </c>
      <c r="AV663">
        <v>69</v>
      </c>
      <c r="AW663">
        <v>10</v>
      </c>
      <c r="AX663" t="s">
        <v>4920</v>
      </c>
      <c r="AY663" t="s">
        <v>4921</v>
      </c>
      <c r="AZ663" t="s">
        <v>4922</v>
      </c>
      <c r="BA663">
        <v>3.9230000000000001E-2</v>
      </c>
      <c r="BB663">
        <v>1</v>
      </c>
      <c r="BC663" t="s">
        <v>69</v>
      </c>
      <c r="BD663">
        <v>-0.57999999999999996</v>
      </c>
      <c r="BE663">
        <v>-0.82899999999999996</v>
      </c>
    </row>
    <row r="664" spans="1:57">
      <c r="A664">
        <v>0</v>
      </c>
      <c r="B664">
        <v>0</v>
      </c>
      <c r="C664">
        <v>0</v>
      </c>
      <c r="D664">
        <v>703</v>
      </c>
      <c r="E664" t="s">
        <v>1160</v>
      </c>
      <c r="F664" t="s">
        <v>5762</v>
      </c>
      <c r="G664" t="s">
        <v>57</v>
      </c>
      <c r="H664">
        <v>729038</v>
      </c>
      <c r="I664">
        <v>730492</v>
      </c>
      <c r="J664" t="s">
        <v>1161</v>
      </c>
      <c r="K664">
        <v>485</v>
      </c>
      <c r="L664" t="s">
        <v>59</v>
      </c>
      <c r="M664">
        <v>5</v>
      </c>
      <c r="N664" t="str">
        <f>HYPERLINK("Gene703-zp_tree_all.dnd", "Gene703-tree")</f>
        <v>Gene703-tree</v>
      </c>
      <c r="O664">
        <v>3</v>
      </c>
      <c r="P664">
        <v>2</v>
      </c>
      <c r="Q664">
        <v>3</v>
      </c>
      <c r="R664">
        <v>2</v>
      </c>
      <c r="S664">
        <v>0.4</v>
      </c>
      <c r="T664" t="s">
        <v>84</v>
      </c>
      <c r="U664" t="s">
        <v>135</v>
      </c>
      <c r="V664" t="s">
        <v>62</v>
      </c>
      <c r="W664" t="s">
        <v>62</v>
      </c>
      <c r="X664">
        <v>0</v>
      </c>
      <c r="Y664">
        <v>0</v>
      </c>
      <c r="Z664">
        <v>3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3</v>
      </c>
      <c r="AK664">
        <v>0</v>
      </c>
      <c r="AL664">
        <v>5</v>
      </c>
      <c r="AM664">
        <v>2</v>
      </c>
      <c r="AN664">
        <v>56</v>
      </c>
      <c r="AO664">
        <v>3</v>
      </c>
      <c r="AP664">
        <v>40</v>
      </c>
      <c r="AQ664">
        <v>1</v>
      </c>
      <c r="AR664" t="s">
        <v>1162</v>
      </c>
      <c r="AS664" t="s">
        <v>1163</v>
      </c>
      <c r="AT664">
        <v>0.55800000000000005</v>
      </c>
      <c r="AU664" t="s">
        <v>65</v>
      </c>
      <c r="AV664">
        <v>96</v>
      </c>
      <c r="AW664">
        <v>4</v>
      </c>
      <c r="AX664" t="s">
        <v>1164</v>
      </c>
      <c r="AY664" t="s">
        <v>1165</v>
      </c>
      <c r="AZ664" t="s">
        <v>1166</v>
      </c>
      <c r="BA664">
        <v>1.189E-2</v>
      </c>
      <c r="BB664">
        <v>1</v>
      </c>
      <c r="BC664" t="s">
        <v>69</v>
      </c>
      <c r="BD664">
        <v>0.40300000000000002</v>
      </c>
      <c r="BE664">
        <v>0.16</v>
      </c>
    </row>
    <row r="665" spans="1:57">
      <c r="A665">
        <v>0</v>
      </c>
      <c r="B665">
        <v>0</v>
      </c>
      <c r="C665">
        <v>0</v>
      </c>
      <c r="D665">
        <v>9</v>
      </c>
      <c r="E665" t="s">
        <v>90</v>
      </c>
      <c r="F665" t="s">
        <v>5762</v>
      </c>
      <c r="G665" t="s">
        <v>57</v>
      </c>
      <c r="H665">
        <v>15915</v>
      </c>
      <c r="I665">
        <v>17378</v>
      </c>
      <c r="J665" t="s">
        <v>91</v>
      </c>
      <c r="K665">
        <v>488</v>
      </c>
      <c r="L665" t="s">
        <v>83</v>
      </c>
      <c r="M665">
        <v>4</v>
      </c>
      <c r="N665" t="str">
        <f>HYPERLINK("Gene9-zp_tree_all.dnd", "Gene9-tree")</f>
        <v>Gene9-tree</v>
      </c>
      <c r="O665">
        <v>3</v>
      </c>
      <c r="P665">
        <v>1</v>
      </c>
      <c r="Q665">
        <v>3</v>
      </c>
      <c r="R665">
        <v>1</v>
      </c>
      <c r="S665">
        <v>0.25</v>
      </c>
      <c r="T665" t="s">
        <v>84</v>
      </c>
      <c r="U665" t="s">
        <v>61</v>
      </c>
      <c r="V665" t="s">
        <v>62</v>
      </c>
      <c r="W665" t="s">
        <v>62</v>
      </c>
      <c r="X665">
        <v>0</v>
      </c>
      <c r="Y665">
        <v>0</v>
      </c>
      <c r="Z665">
        <v>4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4</v>
      </c>
      <c r="AK665">
        <v>0</v>
      </c>
      <c r="AL665">
        <v>4</v>
      </c>
      <c r="AM665">
        <v>1</v>
      </c>
      <c r="AN665">
        <v>69</v>
      </c>
      <c r="AO665">
        <v>4</v>
      </c>
      <c r="AP665">
        <v>5</v>
      </c>
      <c r="AQ665">
        <v>0</v>
      </c>
      <c r="AR665" t="s">
        <v>92</v>
      </c>
      <c r="AS665" t="s">
        <v>64</v>
      </c>
      <c r="AT665">
        <v>0.41099999999999998</v>
      </c>
      <c r="AU665" t="s">
        <v>65</v>
      </c>
      <c r="AV665">
        <v>74</v>
      </c>
      <c r="AW665">
        <v>4</v>
      </c>
      <c r="AX665" t="s">
        <v>93</v>
      </c>
      <c r="AY665" t="s">
        <v>94</v>
      </c>
      <c r="AZ665" t="s">
        <v>95</v>
      </c>
      <c r="BA665">
        <v>1.478E-2</v>
      </c>
      <c r="BB665">
        <v>1</v>
      </c>
      <c r="BC665" t="s">
        <v>69</v>
      </c>
      <c r="BD665">
        <v>-0.57599999999999996</v>
      </c>
      <c r="BE665">
        <v>-0.57599999999999996</v>
      </c>
    </row>
    <row r="666" spans="1:57">
      <c r="A666">
        <v>0</v>
      </c>
      <c r="B666">
        <v>0</v>
      </c>
      <c r="C666">
        <v>0</v>
      </c>
      <c r="D666">
        <v>3294</v>
      </c>
      <c r="E666" t="s">
        <v>4476</v>
      </c>
      <c r="F666" t="s">
        <v>5762</v>
      </c>
      <c r="G666" t="s">
        <v>62</v>
      </c>
      <c r="H666">
        <v>3259406</v>
      </c>
      <c r="I666">
        <v>3260875</v>
      </c>
      <c r="J666" t="s">
        <v>4477</v>
      </c>
      <c r="K666">
        <v>490</v>
      </c>
      <c r="L666" t="s">
        <v>83</v>
      </c>
      <c r="M666">
        <v>4</v>
      </c>
      <c r="N666" t="str">
        <f>HYPERLINK("Gene3294-zp_tree_all.dnd", "Gene3294-tree")</f>
        <v>Gene3294-tree</v>
      </c>
      <c r="O666">
        <v>3</v>
      </c>
      <c r="P666">
        <v>1</v>
      </c>
      <c r="Q666">
        <v>3</v>
      </c>
      <c r="R666">
        <v>1</v>
      </c>
      <c r="S666">
        <v>0.25</v>
      </c>
      <c r="T666" t="s">
        <v>84</v>
      </c>
      <c r="U666" t="s">
        <v>61</v>
      </c>
      <c r="V666" t="s">
        <v>62</v>
      </c>
      <c r="W666" t="s">
        <v>62</v>
      </c>
      <c r="X666">
        <v>0</v>
      </c>
      <c r="Y666">
        <v>0</v>
      </c>
      <c r="Z666">
        <v>5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5</v>
      </c>
      <c r="AK666">
        <v>0</v>
      </c>
      <c r="AL666">
        <v>4</v>
      </c>
      <c r="AM666">
        <v>1</v>
      </c>
      <c r="AN666">
        <v>83</v>
      </c>
      <c r="AO666">
        <v>5</v>
      </c>
      <c r="AP666">
        <v>3</v>
      </c>
      <c r="AQ666">
        <v>0</v>
      </c>
      <c r="AR666" t="s">
        <v>4478</v>
      </c>
      <c r="AS666" t="s">
        <v>64</v>
      </c>
      <c r="AT666">
        <v>0.43</v>
      </c>
      <c r="AU666" t="s">
        <v>65</v>
      </c>
      <c r="AV666">
        <v>86</v>
      </c>
      <c r="AW666">
        <v>5</v>
      </c>
      <c r="AX666" t="s">
        <v>4479</v>
      </c>
      <c r="AY666" t="s">
        <v>4480</v>
      </c>
      <c r="AZ666" t="s">
        <v>4481</v>
      </c>
      <c r="BA666">
        <v>1.4200000000000001E-2</v>
      </c>
      <c r="BB666">
        <v>1</v>
      </c>
      <c r="BC666" t="s">
        <v>69</v>
      </c>
      <c r="BD666">
        <v>-0.69199999999999995</v>
      </c>
      <c r="BE666">
        <v>-0.79900000000000004</v>
      </c>
    </row>
    <row r="667" spans="1:57">
      <c r="A667">
        <v>0</v>
      </c>
      <c r="B667">
        <v>0</v>
      </c>
      <c r="C667">
        <v>0</v>
      </c>
      <c r="D667">
        <v>2374</v>
      </c>
      <c r="E667" t="s">
        <v>3098</v>
      </c>
      <c r="F667" t="s">
        <v>5762</v>
      </c>
      <c r="G667" t="s">
        <v>62</v>
      </c>
      <c r="H667">
        <v>2386198</v>
      </c>
      <c r="I667">
        <v>2387673</v>
      </c>
      <c r="J667" t="s">
        <v>3099</v>
      </c>
      <c r="K667">
        <v>492</v>
      </c>
      <c r="L667" t="s">
        <v>59</v>
      </c>
      <c r="M667">
        <v>5</v>
      </c>
      <c r="N667" t="str">
        <f>HYPERLINK("Gene2374-zp_tree_all.dnd", "Gene2374-tree")</f>
        <v>Gene2374-tree</v>
      </c>
      <c r="O667">
        <v>4</v>
      </c>
      <c r="P667">
        <v>1</v>
      </c>
      <c r="Q667">
        <v>4</v>
      </c>
      <c r="R667">
        <v>1</v>
      </c>
      <c r="S667">
        <v>0.2</v>
      </c>
      <c r="T667" t="s">
        <v>60</v>
      </c>
      <c r="U667" t="s">
        <v>61</v>
      </c>
      <c r="V667" t="s">
        <v>62</v>
      </c>
      <c r="W667" t="s">
        <v>62</v>
      </c>
      <c r="X667">
        <v>0</v>
      </c>
      <c r="Y667">
        <v>0</v>
      </c>
      <c r="Z667">
        <v>4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1</v>
      </c>
      <c r="AK667">
        <v>0</v>
      </c>
      <c r="AL667">
        <v>5</v>
      </c>
      <c r="AM667">
        <v>2</v>
      </c>
      <c r="AN667">
        <v>34</v>
      </c>
      <c r="AO667">
        <v>1</v>
      </c>
      <c r="AP667">
        <v>50</v>
      </c>
      <c r="AQ667">
        <v>3</v>
      </c>
      <c r="AR667" t="s">
        <v>3100</v>
      </c>
      <c r="AS667" t="s">
        <v>3101</v>
      </c>
      <c r="AT667">
        <v>0.379</v>
      </c>
      <c r="AU667" t="s">
        <v>65</v>
      </c>
      <c r="AV667">
        <v>84</v>
      </c>
      <c r="AW667">
        <v>4</v>
      </c>
      <c r="AX667" t="s">
        <v>3102</v>
      </c>
      <c r="AY667" t="s">
        <v>3103</v>
      </c>
      <c r="AZ667" t="s">
        <v>3104</v>
      </c>
      <c r="BA667">
        <v>1.3299999999999999E-2</v>
      </c>
      <c r="BB667">
        <v>1</v>
      </c>
      <c r="BC667" t="s">
        <v>69</v>
      </c>
      <c r="BD667">
        <v>0.84299999999999997</v>
      </c>
      <c r="BE667">
        <v>0.65500000000000003</v>
      </c>
    </row>
    <row r="668" spans="1:57">
      <c r="A668">
        <v>0</v>
      </c>
      <c r="B668">
        <v>0</v>
      </c>
      <c r="C668">
        <v>0</v>
      </c>
      <c r="D668">
        <v>467</v>
      </c>
      <c r="E668" t="s">
        <v>940</v>
      </c>
      <c r="F668" t="s">
        <v>5762</v>
      </c>
      <c r="G668" t="s">
        <v>57</v>
      </c>
      <c r="H668">
        <v>511157</v>
      </c>
      <c r="I668">
        <v>512638</v>
      </c>
      <c r="J668" t="s">
        <v>941</v>
      </c>
      <c r="K668">
        <v>494</v>
      </c>
      <c r="L668" t="s">
        <v>59</v>
      </c>
      <c r="M668">
        <v>5</v>
      </c>
      <c r="N668" t="str">
        <f>HYPERLINK("Gene467-zp_tree_all.dnd", "Gene467-tree")</f>
        <v>Gene467-tree</v>
      </c>
      <c r="O668">
        <v>3</v>
      </c>
      <c r="P668">
        <v>2</v>
      </c>
      <c r="Q668">
        <v>2</v>
      </c>
      <c r="R668">
        <v>2</v>
      </c>
      <c r="S668">
        <v>0.5</v>
      </c>
      <c r="T668" t="s">
        <v>217</v>
      </c>
      <c r="U668" t="s">
        <v>135</v>
      </c>
      <c r="V668" t="s">
        <v>62</v>
      </c>
      <c r="W668" t="s">
        <v>62</v>
      </c>
      <c r="X668">
        <v>0</v>
      </c>
      <c r="Y668">
        <v>0</v>
      </c>
      <c r="Z668">
        <v>6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4</v>
      </c>
      <c r="AK668">
        <v>0</v>
      </c>
      <c r="AL668">
        <v>4</v>
      </c>
      <c r="AM668">
        <v>1</v>
      </c>
      <c r="AN668">
        <v>62</v>
      </c>
      <c r="AO668">
        <v>4</v>
      </c>
      <c r="AP668">
        <v>22</v>
      </c>
      <c r="AQ668">
        <v>2</v>
      </c>
      <c r="AR668" t="s">
        <v>942</v>
      </c>
      <c r="AS668" t="s">
        <v>943</v>
      </c>
      <c r="AT668">
        <v>0.36399999999999999</v>
      </c>
      <c r="AU668" t="s">
        <v>65</v>
      </c>
      <c r="AV668">
        <v>84</v>
      </c>
      <c r="AW668">
        <v>6</v>
      </c>
      <c r="AX668" t="s">
        <v>944</v>
      </c>
      <c r="AY668" t="s">
        <v>945</v>
      </c>
      <c r="AZ668" t="s">
        <v>946</v>
      </c>
      <c r="BA668">
        <v>2.138E-2</v>
      </c>
      <c r="BB668">
        <v>1</v>
      </c>
      <c r="BC668" t="s">
        <v>69</v>
      </c>
      <c r="BD668">
        <v>-1.2E-2</v>
      </c>
      <c r="BE668">
        <v>-0.30099999999999999</v>
      </c>
    </row>
    <row r="669" spans="1:57">
      <c r="A669">
        <v>0</v>
      </c>
      <c r="B669">
        <v>0</v>
      </c>
      <c r="C669">
        <v>0</v>
      </c>
      <c r="D669">
        <v>82</v>
      </c>
      <c r="E669" t="s">
        <v>302</v>
      </c>
      <c r="F669" t="s">
        <v>5762</v>
      </c>
      <c r="G669" t="s">
        <v>57</v>
      </c>
      <c r="H669">
        <v>88727</v>
      </c>
      <c r="I669">
        <v>90223</v>
      </c>
      <c r="J669" t="s">
        <v>303</v>
      </c>
      <c r="K669">
        <v>499</v>
      </c>
      <c r="L669" t="s">
        <v>59</v>
      </c>
      <c r="M669">
        <v>5</v>
      </c>
      <c r="N669" t="str">
        <f>HYPERLINK("Gene82-zp_tree_all.dnd", "Gene82-tree")</f>
        <v>Gene82-tree</v>
      </c>
      <c r="O669">
        <v>3</v>
      </c>
      <c r="P669">
        <v>2</v>
      </c>
      <c r="Q669">
        <v>3</v>
      </c>
      <c r="R669">
        <v>2</v>
      </c>
      <c r="S669">
        <v>0.4</v>
      </c>
      <c r="T669" t="s">
        <v>84</v>
      </c>
      <c r="U669" t="s">
        <v>135</v>
      </c>
      <c r="V669" t="s">
        <v>62</v>
      </c>
      <c r="W669" t="s">
        <v>62</v>
      </c>
      <c r="X669">
        <v>0</v>
      </c>
      <c r="Y669">
        <v>0</v>
      </c>
      <c r="Z669">
        <v>3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2</v>
      </c>
      <c r="AK669">
        <v>0</v>
      </c>
      <c r="AL669">
        <v>5</v>
      </c>
      <c r="AM669">
        <v>2</v>
      </c>
      <c r="AN669">
        <v>38</v>
      </c>
      <c r="AO669">
        <v>2</v>
      </c>
      <c r="AP669">
        <v>49</v>
      </c>
      <c r="AQ669">
        <v>1</v>
      </c>
      <c r="AR669" t="s">
        <v>304</v>
      </c>
      <c r="AS669" t="s">
        <v>305</v>
      </c>
      <c r="AT669">
        <v>0.57599999999999996</v>
      </c>
      <c r="AU669" t="s">
        <v>65</v>
      </c>
      <c r="AV669">
        <v>87</v>
      </c>
      <c r="AW669">
        <v>3</v>
      </c>
      <c r="AX669" t="s">
        <v>306</v>
      </c>
      <c r="AY669" t="s">
        <v>307</v>
      </c>
      <c r="AZ669" t="s">
        <v>308</v>
      </c>
      <c r="BA669">
        <v>8.0300000000000007E-3</v>
      </c>
      <c r="BB669">
        <v>1</v>
      </c>
      <c r="BC669" t="s">
        <v>69</v>
      </c>
      <c r="BD669">
        <v>0.66600000000000004</v>
      </c>
      <c r="BE669">
        <v>0.39</v>
      </c>
    </row>
    <row r="670" spans="1:57">
      <c r="A670">
        <v>0</v>
      </c>
      <c r="B670">
        <v>0</v>
      </c>
      <c r="C670">
        <v>0</v>
      </c>
      <c r="D670">
        <v>747</v>
      </c>
      <c r="E670" t="s">
        <v>1202</v>
      </c>
      <c r="F670" t="s">
        <v>5762</v>
      </c>
      <c r="G670" t="s">
        <v>57</v>
      </c>
      <c r="H670">
        <v>779529</v>
      </c>
      <c r="I670">
        <v>781034</v>
      </c>
      <c r="J670" t="s">
        <v>1203</v>
      </c>
      <c r="K670">
        <v>502</v>
      </c>
      <c r="L670" t="s">
        <v>59</v>
      </c>
      <c r="M670">
        <v>5</v>
      </c>
      <c r="N670" t="str">
        <f>HYPERLINK("Gene747-zp_tree_all.dnd", "Gene747-tree")</f>
        <v>Gene747-tree</v>
      </c>
      <c r="O670">
        <v>0</v>
      </c>
      <c r="P670">
        <v>5</v>
      </c>
      <c r="Q670">
        <v>0</v>
      </c>
      <c r="R670">
        <v>5</v>
      </c>
      <c r="S670">
        <v>1</v>
      </c>
      <c r="T670" t="s">
        <v>62</v>
      </c>
      <c r="U670" t="s">
        <v>98</v>
      </c>
      <c r="V670" t="s">
        <v>62</v>
      </c>
      <c r="W670" t="s">
        <v>62</v>
      </c>
      <c r="X670">
        <v>0</v>
      </c>
      <c r="Y670">
        <v>0</v>
      </c>
      <c r="Z670">
        <v>22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10</v>
      </c>
      <c r="AK670">
        <v>0</v>
      </c>
      <c r="AL670">
        <v>4</v>
      </c>
      <c r="AM670">
        <v>2</v>
      </c>
      <c r="AN670">
        <v>29</v>
      </c>
      <c r="AO670">
        <v>10</v>
      </c>
      <c r="AP670">
        <v>37</v>
      </c>
      <c r="AQ670">
        <v>12</v>
      </c>
      <c r="AR670" t="s">
        <v>1204</v>
      </c>
      <c r="AS670" t="s">
        <v>1205</v>
      </c>
      <c r="AT670">
        <v>0.13100000000000001</v>
      </c>
      <c r="AU670" t="s">
        <v>65</v>
      </c>
      <c r="AV670">
        <v>66</v>
      </c>
      <c r="AW670">
        <v>22</v>
      </c>
      <c r="AX670" t="s">
        <v>1206</v>
      </c>
      <c r="AY670" t="s">
        <v>1207</v>
      </c>
      <c r="AZ670" t="s">
        <v>1208</v>
      </c>
      <c r="BA670">
        <v>8.4860000000000005E-2</v>
      </c>
      <c r="BB670">
        <v>1</v>
      </c>
      <c r="BC670" t="s">
        <v>69</v>
      </c>
      <c r="BD670">
        <v>0.55500000000000005</v>
      </c>
      <c r="BE670">
        <v>0.39</v>
      </c>
    </row>
    <row r="671" spans="1:57">
      <c r="A671">
        <v>0</v>
      </c>
      <c r="B671">
        <v>2</v>
      </c>
      <c r="C671">
        <v>0</v>
      </c>
      <c r="D671">
        <v>3818</v>
      </c>
      <c r="E671" t="s">
        <v>5128</v>
      </c>
      <c r="F671" t="s">
        <v>5762</v>
      </c>
      <c r="G671" t="s">
        <v>62</v>
      </c>
      <c r="H671">
        <v>3783881</v>
      </c>
      <c r="I671">
        <v>3785386</v>
      </c>
      <c r="J671" t="s">
        <v>5129</v>
      </c>
      <c r="K671">
        <v>502</v>
      </c>
      <c r="L671" t="s">
        <v>59</v>
      </c>
      <c r="M671">
        <v>5</v>
      </c>
      <c r="N671" t="str">
        <f>HYPERLINK("Gene3818-zp_tree_all.dnd", "Gene3818-tree")</f>
        <v>Gene3818-tree</v>
      </c>
      <c r="O671">
        <v>2</v>
      </c>
      <c r="P671">
        <v>3</v>
      </c>
      <c r="Q671">
        <v>2</v>
      </c>
      <c r="R671">
        <v>3</v>
      </c>
      <c r="S671">
        <v>0.6</v>
      </c>
      <c r="T671" t="s">
        <v>135</v>
      </c>
      <c r="U671" t="s">
        <v>84</v>
      </c>
      <c r="V671" t="s">
        <v>62</v>
      </c>
      <c r="W671" t="s">
        <v>62</v>
      </c>
      <c r="X671">
        <v>1</v>
      </c>
      <c r="Y671">
        <v>2</v>
      </c>
      <c r="Z671">
        <v>2</v>
      </c>
      <c r="AA671">
        <v>0.5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2</v>
      </c>
      <c r="AH671">
        <v>0</v>
      </c>
      <c r="AI671">
        <v>2</v>
      </c>
      <c r="AJ671">
        <v>1</v>
      </c>
      <c r="AK671">
        <v>0.66666999999999998</v>
      </c>
      <c r="AL671">
        <v>5</v>
      </c>
      <c r="AM671">
        <v>2</v>
      </c>
      <c r="AN671">
        <v>28</v>
      </c>
      <c r="AO671">
        <v>3</v>
      </c>
      <c r="AP671">
        <v>31</v>
      </c>
      <c r="AQ671">
        <v>1</v>
      </c>
      <c r="AR671" t="s">
        <v>5130</v>
      </c>
      <c r="AS671" t="s">
        <v>5131</v>
      </c>
      <c r="AT671">
        <v>1.494</v>
      </c>
      <c r="AU671" t="s">
        <v>65</v>
      </c>
      <c r="AV671">
        <v>59</v>
      </c>
      <c r="AW671">
        <v>4</v>
      </c>
      <c r="AX671" t="s">
        <v>5132</v>
      </c>
      <c r="AY671" t="s">
        <v>5133</v>
      </c>
      <c r="AZ671" t="s">
        <v>5134</v>
      </c>
      <c r="BA671">
        <v>1.6990000000000002E-2</v>
      </c>
      <c r="BB671">
        <v>1</v>
      </c>
      <c r="BC671" t="s">
        <v>69</v>
      </c>
      <c r="BD671">
        <v>0.77700000000000002</v>
      </c>
      <c r="BE671">
        <v>0.53200000000000003</v>
      </c>
    </row>
    <row r="672" spans="1:57">
      <c r="A672">
        <v>0</v>
      </c>
      <c r="B672">
        <v>0</v>
      </c>
      <c r="C672">
        <v>0</v>
      </c>
      <c r="D672">
        <v>3217</v>
      </c>
      <c r="E672" t="s">
        <v>4362</v>
      </c>
      <c r="F672" t="s">
        <v>5762</v>
      </c>
      <c r="G672" t="s">
        <v>62</v>
      </c>
      <c r="H672">
        <v>3180468</v>
      </c>
      <c r="I672">
        <v>3181994</v>
      </c>
      <c r="J672" t="s">
        <v>4363</v>
      </c>
      <c r="K672">
        <v>509</v>
      </c>
      <c r="L672" t="s">
        <v>112</v>
      </c>
      <c r="M672">
        <v>4</v>
      </c>
      <c r="N672" t="str">
        <f>HYPERLINK("Gene3217-zp_tree_all.dnd", "Gene3217-tree")</f>
        <v>Gene3217-tree</v>
      </c>
      <c r="O672">
        <v>1</v>
      </c>
      <c r="P672">
        <v>3</v>
      </c>
      <c r="Q672">
        <v>1</v>
      </c>
      <c r="R672">
        <v>3</v>
      </c>
      <c r="S672">
        <v>0.75</v>
      </c>
      <c r="T672" t="s">
        <v>61</v>
      </c>
      <c r="U672" t="s">
        <v>84</v>
      </c>
      <c r="V672" t="s">
        <v>62</v>
      </c>
      <c r="W672" t="s">
        <v>62</v>
      </c>
      <c r="X672">
        <v>0</v>
      </c>
      <c r="Y672">
        <v>0</v>
      </c>
      <c r="Z672">
        <v>8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8</v>
      </c>
      <c r="AK672">
        <v>0</v>
      </c>
      <c r="AL672">
        <v>4</v>
      </c>
      <c r="AM672">
        <v>1</v>
      </c>
      <c r="AN672">
        <v>93</v>
      </c>
      <c r="AO672">
        <v>8</v>
      </c>
      <c r="AP672">
        <v>7</v>
      </c>
      <c r="AQ672">
        <v>0</v>
      </c>
      <c r="AR672" t="s">
        <v>4364</v>
      </c>
      <c r="AS672" t="s">
        <v>64</v>
      </c>
      <c r="AT672">
        <v>1.167</v>
      </c>
      <c r="AU672" t="s">
        <v>65</v>
      </c>
      <c r="AV672">
        <v>100</v>
      </c>
      <c r="AW672">
        <v>8</v>
      </c>
      <c r="AX672" t="s">
        <v>4365</v>
      </c>
      <c r="AY672" t="s">
        <v>4366</v>
      </c>
      <c r="AZ672" t="s">
        <v>4367</v>
      </c>
      <c r="BA672">
        <v>2.1520000000000001E-2</v>
      </c>
      <c r="BB672">
        <v>1</v>
      </c>
      <c r="BC672" t="s">
        <v>69</v>
      </c>
      <c r="BD672">
        <v>-0.246</v>
      </c>
      <c r="BE672">
        <v>-0.443</v>
      </c>
    </row>
    <row r="673" spans="1:57">
      <c r="A673">
        <v>0</v>
      </c>
      <c r="B673">
        <v>0</v>
      </c>
      <c r="C673">
        <v>2</v>
      </c>
      <c r="D673">
        <v>1762</v>
      </c>
      <c r="E673" t="s">
        <v>2680</v>
      </c>
      <c r="F673" t="s">
        <v>5762</v>
      </c>
      <c r="G673" t="s">
        <v>57</v>
      </c>
      <c r="H673">
        <v>1772843</v>
      </c>
      <c r="I673">
        <v>1774369</v>
      </c>
      <c r="J673" t="s">
        <v>2681</v>
      </c>
      <c r="K673">
        <v>509</v>
      </c>
      <c r="L673" t="s">
        <v>59</v>
      </c>
      <c r="M673">
        <v>5</v>
      </c>
      <c r="N673" t="str">
        <f>HYPERLINK("Gene1762-zp_tree_all.dnd", "Gene1762-tree")</f>
        <v>Gene1762-tree</v>
      </c>
      <c r="O673">
        <v>3</v>
      </c>
      <c r="P673">
        <v>2</v>
      </c>
      <c r="Q673">
        <v>3</v>
      </c>
      <c r="R673">
        <v>2</v>
      </c>
      <c r="S673">
        <v>0.4</v>
      </c>
      <c r="T673" t="s">
        <v>84</v>
      </c>
      <c r="U673" t="s">
        <v>135</v>
      </c>
      <c r="V673" t="s">
        <v>62</v>
      </c>
      <c r="W673" t="s">
        <v>62</v>
      </c>
      <c r="X673">
        <v>1</v>
      </c>
      <c r="Y673">
        <v>2</v>
      </c>
      <c r="Z673">
        <v>3</v>
      </c>
      <c r="AA673">
        <v>0.4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2</v>
      </c>
      <c r="AK673">
        <v>0</v>
      </c>
      <c r="AL673">
        <v>5</v>
      </c>
      <c r="AM673">
        <v>2</v>
      </c>
      <c r="AN673">
        <v>45</v>
      </c>
      <c r="AO673">
        <v>2</v>
      </c>
      <c r="AP673">
        <v>42</v>
      </c>
      <c r="AQ673">
        <v>3</v>
      </c>
      <c r="AR673" t="s">
        <v>2682</v>
      </c>
      <c r="AS673" t="s">
        <v>2683</v>
      </c>
      <c r="AT673">
        <v>0.46300000000000002</v>
      </c>
      <c r="AU673" t="s">
        <v>65</v>
      </c>
      <c r="AV673">
        <v>87</v>
      </c>
      <c r="AW673">
        <v>5</v>
      </c>
      <c r="AX673" t="s">
        <v>2684</v>
      </c>
      <c r="AY673" t="s">
        <v>2685</v>
      </c>
      <c r="AZ673" t="s">
        <v>2686</v>
      </c>
      <c r="BA673">
        <v>1.601E-2</v>
      </c>
      <c r="BB673">
        <v>1</v>
      </c>
      <c r="BC673" t="s">
        <v>69</v>
      </c>
      <c r="BD673">
        <v>0.502</v>
      </c>
      <c r="BE673">
        <v>0.33500000000000002</v>
      </c>
    </row>
    <row r="674" spans="1:57">
      <c r="A674">
        <v>0</v>
      </c>
      <c r="B674">
        <v>2</v>
      </c>
      <c r="C674">
        <v>0</v>
      </c>
      <c r="D674">
        <v>3518</v>
      </c>
      <c r="E674" t="s">
        <v>4820</v>
      </c>
      <c r="F674" t="s">
        <v>5762</v>
      </c>
      <c r="G674" t="s">
        <v>62</v>
      </c>
      <c r="H674">
        <v>3477880</v>
      </c>
      <c r="I674">
        <v>3479412</v>
      </c>
      <c r="J674" t="s">
        <v>4821</v>
      </c>
      <c r="K674">
        <v>511</v>
      </c>
      <c r="L674" t="s">
        <v>59</v>
      </c>
      <c r="M674">
        <v>5</v>
      </c>
      <c r="N674" t="str">
        <f>HYPERLINK("Gene3518-zp_tree_all.dnd", "Gene3518-tree")</f>
        <v>Gene3518-tree</v>
      </c>
      <c r="O674">
        <v>3</v>
      </c>
      <c r="P674">
        <v>2</v>
      </c>
      <c r="Q674">
        <v>3</v>
      </c>
      <c r="R674">
        <v>2</v>
      </c>
      <c r="S674">
        <v>0.4</v>
      </c>
      <c r="T674" t="s">
        <v>84</v>
      </c>
      <c r="U674" t="s">
        <v>135</v>
      </c>
      <c r="V674" t="s">
        <v>62</v>
      </c>
      <c r="W674" t="s">
        <v>62</v>
      </c>
      <c r="X674">
        <v>1</v>
      </c>
      <c r="Y674">
        <v>2</v>
      </c>
      <c r="Z674">
        <v>12</v>
      </c>
      <c r="AA674">
        <v>0.14285999999999999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6</v>
      </c>
      <c r="AK674">
        <v>0</v>
      </c>
      <c r="AL674">
        <v>5</v>
      </c>
      <c r="AM674">
        <v>2</v>
      </c>
      <c r="AN674">
        <v>47</v>
      </c>
      <c r="AO674">
        <v>6</v>
      </c>
      <c r="AP674">
        <v>44</v>
      </c>
      <c r="AQ674">
        <v>8</v>
      </c>
      <c r="AR674" t="s">
        <v>4822</v>
      </c>
      <c r="AS674" t="s">
        <v>4823</v>
      </c>
      <c r="AT674">
        <v>0.26200000000000001</v>
      </c>
      <c r="AU674" t="s">
        <v>65</v>
      </c>
      <c r="AV674">
        <v>91</v>
      </c>
      <c r="AW674">
        <v>14</v>
      </c>
      <c r="AX674" t="s">
        <v>4824</v>
      </c>
      <c r="AY674" t="s">
        <v>4825</v>
      </c>
      <c r="AZ674" t="s">
        <v>4826</v>
      </c>
      <c r="BA674">
        <v>4.326E-2</v>
      </c>
      <c r="BB674">
        <v>1</v>
      </c>
      <c r="BC674" t="s">
        <v>69</v>
      </c>
      <c r="BD674">
        <v>0.379</v>
      </c>
      <c r="BE674">
        <v>0.23799999999999999</v>
      </c>
    </row>
    <row r="675" spans="1:57">
      <c r="A675">
        <v>0</v>
      </c>
      <c r="B675">
        <v>2</v>
      </c>
      <c r="C675">
        <v>0</v>
      </c>
      <c r="D675">
        <v>670</v>
      </c>
      <c r="E675" t="s">
        <v>1074</v>
      </c>
      <c r="F675" t="s">
        <v>5762</v>
      </c>
      <c r="G675" t="s">
        <v>57</v>
      </c>
      <c r="H675">
        <v>692740</v>
      </c>
      <c r="I675">
        <v>694278</v>
      </c>
      <c r="J675" t="s">
        <v>1075</v>
      </c>
      <c r="K675">
        <v>513</v>
      </c>
      <c r="L675" t="s">
        <v>59</v>
      </c>
      <c r="M675">
        <v>5</v>
      </c>
      <c r="N675" t="str">
        <f>HYPERLINK("Gene670-zp_tree_all.dnd", "Gene670-tree")</f>
        <v>Gene670-tree</v>
      </c>
      <c r="O675">
        <v>2</v>
      </c>
      <c r="P675">
        <v>3</v>
      </c>
      <c r="Q675">
        <v>2</v>
      </c>
      <c r="R675">
        <v>3</v>
      </c>
      <c r="S675">
        <v>0.6</v>
      </c>
      <c r="T675" t="s">
        <v>135</v>
      </c>
      <c r="U675" t="s">
        <v>84</v>
      </c>
      <c r="V675" t="s">
        <v>62</v>
      </c>
      <c r="W675" t="s">
        <v>62</v>
      </c>
      <c r="X675">
        <v>1</v>
      </c>
      <c r="Y675">
        <v>2</v>
      </c>
      <c r="Z675">
        <v>8</v>
      </c>
      <c r="AA675">
        <v>0.2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2</v>
      </c>
      <c r="AH675">
        <v>0</v>
      </c>
      <c r="AI675">
        <v>2</v>
      </c>
      <c r="AJ675">
        <v>4</v>
      </c>
      <c r="AK675">
        <v>0.33333000000000002</v>
      </c>
      <c r="AL675">
        <v>5</v>
      </c>
      <c r="AM675">
        <v>2</v>
      </c>
      <c r="AN675">
        <v>29</v>
      </c>
      <c r="AO675">
        <v>6</v>
      </c>
      <c r="AP675">
        <v>34</v>
      </c>
      <c r="AQ675">
        <v>4</v>
      </c>
      <c r="AR675" t="s">
        <v>1076</v>
      </c>
      <c r="AS675" t="s">
        <v>1077</v>
      </c>
      <c r="AT675">
        <v>0.58399999999999996</v>
      </c>
      <c r="AU675" t="s">
        <v>65</v>
      </c>
      <c r="AV675">
        <v>63</v>
      </c>
      <c r="AW675">
        <v>10</v>
      </c>
      <c r="AX675" t="s">
        <v>1078</v>
      </c>
      <c r="AY675" t="s">
        <v>1079</v>
      </c>
      <c r="AZ675" t="s">
        <v>1080</v>
      </c>
      <c r="BA675">
        <v>3.9989999999999998E-2</v>
      </c>
      <c r="BB675">
        <v>1</v>
      </c>
      <c r="BC675" t="s">
        <v>69</v>
      </c>
      <c r="BD675">
        <v>0.57099999999999995</v>
      </c>
      <c r="BE675">
        <v>0.45500000000000002</v>
      </c>
    </row>
    <row r="676" spans="1:57">
      <c r="A676">
        <v>0</v>
      </c>
      <c r="B676">
        <v>0</v>
      </c>
      <c r="C676">
        <v>0</v>
      </c>
      <c r="D676">
        <v>959</v>
      </c>
      <c r="E676" t="s">
        <v>1408</v>
      </c>
      <c r="F676" t="s">
        <v>5762</v>
      </c>
      <c r="G676" t="s">
        <v>57</v>
      </c>
      <c r="H676">
        <v>998402</v>
      </c>
      <c r="I676">
        <v>999940</v>
      </c>
      <c r="J676" t="s">
        <v>1409</v>
      </c>
      <c r="K676">
        <v>513</v>
      </c>
      <c r="L676" t="s">
        <v>83</v>
      </c>
      <c r="M676">
        <v>4</v>
      </c>
      <c r="N676" t="str">
        <f>HYPERLINK("Gene959-zp_tree_all.dnd", "Gene959-tree")</f>
        <v>Gene959-tree</v>
      </c>
      <c r="O676">
        <v>3</v>
      </c>
      <c r="P676">
        <v>1</v>
      </c>
      <c r="Q676">
        <v>3</v>
      </c>
      <c r="R676">
        <v>1</v>
      </c>
      <c r="S676">
        <v>0.25</v>
      </c>
      <c r="T676" t="s">
        <v>84</v>
      </c>
      <c r="U676" t="s">
        <v>61</v>
      </c>
      <c r="V676" t="s">
        <v>62</v>
      </c>
      <c r="W676" t="s">
        <v>62</v>
      </c>
      <c r="X676">
        <v>0</v>
      </c>
      <c r="Y676">
        <v>0</v>
      </c>
      <c r="Z676">
        <v>3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3</v>
      </c>
      <c r="AK676">
        <v>0</v>
      </c>
      <c r="AL676">
        <v>4</v>
      </c>
      <c r="AM676">
        <v>0</v>
      </c>
      <c r="AN676">
        <v>76</v>
      </c>
      <c r="AO676">
        <v>3</v>
      </c>
      <c r="AP676">
        <v>0</v>
      </c>
      <c r="AQ676">
        <v>0</v>
      </c>
      <c r="AR676" t="s">
        <v>1410</v>
      </c>
      <c r="AS676" t="s">
        <v>64</v>
      </c>
      <c r="AT676">
        <v>0.52</v>
      </c>
      <c r="AU676" t="s">
        <v>65</v>
      </c>
      <c r="AV676">
        <v>76</v>
      </c>
      <c r="AW676">
        <v>3</v>
      </c>
      <c r="AX676" t="s">
        <v>1411</v>
      </c>
      <c r="AY676" t="s">
        <v>1412</v>
      </c>
      <c r="AZ676" t="s">
        <v>1413</v>
      </c>
      <c r="BA676">
        <v>1.0580000000000001E-2</v>
      </c>
      <c r="BB676">
        <v>1</v>
      </c>
      <c r="BC676" t="s">
        <v>69</v>
      </c>
      <c r="BD676">
        <v>-0.47099999999999997</v>
      </c>
      <c r="BE676">
        <v>-0.87</v>
      </c>
    </row>
    <row r="677" spans="1:57">
      <c r="A677">
        <v>0</v>
      </c>
      <c r="B677">
        <v>0</v>
      </c>
      <c r="C677">
        <v>0</v>
      </c>
      <c r="D677">
        <v>1757</v>
      </c>
      <c r="E677" t="s">
        <v>2672</v>
      </c>
      <c r="F677" t="s">
        <v>5762</v>
      </c>
      <c r="G677" t="s">
        <v>57</v>
      </c>
      <c r="H677">
        <v>1767310</v>
      </c>
      <c r="I677">
        <v>1768869</v>
      </c>
      <c r="J677" t="s">
        <v>2673</v>
      </c>
      <c r="K677">
        <v>520</v>
      </c>
      <c r="L677" t="s">
        <v>59</v>
      </c>
      <c r="M677">
        <v>5</v>
      </c>
      <c r="N677" t="str">
        <f>HYPERLINK("Gene1757-zp_tree_all.dnd", "Gene1757-tree")</f>
        <v>Gene1757-tree</v>
      </c>
      <c r="O677">
        <v>5</v>
      </c>
      <c r="P677">
        <v>0</v>
      </c>
      <c r="Q677">
        <v>5</v>
      </c>
      <c r="R677">
        <v>0</v>
      </c>
      <c r="S677">
        <v>0</v>
      </c>
      <c r="T677" t="s">
        <v>98</v>
      </c>
      <c r="U677" t="s">
        <v>62</v>
      </c>
      <c r="V677" t="s">
        <v>62</v>
      </c>
      <c r="W677" t="s">
        <v>62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4</v>
      </c>
      <c r="AM677">
        <v>1</v>
      </c>
      <c r="AN677">
        <v>20</v>
      </c>
      <c r="AO677">
        <v>0</v>
      </c>
      <c r="AP677">
        <v>13</v>
      </c>
      <c r="AQ677">
        <v>0</v>
      </c>
      <c r="AR677" t="s">
        <v>64</v>
      </c>
      <c r="AS677" t="s">
        <v>64</v>
      </c>
      <c r="AT677">
        <v>0</v>
      </c>
      <c r="AU677" t="s">
        <v>65</v>
      </c>
      <c r="AV677">
        <v>33</v>
      </c>
      <c r="AW677">
        <v>0</v>
      </c>
      <c r="AX677" t="s">
        <v>2674</v>
      </c>
      <c r="AY677" t="s">
        <v>2675</v>
      </c>
      <c r="AZ677" t="s">
        <v>64</v>
      </c>
      <c r="BA677">
        <v>0</v>
      </c>
      <c r="BB677">
        <v>1</v>
      </c>
      <c r="BC677" t="s">
        <v>69</v>
      </c>
      <c r="BD677">
        <v>0.11700000000000001</v>
      </c>
      <c r="BE677">
        <v>0.11700000000000001</v>
      </c>
    </row>
    <row r="678" spans="1:57">
      <c r="A678">
        <v>0</v>
      </c>
      <c r="B678">
        <v>0</v>
      </c>
      <c r="C678">
        <v>0</v>
      </c>
      <c r="D678">
        <v>1500</v>
      </c>
      <c r="E678" t="s">
        <v>1994</v>
      </c>
      <c r="F678" t="s">
        <v>5762</v>
      </c>
      <c r="G678" t="s">
        <v>57</v>
      </c>
      <c r="H678">
        <v>1512373</v>
      </c>
      <c r="I678">
        <v>1513992</v>
      </c>
      <c r="J678" t="s">
        <v>1995</v>
      </c>
      <c r="K678">
        <v>540</v>
      </c>
      <c r="L678" t="s">
        <v>83</v>
      </c>
      <c r="M678">
        <v>4</v>
      </c>
      <c r="N678" t="str">
        <f>HYPERLINK("Gene1500-zp_tree_all.dnd", "Gene1500-tree")</f>
        <v>Gene1500-tree</v>
      </c>
      <c r="O678">
        <v>2</v>
      </c>
      <c r="P678">
        <v>2</v>
      </c>
      <c r="Q678">
        <v>2</v>
      </c>
      <c r="R678">
        <v>2</v>
      </c>
      <c r="S678">
        <v>0.5</v>
      </c>
      <c r="T678" t="s">
        <v>135</v>
      </c>
      <c r="U678" t="s">
        <v>135</v>
      </c>
      <c r="V678" t="s">
        <v>62</v>
      </c>
      <c r="W678" t="s">
        <v>62</v>
      </c>
      <c r="X678">
        <v>0</v>
      </c>
      <c r="Y678">
        <v>0</v>
      </c>
      <c r="Z678">
        <v>4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4</v>
      </c>
      <c r="AK678">
        <v>0</v>
      </c>
      <c r="AL678">
        <v>4</v>
      </c>
      <c r="AM678">
        <v>1</v>
      </c>
      <c r="AN678">
        <v>77</v>
      </c>
      <c r="AO678">
        <v>5</v>
      </c>
      <c r="AP678">
        <v>10</v>
      </c>
      <c r="AQ678">
        <v>0</v>
      </c>
      <c r="AR678" t="s">
        <v>1996</v>
      </c>
      <c r="AS678" t="s">
        <v>64</v>
      </c>
      <c r="AT678">
        <v>0.53800000000000003</v>
      </c>
      <c r="AU678" t="s">
        <v>65</v>
      </c>
      <c r="AV678">
        <v>87</v>
      </c>
      <c r="AW678">
        <v>5</v>
      </c>
      <c r="AX678" t="s">
        <v>1997</v>
      </c>
      <c r="AY678" t="s">
        <v>1998</v>
      </c>
      <c r="AZ678" t="s">
        <v>1999</v>
      </c>
      <c r="BA678">
        <v>1.3979999999999999E-2</v>
      </c>
      <c r="BB678">
        <v>1</v>
      </c>
      <c r="BC678" t="s">
        <v>69</v>
      </c>
      <c r="BD678">
        <v>-0.28499999999999998</v>
      </c>
      <c r="BE678">
        <v>-0.65600000000000003</v>
      </c>
    </row>
    <row r="679" spans="1:57">
      <c r="A679">
        <v>0</v>
      </c>
      <c r="B679">
        <v>0</v>
      </c>
      <c r="C679">
        <v>0</v>
      </c>
      <c r="D679">
        <v>622</v>
      </c>
      <c r="E679" t="s">
        <v>1061</v>
      </c>
      <c r="F679" t="s">
        <v>5762</v>
      </c>
      <c r="G679" t="s">
        <v>57</v>
      </c>
      <c r="H679">
        <v>650234</v>
      </c>
      <c r="I679">
        <v>651865</v>
      </c>
      <c r="J679" t="s">
        <v>1062</v>
      </c>
      <c r="K679">
        <v>544</v>
      </c>
      <c r="L679" t="s">
        <v>59</v>
      </c>
      <c r="M679">
        <v>5</v>
      </c>
      <c r="N679" t="str">
        <f>HYPERLINK("Gene622-zp_tree_all.dnd", "Gene622-tree")</f>
        <v>Gene622-tree</v>
      </c>
      <c r="O679">
        <v>4</v>
      </c>
      <c r="P679">
        <v>1</v>
      </c>
      <c r="Q679">
        <v>4</v>
      </c>
      <c r="R679">
        <v>1</v>
      </c>
      <c r="S679">
        <v>0.2</v>
      </c>
      <c r="T679" t="s">
        <v>60</v>
      </c>
      <c r="U679" t="s">
        <v>61</v>
      </c>
      <c r="V679" t="s">
        <v>62</v>
      </c>
      <c r="W679" t="s">
        <v>62</v>
      </c>
      <c r="X679">
        <v>0</v>
      </c>
      <c r="Y679">
        <v>0</v>
      </c>
      <c r="Z679">
        <v>3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1</v>
      </c>
      <c r="AK679">
        <v>0</v>
      </c>
      <c r="AL679">
        <v>5</v>
      </c>
      <c r="AM679">
        <v>2</v>
      </c>
      <c r="AN679">
        <v>51</v>
      </c>
      <c r="AO679">
        <v>1</v>
      </c>
      <c r="AP679">
        <v>11</v>
      </c>
      <c r="AQ679">
        <v>2</v>
      </c>
      <c r="AR679" t="s">
        <v>1063</v>
      </c>
      <c r="AS679" t="s">
        <v>1064</v>
      </c>
      <c r="AT679">
        <v>1.137</v>
      </c>
      <c r="AU679" t="s">
        <v>65</v>
      </c>
      <c r="AV679">
        <v>62</v>
      </c>
      <c r="AW679">
        <v>3</v>
      </c>
      <c r="AX679" t="s">
        <v>1065</v>
      </c>
      <c r="AY679" t="s">
        <v>1066</v>
      </c>
      <c r="AZ679" t="s">
        <v>1067</v>
      </c>
      <c r="BA679">
        <v>2.001E-2</v>
      </c>
      <c r="BB679">
        <v>1</v>
      </c>
      <c r="BC679" t="s">
        <v>69</v>
      </c>
      <c r="BD679">
        <v>-0.13300000000000001</v>
      </c>
      <c r="BE679">
        <v>-0.28199999999999997</v>
      </c>
    </row>
    <row r="680" spans="1:57">
      <c r="A680">
        <v>0</v>
      </c>
      <c r="B680">
        <v>0</v>
      </c>
      <c r="C680">
        <v>2</v>
      </c>
      <c r="D680">
        <v>1740</v>
      </c>
      <c r="E680" t="s">
        <v>2641</v>
      </c>
      <c r="F680" t="s">
        <v>5762</v>
      </c>
      <c r="G680" t="s">
        <v>57</v>
      </c>
      <c r="H680">
        <v>1749418</v>
      </c>
      <c r="I680">
        <v>1751082</v>
      </c>
      <c r="J680" t="s">
        <v>2642</v>
      </c>
      <c r="K680">
        <v>555</v>
      </c>
      <c r="L680" t="s">
        <v>59</v>
      </c>
      <c r="M680">
        <v>5</v>
      </c>
      <c r="N680" t="str">
        <f>HYPERLINK("Gene1740-zp_tree_all.dnd", "Gene1740-tree")</f>
        <v>Gene1740-tree</v>
      </c>
      <c r="O680">
        <v>3</v>
      </c>
      <c r="P680">
        <v>2</v>
      </c>
      <c r="Q680">
        <v>3</v>
      </c>
      <c r="R680">
        <v>2</v>
      </c>
      <c r="S680">
        <v>0.4</v>
      </c>
      <c r="T680" t="s">
        <v>84</v>
      </c>
      <c r="U680" t="s">
        <v>135</v>
      </c>
      <c r="V680" t="s">
        <v>62</v>
      </c>
      <c r="W680" t="s">
        <v>62</v>
      </c>
      <c r="X680">
        <v>1</v>
      </c>
      <c r="Y680">
        <v>2</v>
      </c>
      <c r="Z680">
        <v>4</v>
      </c>
      <c r="AA680">
        <v>0.33333000000000002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2</v>
      </c>
      <c r="AK680">
        <v>0</v>
      </c>
      <c r="AL680">
        <v>5</v>
      </c>
      <c r="AM680">
        <v>2</v>
      </c>
      <c r="AN680">
        <v>36</v>
      </c>
      <c r="AO680">
        <v>2</v>
      </c>
      <c r="AP680">
        <v>59</v>
      </c>
      <c r="AQ680">
        <v>5</v>
      </c>
      <c r="AR680" t="s">
        <v>2643</v>
      </c>
      <c r="AS680" t="s">
        <v>2644</v>
      </c>
      <c r="AT680">
        <v>0.32400000000000001</v>
      </c>
      <c r="AU680" t="s">
        <v>65</v>
      </c>
      <c r="AV680">
        <v>95</v>
      </c>
      <c r="AW680">
        <v>7</v>
      </c>
      <c r="AX680" t="s">
        <v>2645</v>
      </c>
      <c r="AY680" t="s">
        <v>2646</v>
      </c>
      <c r="AZ680" t="s">
        <v>2647</v>
      </c>
      <c r="BA680">
        <v>2.12E-2</v>
      </c>
      <c r="BB680">
        <v>1</v>
      </c>
      <c r="BC680" t="s">
        <v>69</v>
      </c>
      <c r="BD680">
        <v>0.77600000000000002</v>
      </c>
      <c r="BE680">
        <v>0.69699999999999995</v>
      </c>
    </row>
    <row r="681" spans="1:57">
      <c r="A681">
        <v>0</v>
      </c>
      <c r="B681">
        <v>0</v>
      </c>
      <c r="C681">
        <v>0</v>
      </c>
      <c r="D681">
        <v>1446</v>
      </c>
      <c r="E681" t="s">
        <v>1915</v>
      </c>
      <c r="F681" t="s">
        <v>5762</v>
      </c>
      <c r="G681" t="s">
        <v>57</v>
      </c>
      <c r="H681">
        <v>1459650</v>
      </c>
      <c r="I681">
        <v>1461359</v>
      </c>
      <c r="J681" t="s">
        <v>1916</v>
      </c>
      <c r="K681">
        <v>570</v>
      </c>
      <c r="L681" t="s">
        <v>59</v>
      </c>
      <c r="M681">
        <v>5</v>
      </c>
      <c r="N681" t="str">
        <f>HYPERLINK("Gene1446-zp_tree_all.dnd", "Gene1446-tree")</f>
        <v>Gene1446-tree</v>
      </c>
      <c r="O681">
        <v>3</v>
      </c>
      <c r="P681">
        <v>2</v>
      </c>
      <c r="Q681">
        <v>3</v>
      </c>
      <c r="R681">
        <v>2</v>
      </c>
      <c r="S681">
        <v>0.4</v>
      </c>
      <c r="T681" t="s">
        <v>84</v>
      </c>
      <c r="U681" t="s">
        <v>135</v>
      </c>
      <c r="V681" t="s">
        <v>62</v>
      </c>
      <c r="W681" t="s">
        <v>62</v>
      </c>
      <c r="X681">
        <v>0</v>
      </c>
      <c r="Y681">
        <v>0</v>
      </c>
      <c r="Z681">
        <v>2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2</v>
      </c>
      <c r="AK681">
        <v>0</v>
      </c>
      <c r="AL681">
        <v>5</v>
      </c>
      <c r="AM681">
        <v>2</v>
      </c>
      <c r="AN681">
        <v>37</v>
      </c>
      <c r="AO681">
        <v>2</v>
      </c>
      <c r="AP681">
        <v>30</v>
      </c>
      <c r="AQ681">
        <v>0</v>
      </c>
      <c r="AR681" t="s">
        <v>1917</v>
      </c>
      <c r="AS681" t="s">
        <v>64</v>
      </c>
      <c r="AT681">
        <v>1.27</v>
      </c>
      <c r="AU681" t="s">
        <v>65</v>
      </c>
      <c r="AV681">
        <v>67</v>
      </c>
      <c r="AW681">
        <v>2</v>
      </c>
      <c r="AX681" t="s">
        <v>1918</v>
      </c>
      <c r="AY681" t="s">
        <v>1919</v>
      </c>
      <c r="AZ681" t="s">
        <v>1920</v>
      </c>
      <c r="BA681">
        <v>7.1300000000000001E-3</v>
      </c>
      <c r="BB681">
        <v>1</v>
      </c>
      <c r="BC681" t="s">
        <v>69</v>
      </c>
      <c r="BD681">
        <v>0.29099999999999998</v>
      </c>
      <c r="BE681">
        <v>6.9000000000000006E-2</v>
      </c>
    </row>
    <row r="682" spans="1:57">
      <c r="A682">
        <v>0</v>
      </c>
      <c r="B682">
        <v>0</v>
      </c>
      <c r="C682">
        <v>0</v>
      </c>
      <c r="D682">
        <v>691</v>
      </c>
      <c r="E682" t="s">
        <v>1139</v>
      </c>
      <c r="F682" t="s">
        <v>5762</v>
      </c>
      <c r="G682" t="s">
        <v>57</v>
      </c>
      <c r="H682">
        <v>713664</v>
      </c>
      <c r="I682">
        <v>715403</v>
      </c>
      <c r="J682" t="s">
        <v>1140</v>
      </c>
      <c r="K682">
        <v>580</v>
      </c>
      <c r="L682" t="s">
        <v>83</v>
      </c>
      <c r="M682">
        <v>4</v>
      </c>
      <c r="N682" t="str">
        <f>HYPERLINK("Gene691-zp_tree_all.dnd", "Gene691-tree")</f>
        <v>Gene691-tree</v>
      </c>
      <c r="O682">
        <v>1</v>
      </c>
      <c r="P682">
        <v>3</v>
      </c>
      <c r="Q682">
        <v>1</v>
      </c>
      <c r="R682">
        <v>3</v>
      </c>
      <c r="S682">
        <v>0.75</v>
      </c>
      <c r="T682" t="s">
        <v>61</v>
      </c>
      <c r="U682" t="s">
        <v>84</v>
      </c>
      <c r="V682" t="s">
        <v>62</v>
      </c>
      <c r="W682" t="s">
        <v>62</v>
      </c>
      <c r="X682">
        <v>0</v>
      </c>
      <c r="Y682">
        <v>0</v>
      </c>
      <c r="Z682">
        <v>9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9</v>
      </c>
      <c r="AK682">
        <v>0</v>
      </c>
      <c r="AL682">
        <v>4</v>
      </c>
      <c r="AM682">
        <v>1</v>
      </c>
      <c r="AN682">
        <v>84</v>
      </c>
      <c r="AO682">
        <v>11</v>
      </c>
      <c r="AP682">
        <v>6</v>
      </c>
      <c r="AQ682">
        <v>0</v>
      </c>
      <c r="AR682" t="s">
        <v>1141</v>
      </c>
      <c r="AS682" t="s">
        <v>64</v>
      </c>
      <c r="AT682">
        <v>0.93700000000000006</v>
      </c>
      <c r="AU682" t="s">
        <v>65</v>
      </c>
      <c r="AV682">
        <v>90</v>
      </c>
      <c r="AW682">
        <v>11</v>
      </c>
      <c r="AX682" t="s">
        <v>1142</v>
      </c>
      <c r="AY682" t="s">
        <v>1143</v>
      </c>
      <c r="AZ682" t="s">
        <v>1144</v>
      </c>
      <c r="BA682">
        <v>3.1539999999999999E-2</v>
      </c>
      <c r="BB682">
        <v>1</v>
      </c>
      <c r="BC682" t="s">
        <v>69</v>
      </c>
      <c r="BD682">
        <v>-0.50900000000000001</v>
      </c>
      <c r="BE682">
        <v>-0.70699999999999996</v>
      </c>
    </row>
    <row r="683" spans="1:57">
      <c r="A683">
        <v>0</v>
      </c>
      <c r="B683">
        <v>0</v>
      </c>
      <c r="C683">
        <v>2</v>
      </c>
      <c r="D683">
        <v>3840</v>
      </c>
      <c r="E683" t="s">
        <v>5182</v>
      </c>
      <c r="F683" t="s">
        <v>5762</v>
      </c>
      <c r="G683" t="s">
        <v>62</v>
      </c>
      <c r="H683">
        <v>3800421</v>
      </c>
      <c r="I683">
        <v>3802166</v>
      </c>
      <c r="J683" t="s">
        <v>5183</v>
      </c>
      <c r="K683">
        <v>582</v>
      </c>
      <c r="L683" t="s">
        <v>59</v>
      </c>
      <c r="M683">
        <v>5</v>
      </c>
      <c r="N683" t="str">
        <f>HYPERLINK("Gene3840-zp_tree_all.dnd", "Gene3840-tree")</f>
        <v>Gene3840-tree</v>
      </c>
      <c r="O683">
        <v>1</v>
      </c>
      <c r="P683">
        <v>4</v>
      </c>
      <c r="Q683">
        <v>1</v>
      </c>
      <c r="R683">
        <v>4</v>
      </c>
      <c r="S683">
        <v>0.8</v>
      </c>
      <c r="T683" t="s">
        <v>61</v>
      </c>
      <c r="U683" t="s">
        <v>60</v>
      </c>
      <c r="V683" t="s">
        <v>62</v>
      </c>
      <c r="W683" t="s">
        <v>62</v>
      </c>
      <c r="X683">
        <v>1</v>
      </c>
      <c r="Y683">
        <v>2</v>
      </c>
      <c r="Z683">
        <v>9</v>
      </c>
      <c r="AA683">
        <v>0.18182000000000001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5</v>
      </c>
      <c r="AK683">
        <v>0</v>
      </c>
      <c r="AL683">
        <v>5</v>
      </c>
      <c r="AM683">
        <v>2</v>
      </c>
      <c r="AN683">
        <v>38</v>
      </c>
      <c r="AO683">
        <v>5</v>
      </c>
      <c r="AP683">
        <v>51</v>
      </c>
      <c r="AQ683">
        <v>6</v>
      </c>
      <c r="AR683" t="s">
        <v>5184</v>
      </c>
      <c r="AS683" t="s">
        <v>5185</v>
      </c>
      <c r="AT683">
        <v>0.14899999999999999</v>
      </c>
      <c r="AU683" t="s">
        <v>65</v>
      </c>
      <c r="AV683">
        <v>89</v>
      </c>
      <c r="AW683">
        <v>11</v>
      </c>
      <c r="AX683" t="s">
        <v>5186</v>
      </c>
      <c r="AY683" t="s">
        <v>5187</v>
      </c>
      <c r="AZ683" t="s">
        <v>5188</v>
      </c>
      <c r="BA683">
        <v>3.3430000000000001E-2</v>
      </c>
      <c r="BB683">
        <v>1</v>
      </c>
      <c r="BC683" t="s">
        <v>69</v>
      </c>
      <c r="BD683">
        <v>0.81</v>
      </c>
      <c r="BE683">
        <v>0.504</v>
      </c>
    </row>
    <row r="684" spans="1:57">
      <c r="A684">
        <v>0</v>
      </c>
      <c r="B684">
        <v>0</v>
      </c>
      <c r="C684">
        <v>0</v>
      </c>
      <c r="D684">
        <v>2961</v>
      </c>
      <c r="E684" t="s">
        <v>3924</v>
      </c>
      <c r="F684" t="s">
        <v>5762</v>
      </c>
      <c r="G684" t="s">
        <v>62</v>
      </c>
      <c r="H684">
        <v>2906338</v>
      </c>
      <c r="I684">
        <v>2908095</v>
      </c>
      <c r="J684" t="s">
        <v>3925</v>
      </c>
      <c r="K684">
        <v>586</v>
      </c>
      <c r="L684" t="s">
        <v>59</v>
      </c>
      <c r="M684">
        <v>5</v>
      </c>
      <c r="N684" t="str">
        <f>HYPERLINK("Gene2961-zp_tree_all.dnd", "Gene2961-tree")</f>
        <v>Gene2961-tree</v>
      </c>
      <c r="O684">
        <v>3</v>
      </c>
      <c r="P684">
        <v>2</v>
      </c>
      <c r="Q684">
        <v>3</v>
      </c>
      <c r="R684">
        <v>2</v>
      </c>
      <c r="S684">
        <v>0.4</v>
      </c>
      <c r="T684" t="s">
        <v>84</v>
      </c>
      <c r="U684" t="s">
        <v>135</v>
      </c>
      <c r="V684" t="s">
        <v>62</v>
      </c>
      <c r="W684" t="s">
        <v>62</v>
      </c>
      <c r="X684">
        <v>0</v>
      </c>
      <c r="Y684">
        <v>0</v>
      </c>
      <c r="Z684">
        <v>3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2</v>
      </c>
      <c r="AK684">
        <v>0</v>
      </c>
      <c r="AL684">
        <v>5</v>
      </c>
      <c r="AM684">
        <v>2</v>
      </c>
      <c r="AN684">
        <v>40</v>
      </c>
      <c r="AO684">
        <v>2</v>
      </c>
      <c r="AP684">
        <v>67</v>
      </c>
      <c r="AQ684">
        <v>1</v>
      </c>
      <c r="AR684" t="s">
        <v>3926</v>
      </c>
      <c r="AS684" t="s">
        <v>3927</v>
      </c>
      <c r="AT684">
        <v>0.745</v>
      </c>
      <c r="AU684" t="s">
        <v>65</v>
      </c>
      <c r="AV684">
        <v>107</v>
      </c>
      <c r="AW684">
        <v>3</v>
      </c>
      <c r="AX684" t="s">
        <v>3928</v>
      </c>
      <c r="AY684" t="s">
        <v>3929</v>
      </c>
      <c r="AZ684" t="s">
        <v>3930</v>
      </c>
      <c r="BA684">
        <v>6.8399999999999997E-3</v>
      </c>
      <c r="BB684">
        <v>1</v>
      </c>
      <c r="BC684" t="s">
        <v>69</v>
      </c>
      <c r="BD684">
        <v>0.93799999999999994</v>
      </c>
      <c r="BE684">
        <v>0.503</v>
      </c>
    </row>
    <row r="685" spans="1:57">
      <c r="A685">
        <v>0</v>
      </c>
      <c r="B685">
        <v>0</v>
      </c>
      <c r="C685">
        <v>0</v>
      </c>
      <c r="D685">
        <v>179</v>
      </c>
      <c r="E685" t="s">
        <v>636</v>
      </c>
      <c r="F685" t="s">
        <v>5762</v>
      </c>
      <c r="G685" t="s">
        <v>57</v>
      </c>
      <c r="H685">
        <v>200277</v>
      </c>
      <c r="I685">
        <v>202076</v>
      </c>
      <c r="J685" t="s">
        <v>637</v>
      </c>
      <c r="K685">
        <v>600</v>
      </c>
      <c r="L685" t="s">
        <v>59</v>
      </c>
      <c r="M685">
        <v>5</v>
      </c>
      <c r="N685" t="str">
        <f>HYPERLINK("Gene179-zp_tree_all.dnd", "Gene179-tree")</f>
        <v>Gene179-tree</v>
      </c>
      <c r="O685">
        <v>2</v>
      </c>
      <c r="P685">
        <v>3</v>
      </c>
      <c r="Q685">
        <v>2</v>
      </c>
      <c r="R685">
        <v>3</v>
      </c>
      <c r="S685">
        <v>0.6</v>
      </c>
      <c r="T685" t="s">
        <v>135</v>
      </c>
      <c r="U685" t="s">
        <v>84</v>
      </c>
      <c r="V685" t="s">
        <v>62</v>
      </c>
      <c r="W685" t="s">
        <v>62</v>
      </c>
      <c r="X685">
        <v>0</v>
      </c>
      <c r="Y685">
        <v>0</v>
      </c>
      <c r="Z685">
        <v>8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4</v>
      </c>
      <c r="AK685">
        <v>0</v>
      </c>
      <c r="AL685">
        <v>5</v>
      </c>
      <c r="AM685">
        <v>2</v>
      </c>
      <c r="AN685">
        <v>65</v>
      </c>
      <c r="AO685">
        <v>4</v>
      </c>
      <c r="AP685">
        <v>50</v>
      </c>
      <c r="AQ685">
        <v>4</v>
      </c>
      <c r="AR685" t="s">
        <v>638</v>
      </c>
      <c r="AS685" t="s">
        <v>639</v>
      </c>
      <c r="AT685">
        <v>0.17499999999999999</v>
      </c>
      <c r="AU685" t="s">
        <v>65</v>
      </c>
      <c r="AV685">
        <v>115</v>
      </c>
      <c r="AW685">
        <v>8</v>
      </c>
      <c r="AX685" t="s">
        <v>640</v>
      </c>
      <c r="AY685" t="s">
        <v>641</v>
      </c>
      <c r="AZ685" t="s">
        <v>642</v>
      </c>
      <c r="BA685">
        <v>2.1729999999999999E-2</v>
      </c>
      <c r="BB685">
        <v>1</v>
      </c>
      <c r="BC685" t="s">
        <v>69</v>
      </c>
      <c r="BD685">
        <v>0.502</v>
      </c>
      <c r="BE685">
        <v>4.5999999999999999E-2</v>
      </c>
    </row>
    <row r="686" spans="1:57">
      <c r="A686">
        <v>0</v>
      </c>
      <c r="B686">
        <v>0</v>
      </c>
      <c r="C686">
        <v>0</v>
      </c>
      <c r="D686">
        <v>2623</v>
      </c>
      <c r="E686" t="s">
        <v>3466</v>
      </c>
      <c r="F686" t="s">
        <v>5762</v>
      </c>
      <c r="G686" t="s">
        <v>62</v>
      </c>
      <c r="H686">
        <v>2601531</v>
      </c>
      <c r="I686">
        <v>2603339</v>
      </c>
      <c r="J686" t="s">
        <v>3467</v>
      </c>
      <c r="K686">
        <v>603</v>
      </c>
      <c r="L686" t="s">
        <v>83</v>
      </c>
      <c r="M686">
        <v>4</v>
      </c>
      <c r="N686" t="str">
        <f>HYPERLINK("Gene2623-zp_tree_all.dnd", "Gene2623-tree")</f>
        <v>Gene2623-tree</v>
      </c>
      <c r="O686">
        <v>1</v>
      </c>
      <c r="P686">
        <v>3</v>
      </c>
      <c r="Q686">
        <v>1</v>
      </c>
      <c r="R686">
        <v>3</v>
      </c>
      <c r="S686">
        <v>0.75</v>
      </c>
      <c r="T686" t="s">
        <v>61</v>
      </c>
      <c r="U686" t="s">
        <v>84</v>
      </c>
      <c r="V686" t="s">
        <v>62</v>
      </c>
      <c r="W686" t="s">
        <v>62</v>
      </c>
      <c r="X686">
        <v>0</v>
      </c>
      <c r="Y686">
        <v>0</v>
      </c>
      <c r="Z686">
        <v>13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12</v>
      </c>
      <c r="AK686">
        <v>0</v>
      </c>
      <c r="AL686">
        <v>4</v>
      </c>
      <c r="AM686">
        <v>1</v>
      </c>
      <c r="AN686">
        <v>64</v>
      </c>
      <c r="AO686">
        <v>12</v>
      </c>
      <c r="AP686">
        <v>11</v>
      </c>
      <c r="AQ686">
        <v>1</v>
      </c>
      <c r="AR686" t="s">
        <v>3468</v>
      </c>
      <c r="AS686" t="s">
        <v>3469</v>
      </c>
      <c r="AT686">
        <v>0.34200000000000003</v>
      </c>
      <c r="AU686" t="s">
        <v>65</v>
      </c>
      <c r="AV686">
        <v>75</v>
      </c>
      <c r="AW686">
        <v>13</v>
      </c>
      <c r="AX686" t="s">
        <v>3470</v>
      </c>
      <c r="AY686" t="s">
        <v>3471</v>
      </c>
      <c r="AZ686" t="s">
        <v>3472</v>
      </c>
      <c r="BA686">
        <v>4.5170000000000002E-2</v>
      </c>
      <c r="BB686">
        <v>1</v>
      </c>
      <c r="BC686" t="s">
        <v>69</v>
      </c>
      <c r="BD686">
        <v>-0.307</v>
      </c>
      <c r="BE686">
        <v>-0.53300000000000003</v>
      </c>
    </row>
    <row r="687" spans="1:57">
      <c r="A687">
        <v>0</v>
      </c>
      <c r="B687">
        <v>2</v>
      </c>
      <c r="C687">
        <v>0</v>
      </c>
      <c r="D687">
        <v>1454</v>
      </c>
      <c r="E687" t="s">
        <v>1921</v>
      </c>
      <c r="F687" t="s">
        <v>5762</v>
      </c>
      <c r="G687" t="s">
        <v>57</v>
      </c>
      <c r="H687">
        <v>1470026</v>
      </c>
      <c r="I687">
        <v>1471843</v>
      </c>
      <c r="J687" t="s">
        <v>1922</v>
      </c>
      <c r="K687">
        <v>606</v>
      </c>
      <c r="L687" t="s">
        <v>59</v>
      </c>
      <c r="M687">
        <v>5</v>
      </c>
      <c r="N687" t="str">
        <f>HYPERLINK("Gene1454-zp_tree_all.dnd", "Gene1454-tree")</f>
        <v>Gene1454-tree</v>
      </c>
      <c r="O687">
        <v>1</v>
      </c>
      <c r="P687">
        <v>4</v>
      </c>
      <c r="Q687">
        <v>1</v>
      </c>
      <c r="R687">
        <v>4</v>
      </c>
      <c r="S687">
        <v>0.8</v>
      </c>
      <c r="T687" t="s">
        <v>61</v>
      </c>
      <c r="U687" t="s">
        <v>60</v>
      </c>
      <c r="V687" t="s">
        <v>62</v>
      </c>
      <c r="W687" t="s">
        <v>62</v>
      </c>
      <c r="X687">
        <v>1</v>
      </c>
      <c r="Y687">
        <v>2</v>
      </c>
      <c r="Z687">
        <v>11</v>
      </c>
      <c r="AA687">
        <v>0.15384999999999999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7</v>
      </c>
      <c r="AK687">
        <v>0</v>
      </c>
      <c r="AL687">
        <v>5</v>
      </c>
      <c r="AM687">
        <v>2</v>
      </c>
      <c r="AN687">
        <v>40</v>
      </c>
      <c r="AO687">
        <v>7</v>
      </c>
      <c r="AP687">
        <v>67</v>
      </c>
      <c r="AQ687">
        <v>6</v>
      </c>
      <c r="AR687" t="s">
        <v>1923</v>
      </c>
      <c r="AS687" t="s">
        <v>1924</v>
      </c>
      <c r="AT687">
        <v>0.99199999999999999</v>
      </c>
      <c r="AU687" t="s">
        <v>65</v>
      </c>
      <c r="AV687">
        <v>107</v>
      </c>
      <c r="AW687">
        <v>13</v>
      </c>
      <c r="AX687" t="s">
        <v>1925</v>
      </c>
      <c r="AY687" t="s">
        <v>1926</v>
      </c>
      <c r="AZ687" t="s">
        <v>1927</v>
      </c>
      <c r="BA687">
        <v>2.6880000000000001E-2</v>
      </c>
      <c r="BB687">
        <v>1</v>
      </c>
      <c r="BC687" t="s">
        <v>69</v>
      </c>
      <c r="BD687">
        <v>0.89700000000000002</v>
      </c>
      <c r="BE687">
        <v>0.71299999999999997</v>
      </c>
    </row>
    <row r="688" spans="1:57">
      <c r="A688">
        <v>0</v>
      </c>
      <c r="B688">
        <v>0</v>
      </c>
      <c r="C688">
        <v>0</v>
      </c>
      <c r="D688">
        <v>2650</v>
      </c>
      <c r="E688" t="s">
        <v>3553</v>
      </c>
      <c r="F688" t="s">
        <v>5762</v>
      </c>
      <c r="G688" t="s">
        <v>62</v>
      </c>
      <c r="H688">
        <v>2626115</v>
      </c>
      <c r="I688">
        <v>2627947</v>
      </c>
      <c r="J688" t="s">
        <v>3554</v>
      </c>
      <c r="K688">
        <v>611</v>
      </c>
      <c r="L688" t="s">
        <v>59</v>
      </c>
      <c r="M688">
        <v>5</v>
      </c>
      <c r="N688" t="str">
        <f>HYPERLINK("Gene2650-zp_tree_all.dnd", "Gene2650-tree")</f>
        <v>Gene2650-tree</v>
      </c>
      <c r="O688">
        <v>4</v>
      </c>
      <c r="P688">
        <v>1</v>
      </c>
      <c r="Q688">
        <v>4</v>
      </c>
      <c r="R688">
        <v>1</v>
      </c>
      <c r="S688">
        <v>0.2</v>
      </c>
      <c r="T688" t="s">
        <v>60</v>
      </c>
      <c r="U688" t="s">
        <v>61</v>
      </c>
      <c r="V688" t="s">
        <v>62</v>
      </c>
      <c r="W688" t="s">
        <v>62</v>
      </c>
      <c r="X688">
        <v>0</v>
      </c>
      <c r="Y688">
        <v>0</v>
      </c>
      <c r="Z688">
        <v>4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1</v>
      </c>
      <c r="AK688">
        <v>0</v>
      </c>
      <c r="AL688">
        <v>4</v>
      </c>
      <c r="AM688">
        <v>2</v>
      </c>
      <c r="AN688">
        <v>53</v>
      </c>
      <c r="AO688">
        <v>1</v>
      </c>
      <c r="AP688">
        <v>28</v>
      </c>
      <c r="AQ688">
        <v>3</v>
      </c>
      <c r="AR688" t="s">
        <v>3555</v>
      </c>
      <c r="AS688" t="s">
        <v>3556</v>
      </c>
      <c r="AT688">
        <v>1.8380000000000001</v>
      </c>
      <c r="AU688" t="s">
        <v>65</v>
      </c>
      <c r="AV688">
        <v>81</v>
      </c>
      <c r="AW688">
        <v>4</v>
      </c>
      <c r="AX688" t="s">
        <v>3557</v>
      </c>
      <c r="AY688" t="s">
        <v>3558</v>
      </c>
      <c r="AZ688" t="s">
        <v>3559</v>
      </c>
      <c r="BA688">
        <v>1.643E-2</v>
      </c>
      <c r="BB688">
        <v>1</v>
      </c>
      <c r="BC688" t="s">
        <v>69</v>
      </c>
      <c r="BD688">
        <v>-8.0000000000000002E-3</v>
      </c>
      <c r="BE688">
        <v>-0.19800000000000001</v>
      </c>
    </row>
    <row r="689" spans="1:57">
      <c r="A689">
        <v>0</v>
      </c>
      <c r="B689">
        <v>0</v>
      </c>
      <c r="C689">
        <v>0</v>
      </c>
      <c r="D689">
        <v>4186</v>
      </c>
      <c r="E689" t="s">
        <v>5643</v>
      </c>
      <c r="F689" t="s">
        <v>5762</v>
      </c>
      <c r="G689" t="s">
        <v>62</v>
      </c>
      <c r="H689">
        <v>4151856</v>
      </c>
      <c r="I689">
        <v>4153688</v>
      </c>
      <c r="J689" t="s">
        <v>5644</v>
      </c>
      <c r="K689">
        <v>611</v>
      </c>
      <c r="L689" t="s">
        <v>83</v>
      </c>
      <c r="M689">
        <v>4</v>
      </c>
      <c r="N689" t="str">
        <f>HYPERLINK("Gene4186-zp_tree_all.dnd", "Gene4186-tree")</f>
        <v>Gene4186-tree</v>
      </c>
      <c r="O689">
        <v>3</v>
      </c>
      <c r="P689">
        <v>1</v>
      </c>
      <c r="Q689">
        <v>3</v>
      </c>
      <c r="R689">
        <v>1</v>
      </c>
      <c r="S689">
        <v>0.25</v>
      </c>
      <c r="T689" t="s">
        <v>84</v>
      </c>
      <c r="U689" t="s">
        <v>61</v>
      </c>
      <c r="V689" t="s">
        <v>62</v>
      </c>
      <c r="W689" t="s">
        <v>62</v>
      </c>
      <c r="X689">
        <v>0</v>
      </c>
      <c r="Y689">
        <v>0</v>
      </c>
      <c r="Z689">
        <v>5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5</v>
      </c>
      <c r="AK689">
        <v>0</v>
      </c>
      <c r="AL689">
        <v>4</v>
      </c>
      <c r="AM689">
        <v>1</v>
      </c>
      <c r="AN689">
        <v>94</v>
      </c>
      <c r="AO689">
        <v>6</v>
      </c>
      <c r="AP689">
        <v>2</v>
      </c>
      <c r="AQ689">
        <v>0</v>
      </c>
      <c r="AR689" t="s">
        <v>5645</v>
      </c>
      <c r="AS689" t="s">
        <v>64</v>
      </c>
      <c r="AT689">
        <v>0.47</v>
      </c>
      <c r="AU689" t="s">
        <v>65</v>
      </c>
      <c r="AV689">
        <v>96</v>
      </c>
      <c r="AW689">
        <v>6</v>
      </c>
      <c r="AX689" t="s">
        <v>5646</v>
      </c>
      <c r="AY689" t="s">
        <v>5647</v>
      </c>
      <c r="AZ689" t="s">
        <v>5648</v>
      </c>
      <c r="BA689">
        <v>1.6400000000000001E-2</v>
      </c>
      <c r="BB689">
        <v>1</v>
      </c>
      <c r="BC689" t="s">
        <v>69</v>
      </c>
      <c r="BD689">
        <v>-0.53500000000000003</v>
      </c>
      <c r="BE689">
        <v>-0.63600000000000001</v>
      </c>
    </row>
    <row r="690" spans="1:57">
      <c r="A690">
        <v>0</v>
      </c>
      <c r="B690">
        <v>0</v>
      </c>
      <c r="C690">
        <v>0</v>
      </c>
      <c r="D690">
        <v>1537</v>
      </c>
      <c r="E690" t="s">
        <v>2064</v>
      </c>
      <c r="F690" t="s">
        <v>5762</v>
      </c>
      <c r="G690" t="s">
        <v>57</v>
      </c>
      <c r="H690">
        <v>1546121</v>
      </c>
      <c r="I690">
        <v>1547956</v>
      </c>
      <c r="J690" t="s">
        <v>2065</v>
      </c>
      <c r="K690">
        <v>612</v>
      </c>
      <c r="L690" t="s">
        <v>59</v>
      </c>
      <c r="M690">
        <v>5</v>
      </c>
      <c r="N690" t="str">
        <f>HYPERLINK("Gene1537-zp_tree_all.dnd", "Gene1537-tree")</f>
        <v>Gene1537-tree</v>
      </c>
      <c r="O690">
        <v>3</v>
      </c>
      <c r="P690">
        <v>2</v>
      </c>
      <c r="Q690">
        <v>3</v>
      </c>
      <c r="R690">
        <v>2</v>
      </c>
      <c r="S690">
        <v>0.4</v>
      </c>
      <c r="T690" t="s">
        <v>84</v>
      </c>
      <c r="U690" t="s">
        <v>135</v>
      </c>
      <c r="V690" t="s">
        <v>62</v>
      </c>
      <c r="W690" t="s">
        <v>62</v>
      </c>
      <c r="X690">
        <v>0</v>
      </c>
      <c r="Y690">
        <v>0</v>
      </c>
      <c r="Z690">
        <v>5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3</v>
      </c>
      <c r="AK690">
        <v>0</v>
      </c>
      <c r="AL690">
        <v>5</v>
      </c>
      <c r="AM690">
        <v>2</v>
      </c>
      <c r="AN690">
        <v>55</v>
      </c>
      <c r="AO690">
        <v>3</v>
      </c>
      <c r="AP690">
        <v>57</v>
      </c>
      <c r="AQ690">
        <v>2</v>
      </c>
      <c r="AR690" t="s">
        <v>2066</v>
      </c>
      <c r="AS690" t="s">
        <v>2067</v>
      </c>
      <c r="AT690">
        <v>0.318</v>
      </c>
      <c r="AU690" t="s">
        <v>65</v>
      </c>
      <c r="AV690">
        <v>112</v>
      </c>
      <c r="AW690">
        <v>5</v>
      </c>
      <c r="AX690" t="s">
        <v>2068</v>
      </c>
      <c r="AY690" t="s">
        <v>2069</v>
      </c>
      <c r="AZ690" t="s">
        <v>2070</v>
      </c>
      <c r="BA690">
        <v>1.1780000000000001E-2</v>
      </c>
      <c r="BB690">
        <v>1</v>
      </c>
      <c r="BC690" t="s">
        <v>69</v>
      </c>
      <c r="BD690">
        <v>0.502</v>
      </c>
      <c r="BE690">
        <v>0.30299999999999999</v>
      </c>
    </row>
    <row r="691" spans="1:57">
      <c r="A691">
        <v>0</v>
      </c>
      <c r="B691">
        <v>8</v>
      </c>
      <c r="C691">
        <v>0</v>
      </c>
      <c r="D691">
        <v>4104</v>
      </c>
      <c r="E691" t="s">
        <v>5529</v>
      </c>
      <c r="F691" t="s">
        <v>5762</v>
      </c>
      <c r="G691" t="s">
        <v>62</v>
      </c>
      <c r="H691">
        <v>4068553</v>
      </c>
      <c r="I691">
        <v>4070418</v>
      </c>
      <c r="J691" t="s">
        <v>5530</v>
      </c>
      <c r="K691">
        <v>622</v>
      </c>
      <c r="L691" t="s">
        <v>59</v>
      </c>
      <c r="M691">
        <v>5</v>
      </c>
      <c r="N691" t="str">
        <f>HYPERLINK("Gene4104-zp_tree_all.dnd", "Gene4104-tree")</f>
        <v>Gene4104-tree</v>
      </c>
      <c r="O691">
        <v>1</v>
      </c>
      <c r="P691">
        <v>4</v>
      </c>
      <c r="Q691">
        <v>1</v>
      </c>
      <c r="R691">
        <v>4</v>
      </c>
      <c r="S691">
        <v>0.8</v>
      </c>
      <c r="T691" t="s">
        <v>61</v>
      </c>
      <c r="U691" t="s">
        <v>60</v>
      </c>
      <c r="V691" t="s">
        <v>62</v>
      </c>
      <c r="W691" t="s">
        <v>62</v>
      </c>
      <c r="X691">
        <v>4</v>
      </c>
      <c r="Y691">
        <v>8</v>
      </c>
      <c r="Z691">
        <v>26</v>
      </c>
      <c r="AA691">
        <v>0.23529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2</v>
      </c>
      <c r="AH691">
        <v>4</v>
      </c>
      <c r="AI691">
        <v>6</v>
      </c>
      <c r="AJ691">
        <v>20</v>
      </c>
      <c r="AK691">
        <v>0.23077</v>
      </c>
      <c r="AL691">
        <v>5</v>
      </c>
      <c r="AM691">
        <v>2</v>
      </c>
      <c r="AN691">
        <v>78</v>
      </c>
      <c r="AO691">
        <v>29</v>
      </c>
      <c r="AP691">
        <v>18</v>
      </c>
      <c r="AQ691">
        <v>8</v>
      </c>
      <c r="AR691" t="s">
        <v>5531</v>
      </c>
      <c r="AS691" t="s">
        <v>5532</v>
      </c>
      <c r="AT691">
        <v>0.27700000000000002</v>
      </c>
      <c r="AU691" t="s">
        <v>65</v>
      </c>
      <c r="AV691">
        <v>96</v>
      </c>
      <c r="AW691">
        <v>37</v>
      </c>
      <c r="AX691" t="s">
        <v>5533</v>
      </c>
      <c r="AY691" t="s">
        <v>5534</v>
      </c>
      <c r="AZ691" t="s">
        <v>5535</v>
      </c>
      <c r="BA691">
        <v>0.11069</v>
      </c>
      <c r="BB691">
        <v>1</v>
      </c>
      <c r="BC691" t="s">
        <v>69</v>
      </c>
      <c r="BD691">
        <v>-0.40400000000000003</v>
      </c>
      <c r="BE691">
        <v>-0.71799999999999997</v>
      </c>
    </row>
    <row r="692" spans="1:57">
      <c r="A692">
        <v>0</v>
      </c>
      <c r="B692">
        <v>0</v>
      </c>
      <c r="C692">
        <v>0</v>
      </c>
      <c r="D692">
        <v>4253</v>
      </c>
      <c r="E692" t="s">
        <v>5726</v>
      </c>
      <c r="F692" t="s">
        <v>5762</v>
      </c>
      <c r="G692" t="s">
        <v>62</v>
      </c>
      <c r="H692">
        <v>4209606</v>
      </c>
      <c r="I692">
        <v>4211489</v>
      </c>
      <c r="J692" t="s">
        <v>5727</v>
      </c>
      <c r="K692">
        <v>628</v>
      </c>
      <c r="L692" t="s">
        <v>59</v>
      </c>
      <c r="M692">
        <v>5</v>
      </c>
      <c r="N692" t="str">
        <f>HYPERLINK("Gene4253-zp_tree_all.dnd", "Gene4253-tree")</f>
        <v>Gene4253-tree</v>
      </c>
      <c r="O692">
        <v>3</v>
      </c>
      <c r="P692">
        <v>2</v>
      </c>
      <c r="Q692">
        <v>3</v>
      </c>
      <c r="R692">
        <v>2</v>
      </c>
      <c r="S692">
        <v>0.4</v>
      </c>
      <c r="T692" t="s">
        <v>84</v>
      </c>
      <c r="U692" t="s">
        <v>135</v>
      </c>
      <c r="V692" t="s">
        <v>62</v>
      </c>
      <c r="W692" t="s">
        <v>62</v>
      </c>
      <c r="X692">
        <v>0</v>
      </c>
      <c r="Y692">
        <v>0</v>
      </c>
      <c r="Z692">
        <v>4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4</v>
      </c>
      <c r="AK692">
        <v>0</v>
      </c>
      <c r="AL692">
        <v>5</v>
      </c>
      <c r="AM692">
        <v>2</v>
      </c>
      <c r="AN692">
        <v>61</v>
      </c>
      <c r="AO692">
        <v>4</v>
      </c>
      <c r="AP692">
        <v>57</v>
      </c>
      <c r="AQ692">
        <v>0</v>
      </c>
      <c r="AR692" t="s">
        <v>5728</v>
      </c>
      <c r="AS692" t="s">
        <v>64</v>
      </c>
      <c r="AT692">
        <v>0.90600000000000003</v>
      </c>
      <c r="AU692" t="s">
        <v>65</v>
      </c>
      <c r="AV692">
        <v>118</v>
      </c>
      <c r="AW692">
        <v>4</v>
      </c>
      <c r="AX692" t="s">
        <v>5729</v>
      </c>
      <c r="AY692" t="s">
        <v>5730</v>
      </c>
      <c r="AZ692" t="s">
        <v>5731</v>
      </c>
      <c r="BA692">
        <v>9.8799999999999999E-3</v>
      </c>
      <c r="BB692">
        <v>1</v>
      </c>
      <c r="BC692" t="s">
        <v>69</v>
      </c>
      <c r="BD692">
        <v>0.54700000000000004</v>
      </c>
      <c r="BE692">
        <v>0.115</v>
      </c>
    </row>
    <row r="693" spans="1:57">
      <c r="A693">
        <v>0</v>
      </c>
      <c r="B693">
        <v>0</v>
      </c>
      <c r="C693">
        <v>0</v>
      </c>
      <c r="D693">
        <v>932</v>
      </c>
      <c r="E693" t="s">
        <v>1377</v>
      </c>
      <c r="F693" t="s">
        <v>5762</v>
      </c>
      <c r="G693" t="s">
        <v>57</v>
      </c>
      <c r="H693">
        <v>973156</v>
      </c>
      <c r="I693">
        <v>975048</v>
      </c>
      <c r="J693" t="s">
        <v>1378</v>
      </c>
      <c r="K693">
        <v>631</v>
      </c>
      <c r="L693" t="s">
        <v>83</v>
      </c>
      <c r="M693">
        <v>4</v>
      </c>
      <c r="N693" t="str">
        <f>HYPERLINK("Gene932-zp_tree_all.dnd", "Gene932-tree")</f>
        <v>Gene932-tree</v>
      </c>
      <c r="O693">
        <v>0</v>
      </c>
      <c r="P693">
        <v>4</v>
      </c>
      <c r="Q693">
        <v>0</v>
      </c>
      <c r="R693">
        <v>4</v>
      </c>
      <c r="S693">
        <v>1</v>
      </c>
      <c r="T693" t="s">
        <v>62</v>
      </c>
      <c r="U693" t="s">
        <v>60</v>
      </c>
      <c r="V693" t="s">
        <v>62</v>
      </c>
      <c r="W693" t="s">
        <v>62</v>
      </c>
      <c r="X693">
        <v>0</v>
      </c>
      <c r="Y693">
        <v>0</v>
      </c>
      <c r="Z693">
        <v>4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4</v>
      </c>
      <c r="AK693">
        <v>0</v>
      </c>
      <c r="AL693">
        <v>4</v>
      </c>
      <c r="AM693">
        <v>1</v>
      </c>
      <c r="AN693">
        <v>101</v>
      </c>
      <c r="AO693">
        <v>4</v>
      </c>
      <c r="AP693">
        <v>5</v>
      </c>
      <c r="AQ693">
        <v>0</v>
      </c>
      <c r="AR693" t="s">
        <v>1379</v>
      </c>
      <c r="AS693" t="s">
        <v>64</v>
      </c>
      <c r="AT693">
        <v>1.4139999999999999</v>
      </c>
      <c r="AU693" t="s">
        <v>65</v>
      </c>
      <c r="AV693">
        <v>106</v>
      </c>
      <c r="AW693">
        <v>4</v>
      </c>
      <c r="AX693" t="s">
        <v>1380</v>
      </c>
      <c r="AY693" t="s">
        <v>1381</v>
      </c>
      <c r="AZ693" t="s">
        <v>1382</v>
      </c>
      <c r="BA693">
        <v>9.4199999999999996E-3</v>
      </c>
      <c r="BB693">
        <v>1</v>
      </c>
      <c r="BC693" t="s">
        <v>69</v>
      </c>
      <c r="BD693">
        <v>-0.63300000000000001</v>
      </c>
      <c r="BE693">
        <v>-0.72299999999999998</v>
      </c>
    </row>
    <row r="694" spans="1:57">
      <c r="A694">
        <v>0</v>
      </c>
      <c r="B694">
        <v>0</v>
      </c>
      <c r="C694">
        <v>2</v>
      </c>
      <c r="D694">
        <v>3170</v>
      </c>
      <c r="E694" t="s">
        <v>4303</v>
      </c>
      <c r="F694" t="s">
        <v>5762</v>
      </c>
      <c r="G694" t="s">
        <v>62</v>
      </c>
      <c r="H694">
        <v>3125780</v>
      </c>
      <c r="I694">
        <v>3127675</v>
      </c>
      <c r="J694" t="s">
        <v>4304</v>
      </c>
      <c r="K694">
        <v>632</v>
      </c>
      <c r="L694" t="s">
        <v>59</v>
      </c>
      <c r="M694">
        <v>5</v>
      </c>
      <c r="N694" t="str">
        <f>HYPERLINK("Gene3170-zp_tree_all.dnd", "Gene3170-tree")</f>
        <v>Gene3170-tree</v>
      </c>
      <c r="O694">
        <v>2</v>
      </c>
      <c r="P694">
        <v>3</v>
      </c>
      <c r="Q694">
        <v>2</v>
      </c>
      <c r="R694">
        <v>3</v>
      </c>
      <c r="S694">
        <v>0.6</v>
      </c>
      <c r="T694" t="s">
        <v>135</v>
      </c>
      <c r="U694" t="s">
        <v>84</v>
      </c>
      <c r="V694" t="s">
        <v>62</v>
      </c>
      <c r="W694" t="s">
        <v>62</v>
      </c>
      <c r="X694">
        <v>1</v>
      </c>
      <c r="Y694">
        <v>2</v>
      </c>
      <c r="Z694">
        <v>4</v>
      </c>
      <c r="AA694">
        <v>0.33333000000000002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5</v>
      </c>
      <c r="AK694">
        <v>0</v>
      </c>
      <c r="AL694">
        <v>5</v>
      </c>
      <c r="AM694">
        <v>2</v>
      </c>
      <c r="AN694">
        <v>39</v>
      </c>
      <c r="AO694">
        <v>5</v>
      </c>
      <c r="AP694">
        <v>50</v>
      </c>
      <c r="AQ694">
        <v>1</v>
      </c>
      <c r="AR694" t="s">
        <v>4305</v>
      </c>
      <c r="AS694" t="s">
        <v>4306</v>
      </c>
      <c r="AT694">
        <v>1.5529999999999999</v>
      </c>
      <c r="AU694" t="s">
        <v>65</v>
      </c>
      <c r="AV694">
        <v>89</v>
      </c>
      <c r="AW694">
        <v>6</v>
      </c>
      <c r="AX694" t="s">
        <v>4307</v>
      </c>
      <c r="AY694" t="s">
        <v>4308</v>
      </c>
      <c r="AZ694" t="s">
        <v>4309</v>
      </c>
      <c r="BA694">
        <v>1.285E-2</v>
      </c>
      <c r="BB694">
        <v>1</v>
      </c>
      <c r="BC694" t="s">
        <v>69</v>
      </c>
      <c r="BD694">
        <v>0.52100000000000002</v>
      </c>
      <c r="BE694">
        <v>0.36799999999999999</v>
      </c>
    </row>
    <row r="695" spans="1:57">
      <c r="A695">
        <v>0</v>
      </c>
      <c r="B695">
        <v>2</v>
      </c>
      <c r="C695">
        <v>0</v>
      </c>
      <c r="D695">
        <v>2529</v>
      </c>
      <c r="E695" t="s">
        <v>3307</v>
      </c>
      <c r="F695" t="s">
        <v>5762</v>
      </c>
      <c r="G695" t="s">
        <v>62</v>
      </c>
      <c r="H695">
        <v>2523716</v>
      </c>
      <c r="I695">
        <v>2525614</v>
      </c>
      <c r="J695" t="s">
        <v>3308</v>
      </c>
      <c r="K695">
        <v>633</v>
      </c>
      <c r="L695" t="s">
        <v>83</v>
      </c>
      <c r="M695">
        <v>4</v>
      </c>
      <c r="N695" t="str">
        <f>HYPERLINK("Gene2529-zp_tree_all.dnd", "Gene2529-tree")</f>
        <v>Gene2529-tree</v>
      </c>
      <c r="O695">
        <v>1</v>
      </c>
      <c r="P695">
        <v>3</v>
      </c>
      <c r="Q695">
        <v>1</v>
      </c>
      <c r="R695">
        <v>3</v>
      </c>
      <c r="S695">
        <v>0.75</v>
      </c>
      <c r="T695" t="s">
        <v>61</v>
      </c>
      <c r="U695" t="s">
        <v>84</v>
      </c>
      <c r="V695" t="s">
        <v>62</v>
      </c>
      <c r="W695" t="s">
        <v>62</v>
      </c>
      <c r="X695">
        <v>1</v>
      </c>
      <c r="Y695">
        <v>2</v>
      </c>
      <c r="Z695">
        <v>6</v>
      </c>
      <c r="AA695">
        <v>0.25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2</v>
      </c>
      <c r="AH695">
        <v>0</v>
      </c>
      <c r="AI695">
        <v>2</v>
      </c>
      <c r="AJ695">
        <v>6</v>
      </c>
      <c r="AK695">
        <v>0.25</v>
      </c>
      <c r="AL695">
        <v>4</v>
      </c>
      <c r="AM695">
        <v>1</v>
      </c>
      <c r="AN695">
        <v>94</v>
      </c>
      <c r="AO695">
        <v>9</v>
      </c>
      <c r="AP695">
        <v>5</v>
      </c>
      <c r="AQ695">
        <v>0</v>
      </c>
      <c r="AR695" t="s">
        <v>3309</v>
      </c>
      <c r="AS695" t="s">
        <v>64</v>
      </c>
      <c r="AT695">
        <v>0.995</v>
      </c>
      <c r="AU695" t="s">
        <v>65</v>
      </c>
      <c r="AV695">
        <v>99</v>
      </c>
      <c r="AW695">
        <v>9</v>
      </c>
      <c r="AX695" t="s">
        <v>3310</v>
      </c>
      <c r="AY695" t="s">
        <v>3311</v>
      </c>
      <c r="AZ695" t="s">
        <v>3312</v>
      </c>
      <c r="BA695">
        <v>2.3130000000000001E-2</v>
      </c>
      <c r="BB695">
        <v>1</v>
      </c>
      <c r="BC695" t="s">
        <v>69</v>
      </c>
      <c r="BD695">
        <v>-0.35499999999999998</v>
      </c>
      <c r="BE695">
        <v>-0.64600000000000002</v>
      </c>
    </row>
    <row r="696" spans="1:57">
      <c r="A696">
        <v>0</v>
      </c>
      <c r="B696">
        <v>0</v>
      </c>
      <c r="C696">
        <v>0</v>
      </c>
      <c r="D696">
        <v>69</v>
      </c>
      <c r="E696" t="s">
        <v>263</v>
      </c>
      <c r="F696" t="s">
        <v>5762</v>
      </c>
      <c r="G696" t="s">
        <v>57</v>
      </c>
      <c r="H696">
        <v>76984</v>
      </c>
      <c r="I696">
        <v>78894</v>
      </c>
      <c r="J696" t="s">
        <v>264</v>
      </c>
      <c r="K696">
        <v>637</v>
      </c>
      <c r="L696" t="s">
        <v>59</v>
      </c>
      <c r="M696">
        <v>5</v>
      </c>
      <c r="N696" t="str">
        <f>HYPERLINK("Gene69-zp_tree_all.dnd", "Gene69-tree")</f>
        <v>Gene69-tree</v>
      </c>
      <c r="O696">
        <v>5</v>
      </c>
      <c r="P696">
        <v>0</v>
      </c>
      <c r="Q696">
        <v>5</v>
      </c>
      <c r="R696">
        <v>0</v>
      </c>
      <c r="S696">
        <v>0</v>
      </c>
      <c r="T696" t="s">
        <v>98</v>
      </c>
      <c r="U696" t="s">
        <v>62</v>
      </c>
      <c r="V696" t="s">
        <v>62</v>
      </c>
      <c r="W696" t="s">
        <v>62</v>
      </c>
      <c r="X696">
        <v>0</v>
      </c>
      <c r="Y696">
        <v>0</v>
      </c>
      <c r="Z696">
        <v>2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5</v>
      </c>
      <c r="AM696">
        <v>2</v>
      </c>
      <c r="AN696">
        <v>32</v>
      </c>
      <c r="AO696">
        <v>0</v>
      </c>
      <c r="AP696">
        <v>56</v>
      </c>
      <c r="AQ696">
        <v>2</v>
      </c>
      <c r="AR696" t="s">
        <v>64</v>
      </c>
      <c r="AS696" t="s">
        <v>265</v>
      </c>
      <c r="AT696">
        <v>0.80700000000000005</v>
      </c>
      <c r="AU696" t="s">
        <v>65</v>
      </c>
      <c r="AV696">
        <v>88</v>
      </c>
      <c r="AW696">
        <v>2</v>
      </c>
      <c r="AX696" t="s">
        <v>266</v>
      </c>
      <c r="AY696" t="s">
        <v>267</v>
      </c>
      <c r="AZ696" t="s">
        <v>268</v>
      </c>
      <c r="BA696">
        <v>7.2500000000000004E-3</v>
      </c>
      <c r="BB696">
        <v>1</v>
      </c>
      <c r="BC696" t="s">
        <v>69</v>
      </c>
      <c r="BD696">
        <v>1.1639999999999999</v>
      </c>
      <c r="BE696">
        <v>0.625</v>
      </c>
    </row>
    <row r="697" spans="1:57">
      <c r="A697">
        <v>0</v>
      </c>
      <c r="B697">
        <v>0</v>
      </c>
      <c r="C697">
        <v>0</v>
      </c>
      <c r="D697">
        <v>6</v>
      </c>
      <c r="E697" t="s">
        <v>81</v>
      </c>
      <c r="F697" t="s">
        <v>5762</v>
      </c>
      <c r="G697" t="s">
        <v>57</v>
      </c>
      <c r="H697">
        <v>4867</v>
      </c>
      <c r="I697">
        <v>6780</v>
      </c>
      <c r="J697" t="s">
        <v>82</v>
      </c>
      <c r="K697">
        <v>638</v>
      </c>
      <c r="L697" t="s">
        <v>83</v>
      </c>
      <c r="M697">
        <v>4</v>
      </c>
      <c r="N697" t="str">
        <f>HYPERLINK("Gene6-zp_tree_all.dnd", "Gene6-tree")</f>
        <v>Gene6-tree</v>
      </c>
      <c r="O697">
        <v>3</v>
      </c>
      <c r="P697">
        <v>1</v>
      </c>
      <c r="Q697">
        <v>3</v>
      </c>
      <c r="R697">
        <v>1</v>
      </c>
      <c r="S697">
        <v>0.25</v>
      </c>
      <c r="T697" t="s">
        <v>84</v>
      </c>
      <c r="U697" t="s">
        <v>61</v>
      </c>
      <c r="V697" t="s">
        <v>62</v>
      </c>
      <c r="W697" t="s">
        <v>62</v>
      </c>
      <c r="X697">
        <v>0</v>
      </c>
      <c r="Y697">
        <v>0</v>
      </c>
      <c r="Z697">
        <v>5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4</v>
      </c>
      <c r="AK697">
        <v>0</v>
      </c>
      <c r="AL697">
        <v>4</v>
      </c>
      <c r="AM697">
        <v>1</v>
      </c>
      <c r="AN697">
        <v>103</v>
      </c>
      <c r="AO697">
        <v>4</v>
      </c>
      <c r="AP697">
        <v>4</v>
      </c>
      <c r="AQ697">
        <v>1</v>
      </c>
      <c r="AR697" t="s">
        <v>85</v>
      </c>
      <c r="AS697" t="s">
        <v>86</v>
      </c>
      <c r="AT697">
        <v>2.7349999999999999</v>
      </c>
      <c r="AU697" t="s">
        <v>65</v>
      </c>
      <c r="AV697">
        <v>107</v>
      </c>
      <c r="AW697">
        <v>5</v>
      </c>
      <c r="AX697" t="s">
        <v>87</v>
      </c>
      <c r="AY697" t="s">
        <v>88</v>
      </c>
      <c r="AZ697" t="s">
        <v>89</v>
      </c>
      <c r="BA697">
        <v>1.417E-2</v>
      </c>
      <c r="BB697">
        <v>1</v>
      </c>
      <c r="BC697" t="s">
        <v>69</v>
      </c>
      <c r="BD697">
        <v>-0.63700000000000001</v>
      </c>
      <c r="BE697">
        <v>-0.63700000000000001</v>
      </c>
    </row>
    <row r="698" spans="1:57">
      <c r="A698">
        <v>0</v>
      </c>
      <c r="B698">
        <v>0</v>
      </c>
      <c r="C698">
        <v>0</v>
      </c>
      <c r="D698">
        <v>3011</v>
      </c>
      <c r="E698" t="s">
        <v>4015</v>
      </c>
      <c r="F698" t="s">
        <v>5762</v>
      </c>
      <c r="G698" t="s">
        <v>62</v>
      </c>
      <c r="H698">
        <v>2959260</v>
      </c>
      <c r="I698">
        <v>2961188</v>
      </c>
      <c r="J698" t="s">
        <v>4016</v>
      </c>
      <c r="K698">
        <v>643</v>
      </c>
      <c r="L698" t="s">
        <v>59</v>
      </c>
      <c r="M698">
        <v>5</v>
      </c>
      <c r="N698" t="str">
        <f>HYPERLINK("Gene3011-zp_tree_all.dnd", "Gene3011-tree")</f>
        <v>Gene3011-tree</v>
      </c>
      <c r="O698">
        <v>2</v>
      </c>
      <c r="P698">
        <v>3</v>
      </c>
      <c r="Q698">
        <v>2</v>
      </c>
      <c r="R698">
        <v>3</v>
      </c>
      <c r="S698">
        <v>0.6</v>
      </c>
      <c r="T698" t="s">
        <v>135</v>
      </c>
      <c r="U698" t="s">
        <v>84</v>
      </c>
      <c r="V698" t="s">
        <v>62</v>
      </c>
      <c r="W698" t="s">
        <v>62</v>
      </c>
      <c r="X698">
        <v>0</v>
      </c>
      <c r="Y698">
        <v>0</v>
      </c>
      <c r="Z698">
        <v>7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4</v>
      </c>
      <c r="AK698">
        <v>0</v>
      </c>
      <c r="AL698">
        <v>5</v>
      </c>
      <c r="AM698">
        <v>2</v>
      </c>
      <c r="AN698">
        <v>80</v>
      </c>
      <c r="AO698">
        <v>4</v>
      </c>
      <c r="AP698">
        <v>50</v>
      </c>
      <c r="AQ698">
        <v>3</v>
      </c>
      <c r="AR698" t="s">
        <v>4017</v>
      </c>
      <c r="AS698" t="s">
        <v>4018</v>
      </c>
      <c r="AT698">
        <v>0.184</v>
      </c>
      <c r="AU698" t="s">
        <v>65</v>
      </c>
      <c r="AV698">
        <v>130</v>
      </c>
      <c r="AW698">
        <v>7</v>
      </c>
      <c r="AX698" t="s">
        <v>4019</v>
      </c>
      <c r="AY698" t="s">
        <v>4020</v>
      </c>
      <c r="AZ698" t="s">
        <v>4021</v>
      </c>
      <c r="BA698">
        <v>1.4840000000000001E-2</v>
      </c>
      <c r="BB698">
        <v>1</v>
      </c>
      <c r="BC698" t="s">
        <v>69</v>
      </c>
      <c r="BD698">
        <v>0.22900000000000001</v>
      </c>
      <c r="BE698">
        <v>-0.111</v>
      </c>
    </row>
    <row r="699" spans="1:57">
      <c r="A699">
        <v>0</v>
      </c>
      <c r="B699">
        <v>0</v>
      </c>
      <c r="C699">
        <v>0</v>
      </c>
      <c r="D699">
        <v>3952</v>
      </c>
      <c r="E699" t="s">
        <v>5326</v>
      </c>
      <c r="F699" t="s">
        <v>5762</v>
      </c>
      <c r="G699" t="s">
        <v>62</v>
      </c>
      <c r="H699">
        <v>3915322</v>
      </c>
      <c r="I699">
        <v>3917268</v>
      </c>
      <c r="J699" t="s">
        <v>5327</v>
      </c>
      <c r="K699">
        <v>649</v>
      </c>
      <c r="L699" t="s">
        <v>59</v>
      </c>
      <c r="M699">
        <v>5</v>
      </c>
      <c r="N699" t="str">
        <f>HYPERLINK("Gene3952-zp_tree_all.dnd", "Gene3952-tree")</f>
        <v>Gene3952-tree</v>
      </c>
      <c r="O699">
        <v>4</v>
      </c>
      <c r="P699">
        <v>1</v>
      </c>
      <c r="Q699">
        <v>4</v>
      </c>
      <c r="R699">
        <v>1</v>
      </c>
      <c r="S699">
        <v>0.2</v>
      </c>
      <c r="T699" t="s">
        <v>60</v>
      </c>
      <c r="U699" t="s">
        <v>61</v>
      </c>
      <c r="V699" t="s">
        <v>62</v>
      </c>
      <c r="W699" t="s">
        <v>62</v>
      </c>
      <c r="X699">
        <v>0</v>
      </c>
      <c r="Y699">
        <v>0</v>
      </c>
      <c r="Z699">
        <v>7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2</v>
      </c>
      <c r="AK699">
        <v>0</v>
      </c>
      <c r="AL699">
        <v>5</v>
      </c>
      <c r="AM699">
        <v>2</v>
      </c>
      <c r="AN699">
        <v>36</v>
      </c>
      <c r="AO699">
        <v>2</v>
      </c>
      <c r="AP699">
        <v>59</v>
      </c>
      <c r="AQ699">
        <v>5</v>
      </c>
      <c r="AR699" t="s">
        <v>5328</v>
      </c>
      <c r="AS699" t="s">
        <v>5329</v>
      </c>
      <c r="AT699">
        <v>0.155</v>
      </c>
      <c r="AU699" t="s">
        <v>65</v>
      </c>
      <c r="AV699">
        <v>95</v>
      </c>
      <c r="AW699">
        <v>7</v>
      </c>
      <c r="AX699" t="s">
        <v>5330</v>
      </c>
      <c r="AY699" t="s">
        <v>5331</v>
      </c>
      <c r="AZ699" t="s">
        <v>5332</v>
      </c>
      <c r="BA699">
        <v>2.0389999999999998E-2</v>
      </c>
      <c r="BB699">
        <v>1</v>
      </c>
      <c r="BC699" t="s">
        <v>69</v>
      </c>
      <c r="BD699">
        <v>0.93700000000000006</v>
      </c>
      <c r="BE699">
        <v>0.79</v>
      </c>
    </row>
    <row r="700" spans="1:57">
      <c r="A700">
        <v>0</v>
      </c>
      <c r="B700">
        <v>0</v>
      </c>
      <c r="C700">
        <v>0</v>
      </c>
      <c r="D700">
        <v>4197</v>
      </c>
      <c r="E700" t="s">
        <v>5674</v>
      </c>
      <c r="F700" t="s">
        <v>5762</v>
      </c>
      <c r="G700" t="s">
        <v>62</v>
      </c>
      <c r="H700">
        <v>4163646</v>
      </c>
      <c r="I700">
        <v>4165622</v>
      </c>
      <c r="J700" t="s">
        <v>5675</v>
      </c>
      <c r="K700">
        <v>659</v>
      </c>
      <c r="L700" t="s">
        <v>59</v>
      </c>
      <c r="M700">
        <v>5</v>
      </c>
      <c r="N700" t="str">
        <f>HYPERLINK("Gene4197-zp_tree_all.dnd", "Gene4197-tree")</f>
        <v>Gene4197-tree</v>
      </c>
      <c r="O700">
        <v>4</v>
      </c>
      <c r="P700">
        <v>1</v>
      </c>
      <c r="Q700">
        <v>4</v>
      </c>
      <c r="R700">
        <v>1</v>
      </c>
      <c r="S700">
        <v>0.2</v>
      </c>
      <c r="T700" t="s">
        <v>60</v>
      </c>
      <c r="U700" t="s">
        <v>61</v>
      </c>
      <c r="V700" t="s">
        <v>62</v>
      </c>
      <c r="W700" t="s">
        <v>62</v>
      </c>
      <c r="X700">
        <v>0</v>
      </c>
      <c r="Y700">
        <v>0</v>
      </c>
      <c r="Z700">
        <v>7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2</v>
      </c>
      <c r="AK700">
        <v>0</v>
      </c>
      <c r="AL700">
        <v>5</v>
      </c>
      <c r="AM700">
        <v>2</v>
      </c>
      <c r="AN700">
        <v>46</v>
      </c>
      <c r="AO700">
        <v>2</v>
      </c>
      <c r="AP700">
        <v>65</v>
      </c>
      <c r="AQ700">
        <v>5</v>
      </c>
      <c r="AR700" t="s">
        <v>5676</v>
      </c>
      <c r="AS700" t="s">
        <v>5677</v>
      </c>
      <c r="AT700">
        <v>0.23200000000000001</v>
      </c>
      <c r="AU700" t="s">
        <v>65</v>
      </c>
      <c r="AV700">
        <v>111</v>
      </c>
      <c r="AW700">
        <v>7</v>
      </c>
      <c r="AX700" t="s">
        <v>5678</v>
      </c>
      <c r="AY700" t="s">
        <v>5679</v>
      </c>
      <c r="AZ700" t="s">
        <v>5332</v>
      </c>
      <c r="BA700">
        <v>1.865E-2</v>
      </c>
      <c r="BB700">
        <v>1</v>
      </c>
      <c r="BC700" t="s">
        <v>69</v>
      </c>
      <c r="BD700">
        <v>0.79800000000000004</v>
      </c>
      <c r="BE700">
        <v>0.65600000000000003</v>
      </c>
    </row>
    <row r="701" spans="1:57">
      <c r="A701">
        <v>0</v>
      </c>
      <c r="B701">
        <v>0</v>
      </c>
      <c r="C701">
        <v>0</v>
      </c>
      <c r="D701">
        <v>112</v>
      </c>
      <c r="E701" t="s">
        <v>446</v>
      </c>
      <c r="F701" t="s">
        <v>5762</v>
      </c>
      <c r="G701" t="s">
        <v>57</v>
      </c>
      <c r="H701">
        <v>130684</v>
      </c>
      <c r="I701">
        <v>132759</v>
      </c>
      <c r="J701" t="s">
        <v>447</v>
      </c>
      <c r="K701">
        <v>692</v>
      </c>
      <c r="L701" t="s">
        <v>59</v>
      </c>
      <c r="M701">
        <v>5</v>
      </c>
      <c r="N701" t="str">
        <f>HYPERLINK("Gene112-zp_tree_all.dnd", "Gene112-tree")</f>
        <v>Gene112-tree</v>
      </c>
      <c r="O701">
        <v>4</v>
      </c>
      <c r="P701">
        <v>1</v>
      </c>
      <c r="Q701">
        <v>4</v>
      </c>
      <c r="R701">
        <v>1</v>
      </c>
      <c r="S701">
        <v>0.2</v>
      </c>
      <c r="T701" t="s">
        <v>60</v>
      </c>
      <c r="U701" t="s">
        <v>61</v>
      </c>
      <c r="V701" t="s">
        <v>62</v>
      </c>
      <c r="W701" t="s">
        <v>62</v>
      </c>
      <c r="X701">
        <v>0</v>
      </c>
      <c r="Y701">
        <v>0</v>
      </c>
      <c r="Z701">
        <v>5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1</v>
      </c>
      <c r="AK701">
        <v>0</v>
      </c>
      <c r="AL701">
        <v>4</v>
      </c>
      <c r="AM701">
        <v>2</v>
      </c>
      <c r="AN701">
        <v>30</v>
      </c>
      <c r="AO701">
        <v>1</v>
      </c>
      <c r="AP701">
        <v>30</v>
      </c>
      <c r="AQ701">
        <v>5</v>
      </c>
      <c r="AR701" t="s">
        <v>448</v>
      </c>
      <c r="AS701" t="s">
        <v>449</v>
      </c>
      <c r="AT701">
        <v>0.72299999999999998</v>
      </c>
      <c r="AU701" t="s">
        <v>65</v>
      </c>
      <c r="AV701">
        <v>60</v>
      </c>
      <c r="AW701">
        <v>6</v>
      </c>
      <c r="AX701" t="s">
        <v>450</v>
      </c>
      <c r="AY701" t="s">
        <v>451</v>
      </c>
      <c r="AZ701" t="s">
        <v>452</v>
      </c>
      <c r="BA701">
        <v>3.2960000000000003E-2</v>
      </c>
      <c r="BB701">
        <v>1</v>
      </c>
      <c r="BC701" t="s">
        <v>69</v>
      </c>
      <c r="BD701">
        <v>0.46100000000000002</v>
      </c>
      <c r="BE701">
        <v>0.34</v>
      </c>
    </row>
    <row r="702" spans="1:57">
      <c r="A702">
        <v>0</v>
      </c>
      <c r="B702">
        <v>0</v>
      </c>
      <c r="C702">
        <v>0</v>
      </c>
      <c r="D702">
        <v>1444</v>
      </c>
      <c r="E702" t="s">
        <v>1906</v>
      </c>
      <c r="F702" t="s">
        <v>5762</v>
      </c>
      <c r="G702" t="s">
        <v>57</v>
      </c>
      <c r="H702">
        <v>1457187</v>
      </c>
      <c r="I702">
        <v>1459283</v>
      </c>
      <c r="J702" t="s">
        <v>1907</v>
      </c>
      <c r="K702">
        <v>699</v>
      </c>
      <c r="L702" t="s">
        <v>83</v>
      </c>
      <c r="M702">
        <v>4</v>
      </c>
      <c r="N702" t="str">
        <f>HYPERLINK("Gene1444-zp_tree_all.dnd", "Gene1444-tree")</f>
        <v>Gene1444-tree</v>
      </c>
      <c r="O702">
        <v>2</v>
      </c>
      <c r="P702">
        <v>2</v>
      </c>
      <c r="Q702">
        <v>2</v>
      </c>
      <c r="R702">
        <v>2</v>
      </c>
      <c r="S702">
        <v>0.5</v>
      </c>
      <c r="T702" t="s">
        <v>135</v>
      </c>
      <c r="U702" t="s">
        <v>135</v>
      </c>
      <c r="V702" t="s">
        <v>62</v>
      </c>
      <c r="W702" t="s">
        <v>62</v>
      </c>
      <c r="X702">
        <v>0</v>
      </c>
      <c r="Y702">
        <v>0</v>
      </c>
      <c r="Z702">
        <v>10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9</v>
      </c>
      <c r="AK702">
        <v>0</v>
      </c>
      <c r="AL702">
        <v>4</v>
      </c>
      <c r="AM702">
        <v>1</v>
      </c>
      <c r="AN702">
        <v>102</v>
      </c>
      <c r="AO702">
        <v>10</v>
      </c>
      <c r="AP702">
        <v>2</v>
      </c>
      <c r="AQ702">
        <v>1</v>
      </c>
      <c r="AR702" t="s">
        <v>1908</v>
      </c>
      <c r="AS702" t="s">
        <v>1909</v>
      </c>
      <c r="AT702">
        <v>2.2570000000000001</v>
      </c>
      <c r="AU702" t="s">
        <v>65</v>
      </c>
      <c r="AV702">
        <v>104</v>
      </c>
      <c r="AW702">
        <v>11</v>
      </c>
      <c r="AX702" t="s">
        <v>1910</v>
      </c>
      <c r="AY702" t="s">
        <v>1911</v>
      </c>
      <c r="AZ702" t="s">
        <v>1912</v>
      </c>
      <c r="BA702">
        <v>3.0589999999999999E-2</v>
      </c>
      <c r="BB702">
        <v>1</v>
      </c>
      <c r="BC702" t="s">
        <v>69</v>
      </c>
      <c r="BD702">
        <v>-0.76</v>
      </c>
      <c r="BE702">
        <v>-0.76</v>
      </c>
    </row>
    <row r="703" spans="1:57">
      <c r="A703">
        <v>0</v>
      </c>
      <c r="B703">
        <v>0</v>
      </c>
      <c r="C703">
        <v>0</v>
      </c>
      <c r="D703">
        <v>1801</v>
      </c>
      <c r="E703" t="s">
        <v>2705</v>
      </c>
      <c r="F703" t="s">
        <v>5762</v>
      </c>
      <c r="G703" t="s">
        <v>57</v>
      </c>
      <c r="H703">
        <v>1868969</v>
      </c>
      <c r="I703">
        <v>1871068</v>
      </c>
      <c r="J703" t="s">
        <v>2706</v>
      </c>
      <c r="K703">
        <v>700</v>
      </c>
      <c r="L703" t="s">
        <v>83</v>
      </c>
      <c r="M703">
        <v>4</v>
      </c>
      <c r="N703" t="str">
        <f>HYPERLINK("Gene1801-zp_tree_all.dnd", "Gene1801-tree")</f>
        <v>Gene1801-tree</v>
      </c>
      <c r="O703">
        <v>1</v>
      </c>
      <c r="P703">
        <v>3</v>
      </c>
      <c r="Q703">
        <v>1</v>
      </c>
      <c r="R703">
        <v>3</v>
      </c>
      <c r="S703">
        <v>0.75</v>
      </c>
      <c r="T703" t="s">
        <v>61</v>
      </c>
      <c r="U703" t="s">
        <v>84</v>
      </c>
      <c r="V703" t="s">
        <v>62</v>
      </c>
      <c r="W703" t="s">
        <v>62</v>
      </c>
      <c r="X703">
        <v>0</v>
      </c>
      <c r="Y703">
        <v>0</v>
      </c>
      <c r="Z703">
        <v>9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6</v>
      </c>
      <c r="AK703">
        <v>0</v>
      </c>
      <c r="AL703">
        <v>4</v>
      </c>
      <c r="AM703">
        <v>1</v>
      </c>
      <c r="AN703">
        <v>117</v>
      </c>
      <c r="AO703">
        <v>6</v>
      </c>
      <c r="AP703">
        <v>15</v>
      </c>
      <c r="AQ703">
        <v>3</v>
      </c>
      <c r="AR703" t="s">
        <v>2707</v>
      </c>
      <c r="AS703" t="s">
        <v>2708</v>
      </c>
      <c r="AT703">
        <v>4.9340000000000002</v>
      </c>
      <c r="AU703" t="s">
        <v>65</v>
      </c>
      <c r="AV703">
        <v>132</v>
      </c>
      <c r="AW703">
        <v>9</v>
      </c>
      <c r="AX703" t="s">
        <v>2709</v>
      </c>
      <c r="AY703" t="s">
        <v>2710</v>
      </c>
      <c r="AZ703" t="s">
        <v>2711</v>
      </c>
      <c r="BA703">
        <v>2.0820000000000002E-2</v>
      </c>
      <c r="BB703">
        <v>1</v>
      </c>
      <c r="BC703" t="s">
        <v>69</v>
      </c>
      <c r="BD703">
        <v>0.36899999999999999</v>
      </c>
      <c r="BE703">
        <v>-4.4999999999999998E-2</v>
      </c>
    </row>
    <row r="704" spans="1:57">
      <c r="A704">
        <v>0</v>
      </c>
      <c r="B704">
        <v>0</v>
      </c>
      <c r="C704">
        <v>0</v>
      </c>
      <c r="D704">
        <v>1731</v>
      </c>
      <c r="E704" t="s">
        <v>2609</v>
      </c>
      <c r="F704" t="s">
        <v>5762</v>
      </c>
      <c r="G704" t="s">
        <v>57</v>
      </c>
      <c r="H704">
        <v>1739383</v>
      </c>
      <c r="I704">
        <v>1741497</v>
      </c>
      <c r="J704" t="s">
        <v>2610</v>
      </c>
      <c r="K704">
        <v>705</v>
      </c>
      <c r="L704" t="s">
        <v>83</v>
      </c>
      <c r="M704">
        <v>4</v>
      </c>
      <c r="N704" t="str">
        <f>HYPERLINK("Gene1731-zp_tree_all.dnd", "Gene1731-tree")</f>
        <v>Gene1731-tree</v>
      </c>
      <c r="O704">
        <v>2</v>
      </c>
      <c r="P704">
        <v>2</v>
      </c>
      <c r="Q704">
        <v>2</v>
      </c>
      <c r="R704">
        <v>2</v>
      </c>
      <c r="S704">
        <v>0.5</v>
      </c>
      <c r="T704" t="s">
        <v>135</v>
      </c>
      <c r="U704" t="s">
        <v>135</v>
      </c>
      <c r="V704" t="s">
        <v>62</v>
      </c>
      <c r="W704" t="s">
        <v>62</v>
      </c>
      <c r="X704">
        <v>0</v>
      </c>
      <c r="Y704">
        <v>0</v>
      </c>
      <c r="Z704">
        <v>12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12</v>
      </c>
      <c r="AK704">
        <v>0</v>
      </c>
      <c r="AL704">
        <v>4</v>
      </c>
      <c r="AM704">
        <v>1</v>
      </c>
      <c r="AN704">
        <v>98</v>
      </c>
      <c r="AO704">
        <v>13</v>
      </c>
      <c r="AP704">
        <v>4</v>
      </c>
      <c r="AQ704">
        <v>0</v>
      </c>
      <c r="AR704" t="s">
        <v>2611</v>
      </c>
      <c r="AS704" t="s">
        <v>64</v>
      </c>
      <c r="AT704">
        <v>0.48499999999999999</v>
      </c>
      <c r="AU704" t="s">
        <v>65</v>
      </c>
      <c r="AV704">
        <v>102</v>
      </c>
      <c r="AW704">
        <v>13</v>
      </c>
      <c r="AX704" t="s">
        <v>2612</v>
      </c>
      <c r="AY704" t="s">
        <v>2613</v>
      </c>
      <c r="AZ704" t="s">
        <v>2614</v>
      </c>
      <c r="BA704">
        <v>3.449E-2</v>
      </c>
      <c r="BB704">
        <v>1</v>
      </c>
      <c r="BC704" t="s">
        <v>69</v>
      </c>
      <c r="BD704">
        <v>-0.54900000000000004</v>
      </c>
      <c r="BE704">
        <v>-0.81399999999999995</v>
      </c>
    </row>
    <row r="705" spans="1:57">
      <c r="A705">
        <v>0</v>
      </c>
      <c r="B705">
        <v>2</v>
      </c>
      <c r="C705">
        <v>0</v>
      </c>
      <c r="D705">
        <v>1725</v>
      </c>
      <c r="E705" t="s">
        <v>2593</v>
      </c>
      <c r="F705" t="s">
        <v>5762</v>
      </c>
      <c r="G705" t="s">
        <v>57</v>
      </c>
      <c r="H705">
        <v>1734009</v>
      </c>
      <c r="I705">
        <v>1736156</v>
      </c>
      <c r="J705" t="s">
        <v>2594</v>
      </c>
      <c r="K705">
        <v>716</v>
      </c>
      <c r="L705" t="s">
        <v>59</v>
      </c>
      <c r="M705">
        <v>5</v>
      </c>
      <c r="N705" t="str">
        <f>HYPERLINK("Gene1725-zp_tree_all.dnd", "Gene1725-tree")</f>
        <v>Gene1725-tree</v>
      </c>
      <c r="O705">
        <v>1</v>
      </c>
      <c r="P705">
        <v>4</v>
      </c>
      <c r="Q705">
        <v>1</v>
      </c>
      <c r="R705">
        <v>4</v>
      </c>
      <c r="S705">
        <v>0.8</v>
      </c>
      <c r="T705" t="s">
        <v>61</v>
      </c>
      <c r="U705" t="s">
        <v>60</v>
      </c>
      <c r="V705" t="s">
        <v>62</v>
      </c>
      <c r="W705" t="s">
        <v>62</v>
      </c>
      <c r="X705">
        <v>1</v>
      </c>
      <c r="Y705">
        <v>2</v>
      </c>
      <c r="Z705">
        <v>6</v>
      </c>
      <c r="AA705">
        <v>0.25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2</v>
      </c>
      <c r="AH705">
        <v>0</v>
      </c>
      <c r="AI705">
        <v>2</v>
      </c>
      <c r="AJ705">
        <v>2</v>
      </c>
      <c r="AK705">
        <v>0.5</v>
      </c>
      <c r="AL705">
        <v>5</v>
      </c>
      <c r="AM705">
        <v>2</v>
      </c>
      <c r="AN705">
        <v>49</v>
      </c>
      <c r="AO705">
        <v>4</v>
      </c>
      <c r="AP705">
        <v>56</v>
      </c>
      <c r="AQ705">
        <v>4</v>
      </c>
      <c r="AR705" t="s">
        <v>2595</v>
      </c>
      <c r="AS705" t="s">
        <v>2596</v>
      </c>
      <c r="AT705">
        <v>0.154</v>
      </c>
      <c r="AU705" t="s">
        <v>65</v>
      </c>
      <c r="AV705">
        <v>105</v>
      </c>
      <c r="AW705">
        <v>8</v>
      </c>
      <c r="AX705" t="s">
        <v>2597</v>
      </c>
      <c r="AY705" t="s">
        <v>2598</v>
      </c>
      <c r="AZ705" t="s">
        <v>2599</v>
      </c>
      <c r="BA705">
        <v>1.9359999999999999E-2</v>
      </c>
      <c r="BB705">
        <v>1</v>
      </c>
      <c r="BC705" t="s">
        <v>69</v>
      </c>
      <c r="BD705">
        <v>0.64200000000000002</v>
      </c>
      <c r="BE705">
        <v>0.56799999999999995</v>
      </c>
    </row>
    <row r="706" spans="1:57">
      <c r="A706">
        <v>0</v>
      </c>
      <c r="B706">
        <v>0</v>
      </c>
      <c r="C706">
        <v>0</v>
      </c>
      <c r="D706">
        <v>2874</v>
      </c>
      <c r="E706" t="s">
        <v>3735</v>
      </c>
      <c r="F706" t="s">
        <v>5762</v>
      </c>
      <c r="G706" t="s">
        <v>62</v>
      </c>
      <c r="H706">
        <v>2820532</v>
      </c>
      <c r="I706">
        <v>2822733</v>
      </c>
      <c r="J706" t="s">
        <v>3736</v>
      </c>
      <c r="K706">
        <v>734</v>
      </c>
      <c r="L706" t="s">
        <v>59</v>
      </c>
      <c r="M706">
        <v>5</v>
      </c>
      <c r="N706" t="str">
        <f>HYPERLINK("Gene2874-zp_tree_all.dnd", "Gene2874-tree")</f>
        <v>Gene2874-tree</v>
      </c>
      <c r="O706">
        <v>4</v>
      </c>
      <c r="P706">
        <v>1</v>
      </c>
      <c r="Q706">
        <v>4</v>
      </c>
      <c r="R706">
        <v>1</v>
      </c>
      <c r="S706">
        <v>0.2</v>
      </c>
      <c r="T706" t="s">
        <v>60</v>
      </c>
      <c r="U706" t="s">
        <v>61</v>
      </c>
      <c r="V706" t="s">
        <v>62</v>
      </c>
      <c r="W706" t="s">
        <v>62</v>
      </c>
      <c r="X706">
        <v>0</v>
      </c>
      <c r="Y706">
        <v>0</v>
      </c>
      <c r="Z706">
        <v>4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1</v>
      </c>
      <c r="AK706">
        <v>0</v>
      </c>
      <c r="AL706">
        <v>5</v>
      </c>
      <c r="AM706">
        <v>2</v>
      </c>
      <c r="AN706">
        <v>78</v>
      </c>
      <c r="AO706">
        <v>1</v>
      </c>
      <c r="AP706">
        <v>69</v>
      </c>
      <c r="AQ706">
        <v>3</v>
      </c>
      <c r="AR706" t="s">
        <v>3737</v>
      </c>
      <c r="AS706" t="s">
        <v>3738</v>
      </c>
      <c r="AT706">
        <v>0.52600000000000002</v>
      </c>
      <c r="AU706" t="s">
        <v>65</v>
      </c>
      <c r="AV706">
        <v>147</v>
      </c>
      <c r="AW706">
        <v>4</v>
      </c>
      <c r="AX706" t="s">
        <v>3739</v>
      </c>
      <c r="AY706" t="s">
        <v>3740</v>
      </c>
      <c r="AZ706" t="s">
        <v>3741</v>
      </c>
      <c r="BA706">
        <v>8.6400000000000001E-3</v>
      </c>
      <c r="BB706">
        <v>1</v>
      </c>
      <c r="BC706" t="s">
        <v>69</v>
      </c>
      <c r="BD706">
        <v>0.47499999999999998</v>
      </c>
      <c r="BE706">
        <v>0.26100000000000001</v>
      </c>
    </row>
    <row r="707" spans="1:57">
      <c r="A707">
        <v>0</v>
      </c>
      <c r="B707">
        <v>0</v>
      </c>
      <c r="C707">
        <v>0</v>
      </c>
      <c r="D707">
        <v>3488</v>
      </c>
      <c r="E707" t="s">
        <v>4773</v>
      </c>
      <c r="F707" t="s">
        <v>5762</v>
      </c>
      <c r="G707" t="s">
        <v>62</v>
      </c>
      <c r="H707">
        <v>3451866</v>
      </c>
      <c r="I707">
        <v>3454202</v>
      </c>
      <c r="J707" t="s">
        <v>4774</v>
      </c>
      <c r="K707">
        <v>779</v>
      </c>
      <c r="L707" t="s">
        <v>59</v>
      </c>
      <c r="M707">
        <v>5</v>
      </c>
      <c r="N707" t="str">
        <f>HYPERLINK("Gene3488-zp_tree_all.dnd", "Gene3488-tree")</f>
        <v>Gene3488-tree</v>
      </c>
      <c r="O707">
        <v>2</v>
      </c>
      <c r="P707">
        <v>3</v>
      </c>
      <c r="Q707">
        <v>2</v>
      </c>
      <c r="R707">
        <v>3</v>
      </c>
      <c r="S707">
        <v>0.6</v>
      </c>
      <c r="T707" t="s">
        <v>135</v>
      </c>
      <c r="U707" t="s">
        <v>84</v>
      </c>
      <c r="V707" t="s">
        <v>62</v>
      </c>
      <c r="W707" t="s">
        <v>62</v>
      </c>
      <c r="X707">
        <v>0</v>
      </c>
      <c r="Y707">
        <v>0</v>
      </c>
      <c r="Z707">
        <v>11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6</v>
      </c>
      <c r="AK707">
        <v>0</v>
      </c>
      <c r="AL707">
        <v>5</v>
      </c>
      <c r="AM707">
        <v>2</v>
      </c>
      <c r="AN707">
        <v>98</v>
      </c>
      <c r="AO707">
        <v>6</v>
      </c>
      <c r="AP707">
        <v>72</v>
      </c>
      <c r="AQ707">
        <v>5</v>
      </c>
      <c r="AR707" t="s">
        <v>4775</v>
      </c>
      <c r="AS707" t="s">
        <v>4776</v>
      </c>
      <c r="AT707">
        <v>5.2999999999999999E-2</v>
      </c>
      <c r="AU707" t="s">
        <v>65</v>
      </c>
      <c r="AV707">
        <v>170</v>
      </c>
      <c r="AW707">
        <v>11</v>
      </c>
      <c r="AX707" t="s">
        <v>4777</v>
      </c>
      <c r="AY707" t="s">
        <v>4778</v>
      </c>
      <c r="AZ707" t="s">
        <v>4779</v>
      </c>
      <c r="BA707">
        <v>1.7309999999999999E-2</v>
      </c>
      <c r="BB707">
        <v>1</v>
      </c>
      <c r="BC707" t="s">
        <v>69</v>
      </c>
      <c r="BD707">
        <v>0.504</v>
      </c>
      <c r="BE707">
        <v>2.4E-2</v>
      </c>
    </row>
    <row r="708" spans="1:57">
      <c r="A708">
        <v>0</v>
      </c>
      <c r="B708">
        <v>6</v>
      </c>
      <c r="C708">
        <v>0</v>
      </c>
      <c r="D708">
        <v>3147</v>
      </c>
      <c r="E708" t="s">
        <v>4270</v>
      </c>
      <c r="F708" t="s">
        <v>5762</v>
      </c>
      <c r="G708" t="s">
        <v>62</v>
      </c>
      <c r="H708">
        <v>3102632</v>
      </c>
      <c r="I708">
        <v>3105043</v>
      </c>
      <c r="J708" t="s">
        <v>4271</v>
      </c>
      <c r="K708">
        <v>804</v>
      </c>
      <c r="L708" t="s">
        <v>59</v>
      </c>
      <c r="M708">
        <v>5</v>
      </c>
      <c r="N708" t="str">
        <f>HYPERLINK("Gene3147-zp_tree_all.dnd", "Gene3147-tree")</f>
        <v>Gene3147-tree</v>
      </c>
      <c r="O708">
        <v>1</v>
      </c>
      <c r="P708">
        <v>4</v>
      </c>
      <c r="Q708">
        <v>1</v>
      </c>
      <c r="R708">
        <v>4</v>
      </c>
      <c r="S708">
        <v>0.8</v>
      </c>
      <c r="T708" t="s">
        <v>61</v>
      </c>
      <c r="U708" t="s">
        <v>60</v>
      </c>
      <c r="V708" t="s">
        <v>62</v>
      </c>
      <c r="W708" t="s">
        <v>62</v>
      </c>
      <c r="X708">
        <v>3</v>
      </c>
      <c r="Y708">
        <v>6</v>
      </c>
      <c r="Z708">
        <v>18</v>
      </c>
      <c r="AA708">
        <v>0.25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14</v>
      </c>
      <c r="AK708">
        <v>0</v>
      </c>
      <c r="AL708">
        <v>5</v>
      </c>
      <c r="AM708">
        <v>2</v>
      </c>
      <c r="AN708">
        <v>78</v>
      </c>
      <c r="AO708">
        <v>14</v>
      </c>
      <c r="AP708">
        <v>76</v>
      </c>
      <c r="AQ708">
        <v>10</v>
      </c>
      <c r="AR708" t="s">
        <v>4272</v>
      </c>
      <c r="AS708" t="s">
        <v>4273</v>
      </c>
      <c r="AT708">
        <v>0.36499999999999999</v>
      </c>
      <c r="AU708" t="s">
        <v>65</v>
      </c>
      <c r="AV708">
        <v>154</v>
      </c>
      <c r="AW708">
        <v>24</v>
      </c>
      <c r="AX708" t="s">
        <v>4274</v>
      </c>
      <c r="AY708" t="s">
        <v>4275</v>
      </c>
      <c r="AZ708" t="s">
        <v>4276</v>
      </c>
      <c r="BA708">
        <v>3.6089999999999997E-2</v>
      </c>
      <c r="BB708">
        <v>1</v>
      </c>
      <c r="BC708" t="s">
        <v>69</v>
      </c>
      <c r="BD708">
        <v>0.42199999999999999</v>
      </c>
      <c r="BE708">
        <v>0.24199999999999999</v>
      </c>
    </row>
    <row r="709" spans="1:57">
      <c r="A709">
        <v>0</v>
      </c>
      <c r="B709">
        <v>0</v>
      </c>
      <c r="C709">
        <v>0</v>
      </c>
      <c r="D709">
        <v>3657</v>
      </c>
      <c r="E709" t="s">
        <v>4941</v>
      </c>
      <c r="F709" t="s">
        <v>5762</v>
      </c>
      <c r="G709" t="s">
        <v>62</v>
      </c>
      <c r="H709">
        <v>3628313</v>
      </c>
      <c r="I709">
        <v>3630835</v>
      </c>
      <c r="J709" t="s">
        <v>4942</v>
      </c>
      <c r="K709">
        <v>841</v>
      </c>
      <c r="L709" t="s">
        <v>83</v>
      </c>
      <c r="M709">
        <v>4</v>
      </c>
      <c r="N709" t="str">
        <f>HYPERLINK("Gene3657-zp_tree_all.dnd", "Gene3657-tree")</f>
        <v>Gene3657-tree</v>
      </c>
      <c r="O709">
        <v>2</v>
      </c>
      <c r="P709">
        <v>2</v>
      </c>
      <c r="Q709">
        <v>2</v>
      </c>
      <c r="R709">
        <v>2</v>
      </c>
      <c r="S709">
        <v>0.5</v>
      </c>
      <c r="T709" t="s">
        <v>135</v>
      </c>
      <c r="U709" t="s">
        <v>135</v>
      </c>
      <c r="V709" t="s">
        <v>62</v>
      </c>
      <c r="W709" t="s">
        <v>62</v>
      </c>
      <c r="X709">
        <v>0</v>
      </c>
      <c r="Y709">
        <v>0</v>
      </c>
      <c r="Z709">
        <v>17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17</v>
      </c>
      <c r="AK709">
        <v>0</v>
      </c>
      <c r="AL709">
        <v>4</v>
      </c>
      <c r="AM709">
        <v>1</v>
      </c>
      <c r="AN709">
        <v>117</v>
      </c>
      <c r="AO709">
        <v>17</v>
      </c>
      <c r="AP709">
        <v>16</v>
      </c>
      <c r="AQ709">
        <v>0</v>
      </c>
      <c r="AR709" t="s">
        <v>4943</v>
      </c>
      <c r="AS709" t="s">
        <v>64</v>
      </c>
      <c r="AT709">
        <v>0.48699999999999999</v>
      </c>
      <c r="AU709" t="s">
        <v>65</v>
      </c>
      <c r="AV709">
        <v>133</v>
      </c>
      <c r="AW709">
        <v>17</v>
      </c>
      <c r="AX709" t="s">
        <v>4944</v>
      </c>
      <c r="AY709" t="s">
        <v>4945</v>
      </c>
      <c r="AZ709" t="s">
        <v>4946</v>
      </c>
      <c r="BA709">
        <v>3.2969999999999999E-2</v>
      </c>
      <c r="BB709">
        <v>1</v>
      </c>
      <c r="BC709" t="s">
        <v>69</v>
      </c>
      <c r="BD709">
        <v>-0.32400000000000001</v>
      </c>
      <c r="BE709">
        <v>-0.66700000000000004</v>
      </c>
    </row>
    <row r="710" spans="1:57">
      <c r="A710">
        <v>0</v>
      </c>
      <c r="B710">
        <v>0</v>
      </c>
      <c r="C710">
        <v>0</v>
      </c>
      <c r="D710">
        <v>107</v>
      </c>
      <c r="E710" t="s">
        <v>418</v>
      </c>
      <c r="F710" t="s">
        <v>5762</v>
      </c>
      <c r="G710" t="s">
        <v>57</v>
      </c>
      <c r="H710">
        <v>121919</v>
      </c>
      <c r="I710">
        <v>125497</v>
      </c>
      <c r="J710" t="s">
        <v>419</v>
      </c>
      <c r="K710">
        <v>1193</v>
      </c>
      <c r="L710" t="s">
        <v>59</v>
      </c>
      <c r="M710">
        <v>5</v>
      </c>
      <c r="N710" t="str">
        <f>HYPERLINK("Gene107-zp_tree_all.dnd", "Gene107-tree")</f>
        <v>Gene107-tree</v>
      </c>
      <c r="O710">
        <v>4</v>
      </c>
      <c r="P710">
        <v>1</v>
      </c>
      <c r="Q710">
        <v>4</v>
      </c>
      <c r="R710">
        <v>1</v>
      </c>
      <c r="S710">
        <v>0.2</v>
      </c>
      <c r="T710" t="s">
        <v>60</v>
      </c>
      <c r="U710" t="s">
        <v>61</v>
      </c>
      <c r="V710" t="s">
        <v>62</v>
      </c>
      <c r="W710" t="s">
        <v>62</v>
      </c>
      <c r="X710">
        <v>0</v>
      </c>
      <c r="Y710">
        <v>0</v>
      </c>
      <c r="Z710">
        <v>3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2</v>
      </c>
      <c r="AK710">
        <v>0</v>
      </c>
      <c r="AL710">
        <v>5</v>
      </c>
      <c r="AM710">
        <v>2</v>
      </c>
      <c r="AN710">
        <v>77</v>
      </c>
      <c r="AO710">
        <v>2</v>
      </c>
      <c r="AP710">
        <v>59</v>
      </c>
      <c r="AQ710">
        <v>1</v>
      </c>
      <c r="AR710" t="s">
        <v>420</v>
      </c>
      <c r="AS710" t="s">
        <v>421</v>
      </c>
      <c r="AT710">
        <v>0.17699999999999999</v>
      </c>
      <c r="AU710" t="s">
        <v>65</v>
      </c>
      <c r="AV710">
        <v>136</v>
      </c>
      <c r="AW710">
        <v>3</v>
      </c>
      <c r="AX710" t="s">
        <v>422</v>
      </c>
      <c r="AY710" t="s">
        <v>423</v>
      </c>
      <c r="AZ710" t="s">
        <v>424</v>
      </c>
      <c r="BA710">
        <v>6.3200000000000001E-3</v>
      </c>
      <c r="BB710">
        <v>1</v>
      </c>
      <c r="BC710" t="s">
        <v>69</v>
      </c>
      <c r="BD710">
        <v>0.35399999999999998</v>
      </c>
      <c r="BE710">
        <v>7.2999999999999995E-2</v>
      </c>
    </row>
    <row r="711" spans="1:57">
      <c r="A711">
        <v>0</v>
      </c>
      <c r="B711">
        <v>0</v>
      </c>
      <c r="C711">
        <v>0</v>
      </c>
      <c r="D711">
        <v>108</v>
      </c>
      <c r="E711" t="s">
        <v>425</v>
      </c>
      <c r="F711" t="s">
        <v>5762</v>
      </c>
      <c r="G711" t="s">
        <v>57</v>
      </c>
      <c r="H711">
        <v>125562</v>
      </c>
      <c r="I711">
        <v>129158</v>
      </c>
      <c r="J711" t="s">
        <v>426</v>
      </c>
      <c r="K711">
        <v>1199</v>
      </c>
      <c r="L711" t="s">
        <v>59</v>
      </c>
      <c r="M711">
        <v>5</v>
      </c>
      <c r="N711" t="str">
        <f>HYPERLINK("Gene108-zp_tree_all.dnd", "Gene108-tree")</f>
        <v>Gene108-tree</v>
      </c>
      <c r="O711">
        <v>4</v>
      </c>
      <c r="P711">
        <v>1</v>
      </c>
      <c r="Q711">
        <v>4</v>
      </c>
      <c r="R711">
        <v>1</v>
      </c>
      <c r="S711">
        <v>0.2</v>
      </c>
      <c r="T711" t="s">
        <v>60</v>
      </c>
      <c r="U711" t="s">
        <v>61</v>
      </c>
      <c r="V711" t="s">
        <v>62</v>
      </c>
      <c r="W711" t="s">
        <v>62</v>
      </c>
      <c r="X711">
        <v>0</v>
      </c>
      <c r="Y711">
        <v>0</v>
      </c>
      <c r="Z711">
        <v>3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1</v>
      </c>
      <c r="AK711">
        <v>0</v>
      </c>
      <c r="AL711">
        <v>5</v>
      </c>
      <c r="AM711">
        <v>2</v>
      </c>
      <c r="AN711">
        <v>62</v>
      </c>
      <c r="AO711">
        <v>1</v>
      </c>
      <c r="AP711">
        <v>67</v>
      </c>
      <c r="AQ711">
        <v>2</v>
      </c>
      <c r="AR711" t="s">
        <v>427</v>
      </c>
      <c r="AS711" t="s">
        <v>428</v>
      </c>
      <c r="AT711">
        <v>0.27400000000000002</v>
      </c>
      <c r="AU711" t="s">
        <v>65</v>
      </c>
      <c r="AV711">
        <v>129</v>
      </c>
      <c r="AW711">
        <v>3</v>
      </c>
      <c r="AX711" t="s">
        <v>429</v>
      </c>
      <c r="AY711" t="s">
        <v>430</v>
      </c>
      <c r="AZ711" t="s">
        <v>431</v>
      </c>
      <c r="BA711">
        <v>7.4099999999999999E-3</v>
      </c>
      <c r="BB711">
        <v>1</v>
      </c>
      <c r="BC711" t="s">
        <v>69</v>
      </c>
      <c r="BD711">
        <v>0.57099999999999995</v>
      </c>
      <c r="BE711">
        <v>0.45700000000000002</v>
      </c>
    </row>
    <row r="712" spans="1:57">
      <c r="A712">
        <v>0</v>
      </c>
      <c r="B712">
        <v>12</v>
      </c>
      <c r="C712">
        <v>5</v>
      </c>
      <c r="D712">
        <v>4063</v>
      </c>
      <c r="E712" t="s">
        <v>5452</v>
      </c>
      <c r="F712" t="s">
        <v>5762</v>
      </c>
      <c r="G712" t="s">
        <v>62</v>
      </c>
      <c r="H712">
        <v>4023547</v>
      </c>
      <c r="I712">
        <v>4030548</v>
      </c>
      <c r="J712" t="s">
        <v>5453</v>
      </c>
      <c r="K712">
        <v>2334</v>
      </c>
      <c r="L712" t="s">
        <v>112</v>
      </c>
      <c r="M712">
        <v>4</v>
      </c>
      <c r="N712" t="str">
        <f>HYPERLINK("Gene4063-zp_tree_all.dnd", "Gene4063-tree")</f>
        <v>Gene4063-tree</v>
      </c>
      <c r="O712">
        <v>0</v>
      </c>
      <c r="P712">
        <v>4</v>
      </c>
      <c r="Q712">
        <v>0</v>
      </c>
      <c r="R712">
        <v>4</v>
      </c>
      <c r="S712">
        <v>1</v>
      </c>
      <c r="T712" t="s">
        <v>62</v>
      </c>
      <c r="U712" t="s">
        <v>60</v>
      </c>
      <c r="V712" t="s">
        <v>62</v>
      </c>
      <c r="W712" t="s">
        <v>62</v>
      </c>
      <c r="X712">
        <v>8</v>
      </c>
      <c r="Y712">
        <v>17</v>
      </c>
      <c r="Z712">
        <v>71</v>
      </c>
      <c r="AA712">
        <v>0.19317999999999999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8</v>
      </c>
      <c r="AH712">
        <v>9</v>
      </c>
      <c r="AI712">
        <v>17</v>
      </c>
      <c r="AJ712">
        <v>71</v>
      </c>
      <c r="AK712">
        <v>0.19317999999999999</v>
      </c>
      <c r="AL712">
        <v>4</v>
      </c>
      <c r="AM712">
        <v>1</v>
      </c>
      <c r="AN712">
        <v>438</v>
      </c>
      <c r="AO712">
        <v>87</v>
      </c>
      <c r="AP712">
        <v>38</v>
      </c>
      <c r="AQ712">
        <v>3</v>
      </c>
      <c r="AR712" t="s">
        <v>5454</v>
      </c>
      <c r="AS712" t="s">
        <v>5455</v>
      </c>
      <c r="AT712">
        <v>2.028</v>
      </c>
      <c r="AU712" t="s">
        <v>286</v>
      </c>
      <c r="AV712">
        <v>476</v>
      </c>
      <c r="AW712">
        <v>90</v>
      </c>
      <c r="AX712" t="s">
        <v>5456</v>
      </c>
      <c r="AY712" t="s">
        <v>5457</v>
      </c>
      <c r="AZ712" t="s">
        <v>5458</v>
      </c>
      <c r="BA712">
        <v>5.0770000000000003E-2</v>
      </c>
      <c r="BB712">
        <v>1</v>
      </c>
      <c r="BC712" t="s">
        <v>69</v>
      </c>
      <c r="BD712">
        <v>-0.129</v>
      </c>
      <c r="BE712">
        <v>-0.45700000000000002</v>
      </c>
    </row>
  </sheetData>
  <sortState xmlns:xlrd2="http://schemas.microsoft.com/office/spreadsheetml/2017/richdata2" ref="A3:BE712">
    <sortCondition ref="K3:K7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170"/>
  <sheetViews>
    <sheetView tabSelected="1" zoomScale="120" zoomScaleNormal="120" workbookViewId="0">
      <selection activeCell="B1" sqref="B1"/>
    </sheetView>
  </sheetViews>
  <sheetFormatPr baseColWidth="10" defaultColWidth="8.83203125" defaultRowHeight="15"/>
  <cols>
    <col min="10" max="10" width="10.83203125" customWidth="1"/>
    <col min="24" max="24" width="28" bestFit="1" customWidth="1"/>
  </cols>
  <sheetData>
    <row r="1" spans="1:57">
      <c r="A1">
        <f>SUM(A3:A170)</f>
        <v>0</v>
      </c>
      <c r="B1">
        <f t="shared" ref="B1:C1" si="0">SUM(B3:B170)</f>
        <v>39</v>
      </c>
      <c r="C1">
        <f t="shared" si="0"/>
        <v>56</v>
      </c>
      <c r="E1" t="s">
        <v>0</v>
      </c>
      <c r="N1" t="s">
        <v>1</v>
      </c>
      <c r="X1" t="s">
        <v>2</v>
      </c>
      <c r="Y1">
        <f t="shared" ref="Y1" si="1">SUM(Y3:Y170)</f>
        <v>95</v>
      </c>
      <c r="AL1" t="s">
        <v>3</v>
      </c>
      <c r="AV1" t="s">
        <v>4</v>
      </c>
    </row>
    <row r="2" spans="1:57">
      <c r="A2" t="s">
        <v>5754</v>
      </c>
      <c r="B2" t="s">
        <v>5755</v>
      </c>
      <c r="C2" t="s">
        <v>5756</v>
      </c>
      <c r="D2" t="s">
        <v>5</v>
      </c>
      <c r="E2" t="s">
        <v>6</v>
      </c>
      <c r="F2" t="s">
        <v>5758</v>
      </c>
      <c r="G2" t="s">
        <v>7</v>
      </c>
      <c r="H2" t="s">
        <v>5759</v>
      </c>
      <c r="I2" t="s">
        <v>5760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</row>
    <row r="3" spans="1:57">
      <c r="A3">
        <v>0</v>
      </c>
      <c r="B3">
        <v>0</v>
      </c>
      <c r="C3">
        <v>0</v>
      </c>
      <c r="D3">
        <v>883</v>
      </c>
      <c r="E3" t="s">
        <v>1303</v>
      </c>
      <c r="F3" t="s">
        <v>5761</v>
      </c>
      <c r="G3" t="s">
        <v>62</v>
      </c>
      <c r="H3">
        <v>924471</v>
      </c>
      <c r="I3">
        <v>924578</v>
      </c>
      <c r="J3" t="s">
        <v>1082</v>
      </c>
      <c r="K3">
        <v>36</v>
      </c>
      <c r="L3" t="s">
        <v>59</v>
      </c>
      <c r="M3">
        <v>5</v>
      </c>
      <c r="N3" t="str">
        <f>HYPERLINK("Gene883-zp_tree_all.dnd", "Gene883-tree")</f>
        <v>Gene883-tree</v>
      </c>
      <c r="O3">
        <v>5</v>
      </c>
      <c r="P3">
        <v>0</v>
      </c>
      <c r="Q3">
        <v>5</v>
      </c>
      <c r="R3">
        <v>0</v>
      </c>
      <c r="S3">
        <v>0</v>
      </c>
      <c r="T3" t="s">
        <v>98</v>
      </c>
      <c r="U3" t="s">
        <v>62</v>
      </c>
      <c r="V3" t="s">
        <v>62</v>
      </c>
      <c r="W3" t="s">
        <v>62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4</v>
      </c>
      <c r="AM3">
        <v>2</v>
      </c>
      <c r="AN3">
        <v>4</v>
      </c>
      <c r="AO3">
        <v>0</v>
      </c>
      <c r="AP3">
        <v>3</v>
      </c>
      <c r="AQ3">
        <v>0</v>
      </c>
      <c r="AR3" t="s">
        <v>64</v>
      </c>
      <c r="AS3" t="s">
        <v>64</v>
      </c>
      <c r="AT3">
        <v>0</v>
      </c>
      <c r="AU3" t="s">
        <v>65</v>
      </c>
      <c r="AV3">
        <v>7</v>
      </c>
      <c r="AW3">
        <v>0</v>
      </c>
      <c r="AX3" t="s">
        <v>1304</v>
      </c>
      <c r="AY3" t="s">
        <v>1305</v>
      </c>
      <c r="AZ3" t="s">
        <v>64</v>
      </c>
      <c r="BA3">
        <v>0</v>
      </c>
      <c r="BB3">
        <v>1</v>
      </c>
      <c r="BC3" t="s">
        <v>69</v>
      </c>
      <c r="BD3">
        <v>0.76400000000000001</v>
      </c>
      <c r="BE3">
        <v>0.76400000000000001</v>
      </c>
    </row>
    <row r="4" spans="1:57">
      <c r="A4">
        <v>0</v>
      </c>
      <c r="B4">
        <v>0</v>
      </c>
      <c r="C4">
        <v>0</v>
      </c>
      <c r="D4">
        <v>3292</v>
      </c>
      <c r="E4" t="s">
        <v>4470</v>
      </c>
      <c r="F4" t="s">
        <v>5761</v>
      </c>
      <c r="G4" t="s">
        <v>57</v>
      </c>
      <c r="H4">
        <v>3257454</v>
      </c>
      <c r="I4">
        <v>3257576</v>
      </c>
      <c r="J4" t="s">
        <v>4471</v>
      </c>
      <c r="K4">
        <v>41</v>
      </c>
      <c r="L4" t="s">
        <v>83</v>
      </c>
      <c r="M4">
        <v>4</v>
      </c>
      <c r="N4" t="str">
        <f>HYPERLINK("Gene3292-zp_tree_all.dnd", "Gene3292-tree")</f>
        <v>Gene3292-tree</v>
      </c>
      <c r="O4">
        <v>2</v>
      </c>
      <c r="P4">
        <v>2</v>
      </c>
      <c r="Q4">
        <v>2</v>
      </c>
      <c r="R4">
        <v>2</v>
      </c>
      <c r="S4">
        <v>0.5</v>
      </c>
      <c r="T4" t="s">
        <v>135</v>
      </c>
      <c r="U4" t="s">
        <v>135</v>
      </c>
      <c r="V4" t="s">
        <v>62</v>
      </c>
      <c r="W4" t="s">
        <v>62</v>
      </c>
      <c r="X4">
        <v>0</v>
      </c>
      <c r="Y4">
        <v>0</v>
      </c>
      <c r="Z4">
        <v>6</v>
      </c>
      <c r="AA4">
        <v>0</v>
      </c>
      <c r="AB4">
        <v>0</v>
      </c>
      <c r="AC4">
        <v>0</v>
      </c>
      <c r="AD4">
        <v>0</v>
      </c>
      <c r="AE4">
        <v>2</v>
      </c>
      <c r="AF4">
        <v>0</v>
      </c>
      <c r="AG4">
        <v>0</v>
      </c>
      <c r="AH4">
        <v>0</v>
      </c>
      <c r="AI4">
        <v>0</v>
      </c>
      <c r="AJ4">
        <v>4</v>
      </c>
      <c r="AK4">
        <v>0</v>
      </c>
      <c r="AL4">
        <v>4</v>
      </c>
      <c r="AM4">
        <v>1</v>
      </c>
      <c r="AN4">
        <v>5</v>
      </c>
      <c r="AO4">
        <v>4</v>
      </c>
      <c r="AP4">
        <v>0</v>
      </c>
      <c r="AQ4">
        <v>3</v>
      </c>
      <c r="AR4" t="s">
        <v>4472</v>
      </c>
      <c r="AS4" t="s">
        <v>64</v>
      </c>
      <c r="AT4">
        <v>1.2190000000000001</v>
      </c>
      <c r="AU4" t="s">
        <v>65</v>
      </c>
      <c r="AV4">
        <v>5</v>
      </c>
      <c r="AW4">
        <v>7</v>
      </c>
      <c r="AX4" t="s">
        <v>4473</v>
      </c>
      <c r="AY4" t="s">
        <v>4474</v>
      </c>
      <c r="AZ4" t="s">
        <v>4475</v>
      </c>
      <c r="BA4">
        <v>0.52495000000000003</v>
      </c>
      <c r="BB4">
        <v>0.81299999999999994</v>
      </c>
      <c r="BC4" t="s">
        <v>793</v>
      </c>
      <c r="BD4">
        <v>0.27900000000000003</v>
      </c>
      <c r="BE4">
        <v>0.27900000000000003</v>
      </c>
    </row>
    <row r="5" spans="1:57">
      <c r="A5">
        <v>0</v>
      </c>
      <c r="B5">
        <v>0</v>
      </c>
      <c r="C5">
        <v>0</v>
      </c>
      <c r="D5">
        <v>2382</v>
      </c>
      <c r="E5" t="s">
        <v>3110</v>
      </c>
      <c r="F5" t="s">
        <v>5761</v>
      </c>
      <c r="G5" t="s">
        <v>57</v>
      </c>
      <c r="H5">
        <v>2393428</v>
      </c>
      <c r="I5">
        <v>2393556</v>
      </c>
      <c r="J5" t="s">
        <v>3111</v>
      </c>
      <c r="K5">
        <v>43</v>
      </c>
      <c r="L5" t="s">
        <v>59</v>
      </c>
      <c r="M5">
        <v>5</v>
      </c>
      <c r="N5" t="str">
        <f>HYPERLINK("Gene2382-zp_tree_all.dnd", "Gene2382-tree")</f>
        <v>Gene2382-tree</v>
      </c>
      <c r="O5">
        <v>4</v>
      </c>
      <c r="P5">
        <v>0</v>
      </c>
      <c r="Q5">
        <v>4</v>
      </c>
      <c r="R5">
        <v>0</v>
      </c>
      <c r="S5">
        <v>0</v>
      </c>
      <c r="T5" t="s">
        <v>60</v>
      </c>
      <c r="U5" t="s">
        <v>62</v>
      </c>
      <c r="V5" t="s">
        <v>62</v>
      </c>
      <c r="W5" t="s">
        <v>62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3</v>
      </c>
      <c r="AM5">
        <v>1</v>
      </c>
      <c r="AN5">
        <v>5</v>
      </c>
      <c r="AO5">
        <v>0</v>
      </c>
      <c r="AP5">
        <v>2</v>
      </c>
      <c r="AQ5">
        <v>0</v>
      </c>
      <c r="AR5" t="s">
        <v>64</v>
      </c>
      <c r="AS5" t="s">
        <v>64</v>
      </c>
      <c r="AT5">
        <v>0</v>
      </c>
      <c r="AU5" t="s">
        <v>65</v>
      </c>
      <c r="AV5">
        <v>7</v>
      </c>
      <c r="AW5">
        <v>0</v>
      </c>
      <c r="AX5" t="s">
        <v>3112</v>
      </c>
      <c r="AY5" t="s">
        <v>3113</v>
      </c>
      <c r="AZ5" t="s">
        <v>64</v>
      </c>
      <c r="BA5">
        <v>0</v>
      </c>
      <c r="BB5">
        <v>1</v>
      </c>
      <c r="BC5" t="s">
        <v>69</v>
      </c>
      <c r="BD5">
        <v>-0.33200000000000002</v>
      </c>
      <c r="BE5">
        <v>-0.33200000000000002</v>
      </c>
    </row>
    <row r="6" spans="1:57">
      <c r="A6">
        <v>0</v>
      </c>
      <c r="B6">
        <v>0</v>
      </c>
      <c r="C6">
        <v>0</v>
      </c>
      <c r="D6">
        <v>1058</v>
      </c>
      <c r="E6" t="s">
        <v>1516</v>
      </c>
      <c r="F6" t="s">
        <v>5761</v>
      </c>
      <c r="G6" t="s">
        <v>62</v>
      </c>
      <c r="H6">
        <v>1098123</v>
      </c>
      <c r="I6">
        <v>1098260</v>
      </c>
      <c r="J6" t="s">
        <v>118</v>
      </c>
      <c r="K6">
        <v>46</v>
      </c>
      <c r="L6" t="s">
        <v>59</v>
      </c>
      <c r="M6">
        <v>5</v>
      </c>
      <c r="N6" t="str">
        <f>HYPERLINK("Gene1058-zp_tree_all.dnd", "Gene1058-tree")</f>
        <v>Gene1058-tree</v>
      </c>
      <c r="O6">
        <v>4</v>
      </c>
      <c r="P6">
        <v>0</v>
      </c>
      <c r="Q6">
        <v>4</v>
      </c>
      <c r="R6">
        <v>0</v>
      </c>
      <c r="S6">
        <v>0</v>
      </c>
      <c r="T6" t="s">
        <v>60</v>
      </c>
      <c r="U6" t="s">
        <v>62</v>
      </c>
      <c r="V6" t="s">
        <v>62</v>
      </c>
      <c r="W6" t="s">
        <v>62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3</v>
      </c>
      <c r="AM6">
        <v>1</v>
      </c>
      <c r="AN6">
        <v>4</v>
      </c>
      <c r="AO6">
        <v>0</v>
      </c>
      <c r="AP6">
        <v>3</v>
      </c>
      <c r="AQ6">
        <v>1</v>
      </c>
      <c r="AR6" t="s">
        <v>64</v>
      </c>
      <c r="AS6" t="s">
        <v>1517</v>
      </c>
      <c r="AT6">
        <v>0</v>
      </c>
      <c r="AU6" t="s">
        <v>65</v>
      </c>
      <c r="AV6">
        <v>7</v>
      </c>
      <c r="AW6">
        <v>1</v>
      </c>
      <c r="AX6" t="s">
        <v>1518</v>
      </c>
      <c r="AY6" t="s">
        <v>1519</v>
      </c>
      <c r="AZ6" t="s">
        <v>1520</v>
      </c>
      <c r="BA6">
        <v>3.5470000000000002E-2</v>
      </c>
      <c r="BB6">
        <v>1</v>
      </c>
      <c r="BC6" t="s">
        <v>69</v>
      </c>
      <c r="BD6">
        <v>1.5349999999999999</v>
      </c>
      <c r="BE6">
        <v>0.498</v>
      </c>
    </row>
    <row r="7" spans="1:57">
      <c r="A7">
        <v>0</v>
      </c>
      <c r="B7">
        <v>0</v>
      </c>
      <c r="C7">
        <v>0</v>
      </c>
      <c r="D7">
        <v>2049</v>
      </c>
      <c r="E7" t="s">
        <v>2904</v>
      </c>
      <c r="F7" t="s">
        <v>5761</v>
      </c>
      <c r="G7" t="s">
        <v>57</v>
      </c>
      <c r="H7">
        <v>2137897</v>
      </c>
      <c r="I7">
        <v>2138037</v>
      </c>
      <c r="J7" t="s">
        <v>1082</v>
      </c>
      <c r="K7">
        <v>47</v>
      </c>
      <c r="L7" t="s">
        <v>59</v>
      </c>
      <c r="M7">
        <v>5</v>
      </c>
      <c r="N7" t="str">
        <f>HYPERLINK("Gene2049-zp_tree_all.dnd", "Gene2049-tree")</f>
        <v>Gene2049-tree</v>
      </c>
      <c r="O7">
        <v>5</v>
      </c>
      <c r="P7">
        <v>0</v>
      </c>
      <c r="Q7">
        <v>5</v>
      </c>
      <c r="R7">
        <v>0</v>
      </c>
      <c r="S7">
        <v>0</v>
      </c>
      <c r="T7" t="s">
        <v>98</v>
      </c>
      <c r="U7" t="s">
        <v>62</v>
      </c>
      <c r="V7" t="s">
        <v>62</v>
      </c>
      <c r="W7" t="s">
        <v>62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3</v>
      </c>
      <c r="AM7">
        <v>1</v>
      </c>
      <c r="AN7">
        <v>3</v>
      </c>
      <c r="AO7">
        <v>0</v>
      </c>
      <c r="AP7">
        <v>1</v>
      </c>
      <c r="AQ7">
        <v>1</v>
      </c>
      <c r="AR7" t="s">
        <v>64</v>
      </c>
      <c r="AS7" t="s">
        <v>2905</v>
      </c>
      <c r="AT7">
        <v>0</v>
      </c>
      <c r="AU7" t="s">
        <v>65</v>
      </c>
      <c r="AV7">
        <v>4</v>
      </c>
      <c r="AW7">
        <v>1</v>
      </c>
      <c r="AX7" t="s">
        <v>2906</v>
      </c>
      <c r="AY7" t="s">
        <v>2907</v>
      </c>
      <c r="AZ7" t="s">
        <v>2908</v>
      </c>
      <c r="BA7">
        <v>7.9699999999999993E-2</v>
      </c>
      <c r="BB7">
        <v>1</v>
      </c>
      <c r="BC7" t="s">
        <v>69</v>
      </c>
      <c r="BD7">
        <v>0</v>
      </c>
      <c r="BE7">
        <v>0</v>
      </c>
    </row>
    <row r="8" spans="1:57">
      <c r="A8">
        <v>0</v>
      </c>
      <c r="B8">
        <v>0</v>
      </c>
      <c r="C8">
        <v>0</v>
      </c>
      <c r="D8">
        <v>2284</v>
      </c>
      <c r="E8" t="s">
        <v>2948</v>
      </c>
      <c r="F8" t="s">
        <v>5761</v>
      </c>
      <c r="G8" t="s">
        <v>57</v>
      </c>
      <c r="H8">
        <v>2307743</v>
      </c>
      <c r="I8">
        <v>2307886</v>
      </c>
      <c r="J8" t="s">
        <v>2949</v>
      </c>
      <c r="K8">
        <v>48</v>
      </c>
      <c r="L8" t="s">
        <v>59</v>
      </c>
      <c r="M8">
        <v>5</v>
      </c>
      <c r="N8" t="str">
        <f>HYPERLINK("Gene2284-zp_tree_all.dnd", "Gene2284-tree")</f>
        <v>Gene2284-tree</v>
      </c>
      <c r="O8">
        <v>1</v>
      </c>
      <c r="P8">
        <v>4</v>
      </c>
      <c r="Q8">
        <v>1</v>
      </c>
      <c r="R8">
        <v>3</v>
      </c>
      <c r="S8">
        <v>0.75</v>
      </c>
      <c r="T8" t="s">
        <v>61</v>
      </c>
      <c r="U8" t="s">
        <v>119</v>
      </c>
      <c r="V8">
        <v>5</v>
      </c>
      <c r="W8" t="s">
        <v>286</v>
      </c>
      <c r="X8">
        <v>0</v>
      </c>
      <c r="Y8">
        <v>0</v>
      </c>
      <c r="Z8">
        <v>6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6</v>
      </c>
      <c r="AK8">
        <v>0</v>
      </c>
      <c r="AL8">
        <v>3</v>
      </c>
      <c r="AM8">
        <v>1</v>
      </c>
      <c r="AN8">
        <v>2</v>
      </c>
      <c r="AO8">
        <v>2</v>
      </c>
      <c r="AP8">
        <v>0</v>
      </c>
      <c r="AQ8">
        <v>4</v>
      </c>
      <c r="AR8" t="s">
        <v>2950</v>
      </c>
      <c r="AS8" t="s">
        <v>64</v>
      </c>
      <c r="AT8">
        <v>0.69299999999999995</v>
      </c>
      <c r="AU8" t="s">
        <v>65</v>
      </c>
      <c r="AV8">
        <v>2</v>
      </c>
      <c r="AW8">
        <v>6</v>
      </c>
      <c r="AX8" t="s">
        <v>2951</v>
      </c>
      <c r="AY8" t="s">
        <v>2952</v>
      </c>
      <c r="AZ8" t="s">
        <v>2953</v>
      </c>
      <c r="BA8">
        <v>0.98736999999999997</v>
      </c>
      <c r="BB8">
        <v>0.374</v>
      </c>
      <c r="BC8" t="s">
        <v>793</v>
      </c>
      <c r="BD8">
        <v>0.71599999999999997</v>
      </c>
      <c r="BE8">
        <v>0.46100000000000002</v>
      </c>
    </row>
    <row r="9" spans="1:57">
      <c r="A9">
        <v>0</v>
      </c>
      <c r="B9">
        <v>0</v>
      </c>
      <c r="C9">
        <v>0</v>
      </c>
      <c r="D9">
        <v>3406</v>
      </c>
      <c r="E9" t="s">
        <v>4671</v>
      </c>
      <c r="F9" t="s">
        <v>5761</v>
      </c>
      <c r="G9" t="s">
        <v>57</v>
      </c>
      <c r="H9">
        <v>3372569</v>
      </c>
      <c r="I9">
        <v>3372712</v>
      </c>
      <c r="J9" t="s">
        <v>118</v>
      </c>
      <c r="K9">
        <v>48</v>
      </c>
      <c r="L9" t="s">
        <v>59</v>
      </c>
      <c r="M9">
        <v>5</v>
      </c>
      <c r="N9" t="str">
        <f>HYPERLINK("Gene3406-zp_tree_all.dnd", "Gene3406-tree")</f>
        <v>Gene3406-tree</v>
      </c>
      <c r="O9">
        <v>3</v>
      </c>
      <c r="P9">
        <v>2</v>
      </c>
      <c r="Q9">
        <v>3</v>
      </c>
      <c r="R9">
        <v>2</v>
      </c>
      <c r="S9">
        <v>0.4</v>
      </c>
      <c r="T9" t="s">
        <v>84</v>
      </c>
      <c r="U9" t="s">
        <v>135</v>
      </c>
      <c r="V9" t="s">
        <v>62</v>
      </c>
      <c r="W9" t="s">
        <v>62</v>
      </c>
      <c r="X9">
        <v>0</v>
      </c>
      <c r="Y9">
        <v>0</v>
      </c>
      <c r="Z9">
        <v>2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2</v>
      </c>
      <c r="AK9">
        <v>0</v>
      </c>
      <c r="AL9">
        <v>3</v>
      </c>
      <c r="AM9">
        <v>1</v>
      </c>
      <c r="AN9">
        <v>1</v>
      </c>
      <c r="AO9">
        <v>3</v>
      </c>
      <c r="AP9">
        <v>1</v>
      </c>
      <c r="AQ9">
        <v>0</v>
      </c>
      <c r="AR9" t="s">
        <v>4672</v>
      </c>
      <c r="AS9" t="s">
        <v>64</v>
      </c>
      <c r="AT9">
        <v>0.64900000000000002</v>
      </c>
      <c r="AU9" t="s">
        <v>65</v>
      </c>
      <c r="AV9">
        <v>2</v>
      </c>
      <c r="AW9">
        <v>3</v>
      </c>
      <c r="AX9" t="s">
        <v>4673</v>
      </c>
      <c r="AY9" t="s">
        <v>4674</v>
      </c>
      <c r="AZ9" t="s">
        <v>4675</v>
      </c>
      <c r="BA9">
        <v>0.32752999999999999</v>
      </c>
      <c r="BB9">
        <v>0.71799999999999997</v>
      </c>
      <c r="BC9" t="s">
        <v>793</v>
      </c>
      <c r="BD9">
        <v>-0.56200000000000006</v>
      </c>
      <c r="BE9">
        <v>-0.56200000000000006</v>
      </c>
    </row>
    <row r="10" spans="1:57">
      <c r="A10">
        <v>0</v>
      </c>
      <c r="B10">
        <v>0</v>
      </c>
      <c r="C10">
        <v>0</v>
      </c>
      <c r="D10">
        <v>1865</v>
      </c>
      <c r="E10" t="s">
        <v>2795</v>
      </c>
      <c r="F10" t="s">
        <v>5761</v>
      </c>
      <c r="G10" t="s">
        <v>62</v>
      </c>
      <c r="H10">
        <v>1926309</v>
      </c>
      <c r="I10">
        <v>1926452</v>
      </c>
      <c r="J10" t="s">
        <v>172</v>
      </c>
      <c r="K10">
        <v>48</v>
      </c>
      <c r="L10" t="s">
        <v>59</v>
      </c>
      <c r="M10">
        <v>5</v>
      </c>
      <c r="N10" t="str">
        <f>HYPERLINK("Gene1865-zp_tree_all.dnd", "Gene1865-tree")</f>
        <v>Gene1865-tree</v>
      </c>
      <c r="O10">
        <v>5</v>
      </c>
      <c r="P10">
        <v>0</v>
      </c>
      <c r="Q10">
        <v>4</v>
      </c>
      <c r="R10">
        <v>0</v>
      </c>
      <c r="S10">
        <v>0</v>
      </c>
      <c r="T10" t="s">
        <v>150</v>
      </c>
      <c r="U10" t="s">
        <v>62</v>
      </c>
      <c r="V10" t="s">
        <v>62</v>
      </c>
      <c r="W10" t="s">
        <v>62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3</v>
      </c>
      <c r="AM10">
        <v>1</v>
      </c>
      <c r="AN10">
        <v>3</v>
      </c>
      <c r="AO10">
        <v>0</v>
      </c>
      <c r="AP10">
        <v>4</v>
      </c>
      <c r="AQ10">
        <v>1</v>
      </c>
      <c r="AR10" t="s">
        <v>64</v>
      </c>
      <c r="AS10" t="s">
        <v>2796</v>
      </c>
      <c r="AT10">
        <v>0</v>
      </c>
      <c r="AU10" t="s">
        <v>65</v>
      </c>
      <c r="AV10">
        <v>7</v>
      </c>
      <c r="AW10">
        <v>1</v>
      </c>
      <c r="AX10" t="s">
        <v>2797</v>
      </c>
      <c r="AY10" t="s">
        <v>2798</v>
      </c>
      <c r="AZ10" t="s">
        <v>2799</v>
      </c>
      <c r="BA10">
        <v>3.4709999999999998E-2</v>
      </c>
      <c r="BB10">
        <v>1</v>
      </c>
      <c r="BC10" t="s">
        <v>69</v>
      </c>
      <c r="BD10">
        <v>1.028</v>
      </c>
      <c r="BE10">
        <v>1.028</v>
      </c>
    </row>
    <row r="11" spans="1:57">
      <c r="A11">
        <v>0</v>
      </c>
      <c r="B11">
        <v>0</v>
      </c>
      <c r="C11">
        <v>0</v>
      </c>
      <c r="D11">
        <v>888</v>
      </c>
      <c r="E11" t="s">
        <v>1306</v>
      </c>
      <c r="F11" t="s">
        <v>5761</v>
      </c>
      <c r="G11" t="s">
        <v>62</v>
      </c>
      <c r="H11">
        <v>928115</v>
      </c>
      <c r="I11">
        <v>928264</v>
      </c>
      <c r="J11" t="s">
        <v>172</v>
      </c>
      <c r="K11">
        <v>50</v>
      </c>
      <c r="L11" t="s">
        <v>59</v>
      </c>
      <c r="M11">
        <v>5</v>
      </c>
      <c r="N11" t="str">
        <f>HYPERLINK("Gene888-zp_tree_all.dnd", "Gene888-tree")</f>
        <v>Gene888-tree</v>
      </c>
      <c r="O11">
        <v>3</v>
      </c>
      <c r="P11">
        <v>1</v>
      </c>
      <c r="Q11">
        <v>3</v>
      </c>
      <c r="R11">
        <v>1</v>
      </c>
      <c r="S11">
        <v>0.25</v>
      </c>
      <c r="T11" t="s">
        <v>84</v>
      </c>
      <c r="U11" t="s">
        <v>61</v>
      </c>
      <c r="V11" t="s">
        <v>62</v>
      </c>
      <c r="W11" t="s">
        <v>62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3</v>
      </c>
      <c r="AM11">
        <v>1</v>
      </c>
      <c r="AN11">
        <v>4</v>
      </c>
      <c r="AO11">
        <v>1</v>
      </c>
      <c r="AP11">
        <v>3</v>
      </c>
      <c r="AQ11">
        <v>0</v>
      </c>
      <c r="AR11" t="s">
        <v>1307</v>
      </c>
      <c r="AS11" t="s">
        <v>64</v>
      </c>
      <c r="AT11">
        <v>0.81200000000000006</v>
      </c>
      <c r="AU11" t="s">
        <v>65</v>
      </c>
      <c r="AV11">
        <v>7</v>
      </c>
      <c r="AW11">
        <v>1</v>
      </c>
      <c r="AX11" t="s">
        <v>1308</v>
      </c>
      <c r="AY11" t="s">
        <v>1309</v>
      </c>
      <c r="AZ11" t="s">
        <v>1310</v>
      </c>
      <c r="BA11">
        <v>3.1099999999999999E-2</v>
      </c>
      <c r="BB11">
        <v>1</v>
      </c>
      <c r="BC11" t="s">
        <v>69</v>
      </c>
      <c r="BD11">
        <v>0.28999999999999998</v>
      </c>
      <c r="BE11">
        <v>-0.747</v>
      </c>
    </row>
    <row r="12" spans="1:57">
      <c r="A12">
        <v>0</v>
      </c>
      <c r="B12">
        <v>0</v>
      </c>
      <c r="C12">
        <v>0</v>
      </c>
      <c r="D12">
        <v>2310</v>
      </c>
      <c r="E12" t="s">
        <v>2972</v>
      </c>
      <c r="F12" t="s">
        <v>5761</v>
      </c>
      <c r="G12" t="s">
        <v>57</v>
      </c>
      <c r="H12">
        <v>2329870</v>
      </c>
      <c r="I12">
        <v>2330019</v>
      </c>
      <c r="J12" t="s">
        <v>118</v>
      </c>
      <c r="K12">
        <v>50</v>
      </c>
      <c r="L12" t="s">
        <v>59</v>
      </c>
      <c r="M12">
        <v>5</v>
      </c>
      <c r="N12" t="str">
        <f>HYPERLINK("Gene2310-zp_tree_all.dnd", "Gene2310-tree")</f>
        <v>Gene2310-tree</v>
      </c>
      <c r="O12">
        <v>5</v>
      </c>
      <c r="P12">
        <v>0</v>
      </c>
      <c r="Q12">
        <v>5</v>
      </c>
      <c r="R12">
        <v>0</v>
      </c>
      <c r="S12">
        <v>0</v>
      </c>
      <c r="T12" t="s">
        <v>98</v>
      </c>
      <c r="U12" t="s">
        <v>62</v>
      </c>
      <c r="V12" t="s">
        <v>62</v>
      </c>
      <c r="W12" t="s">
        <v>62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3</v>
      </c>
      <c r="AM12">
        <v>1</v>
      </c>
      <c r="AN12">
        <v>3</v>
      </c>
      <c r="AO12">
        <v>0</v>
      </c>
      <c r="AP12">
        <v>2</v>
      </c>
      <c r="AQ12">
        <v>0</v>
      </c>
      <c r="AR12" t="s">
        <v>64</v>
      </c>
      <c r="AS12" t="s">
        <v>64</v>
      </c>
      <c r="AT12">
        <v>0</v>
      </c>
      <c r="AU12" t="s">
        <v>65</v>
      </c>
      <c r="AV12">
        <v>5</v>
      </c>
      <c r="AW12">
        <v>0</v>
      </c>
      <c r="AX12" t="s">
        <v>2973</v>
      </c>
      <c r="AY12" t="s">
        <v>2974</v>
      </c>
      <c r="AZ12" t="s">
        <v>64</v>
      </c>
      <c r="BA12">
        <v>0</v>
      </c>
      <c r="BB12">
        <v>1</v>
      </c>
      <c r="BC12" t="s">
        <v>69</v>
      </c>
      <c r="BD12">
        <v>0</v>
      </c>
      <c r="BE12">
        <v>0</v>
      </c>
    </row>
    <row r="13" spans="1:57">
      <c r="A13">
        <v>0</v>
      </c>
      <c r="B13">
        <v>0</v>
      </c>
      <c r="C13">
        <v>0</v>
      </c>
      <c r="D13">
        <v>462</v>
      </c>
      <c r="E13" t="s">
        <v>922</v>
      </c>
      <c r="F13" t="s">
        <v>5761</v>
      </c>
      <c r="G13" t="s">
        <v>62</v>
      </c>
      <c r="H13">
        <v>506458</v>
      </c>
      <c r="I13">
        <v>506619</v>
      </c>
      <c r="J13" t="s">
        <v>917</v>
      </c>
      <c r="K13">
        <v>54</v>
      </c>
      <c r="L13" t="s">
        <v>59</v>
      </c>
      <c r="M13">
        <v>5</v>
      </c>
      <c r="N13" t="str">
        <f>HYPERLINK("Gene462-zp_tree_all.dnd", "Gene462-tree")</f>
        <v>Gene462-tree</v>
      </c>
      <c r="O13">
        <v>3</v>
      </c>
      <c r="P13">
        <v>2</v>
      </c>
      <c r="Q13">
        <v>3</v>
      </c>
      <c r="R13">
        <v>2</v>
      </c>
      <c r="S13">
        <v>0.4</v>
      </c>
      <c r="T13" t="s">
        <v>84</v>
      </c>
      <c r="U13" t="s">
        <v>135</v>
      </c>
      <c r="V13" t="s">
        <v>62</v>
      </c>
      <c r="W13" t="s">
        <v>62</v>
      </c>
      <c r="X13">
        <v>0</v>
      </c>
      <c r="Y13">
        <v>0</v>
      </c>
      <c r="Z13">
        <v>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3</v>
      </c>
      <c r="AK13">
        <v>0</v>
      </c>
      <c r="AL13">
        <v>4</v>
      </c>
      <c r="AM13">
        <v>1</v>
      </c>
      <c r="AN13">
        <v>2</v>
      </c>
      <c r="AO13">
        <v>3</v>
      </c>
      <c r="AP13">
        <v>2</v>
      </c>
      <c r="AQ13">
        <v>0</v>
      </c>
      <c r="AR13" t="s">
        <v>923</v>
      </c>
      <c r="AS13" t="s">
        <v>64</v>
      </c>
      <c r="AT13">
        <v>0.89900000000000002</v>
      </c>
      <c r="AU13" t="s">
        <v>65</v>
      </c>
      <c r="AV13">
        <v>4</v>
      </c>
      <c r="AW13">
        <v>3</v>
      </c>
      <c r="AX13" t="s">
        <v>924</v>
      </c>
      <c r="AY13" t="s">
        <v>925</v>
      </c>
      <c r="AZ13" t="s">
        <v>926</v>
      </c>
      <c r="BA13">
        <v>0.19172</v>
      </c>
      <c r="BB13">
        <v>0.94</v>
      </c>
      <c r="BC13" t="s">
        <v>793</v>
      </c>
      <c r="BD13">
        <v>4.8000000000000001E-2</v>
      </c>
      <c r="BE13">
        <v>-1.1459999999999999</v>
      </c>
    </row>
    <row r="14" spans="1:57">
      <c r="A14">
        <v>0</v>
      </c>
      <c r="B14">
        <v>0</v>
      </c>
      <c r="C14">
        <v>2</v>
      </c>
      <c r="D14">
        <v>461</v>
      </c>
      <c r="E14" t="s">
        <v>916</v>
      </c>
      <c r="F14" t="s">
        <v>5761</v>
      </c>
      <c r="G14" t="s">
        <v>62</v>
      </c>
      <c r="H14">
        <v>506325</v>
      </c>
      <c r="I14">
        <v>506501</v>
      </c>
      <c r="J14" t="s">
        <v>917</v>
      </c>
      <c r="K14">
        <v>59</v>
      </c>
      <c r="L14" t="s">
        <v>59</v>
      </c>
      <c r="M14">
        <v>5</v>
      </c>
      <c r="N14" t="str">
        <f>HYPERLINK("Gene461-zp_tree_all.dnd", "Gene461-tree")</f>
        <v>Gene461-tree</v>
      </c>
      <c r="O14">
        <v>1</v>
      </c>
      <c r="P14">
        <v>4</v>
      </c>
      <c r="Q14">
        <v>1</v>
      </c>
      <c r="R14">
        <v>4</v>
      </c>
      <c r="S14">
        <v>0.8</v>
      </c>
      <c r="T14" t="s">
        <v>61</v>
      </c>
      <c r="U14" t="s">
        <v>60</v>
      </c>
      <c r="V14" t="s">
        <v>62</v>
      </c>
      <c r="W14" t="s">
        <v>62</v>
      </c>
      <c r="X14">
        <v>1</v>
      </c>
      <c r="Y14">
        <v>2</v>
      </c>
      <c r="Z14">
        <v>5</v>
      </c>
      <c r="AA14">
        <v>0.28571000000000002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2</v>
      </c>
      <c r="AI14">
        <v>2</v>
      </c>
      <c r="AJ14">
        <v>5</v>
      </c>
      <c r="AK14">
        <v>0.28571000000000002</v>
      </c>
      <c r="AL14">
        <v>4</v>
      </c>
      <c r="AM14">
        <v>2</v>
      </c>
      <c r="AN14">
        <v>3</v>
      </c>
      <c r="AO14">
        <v>7</v>
      </c>
      <c r="AP14">
        <v>3</v>
      </c>
      <c r="AQ14">
        <v>0</v>
      </c>
      <c r="AR14" t="s">
        <v>918</v>
      </c>
      <c r="AS14" t="s">
        <v>64</v>
      </c>
      <c r="AT14">
        <v>2.2309999999999999</v>
      </c>
      <c r="AU14" t="s">
        <v>286</v>
      </c>
      <c r="AV14">
        <v>6</v>
      </c>
      <c r="AW14">
        <v>7</v>
      </c>
      <c r="AX14" t="s">
        <v>919</v>
      </c>
      <c r="AY14" t="s">
        <v>920</v>
      </c>
      <c r="AZ14" t="s">
        <v>921</v>
      </c>
      <c r="BA14">
        <v>0.26107999999999998</v>
      </c>
      <c r="BB14">
        <v>0.95699999999999996</v>
      </c>
      <c r="BC14" t="s">
        <v>69</v>
      </c>
      <c r="BD14">
        <v>-0.45200000000000001</v>
      </c>
      <c r="BE14">
        <v>-0.45200000000000001</v>
      </c>
    </row>
    <row r="15" spans="1:57">
      <c r="A15">
        <v>0</v>
      </c>
      <c r="B15">
        <v>0</v>
      </c>
      <c r="C15">
        <v>2</v>
      </c>
      <c r="D15">
        <v>1567</v>
      </c>
      <c r="E15" t="s">
        <v>2144</v>
      </c>
      <c r="F15" t="s">
        <v>5761</v>
      </c>
      <c r="G15" t="s">
        <v>62</v>
      </c>
      <c r="H15">
        <v>1575054</v>
      </c>
      <c r="I15">
        <v>1575236</v>
      </c>
      <c r="J15" t="s">
        <v>2145</v>
      </c>
      <c r="K15">
        <v>61</v>
      </c>
      <c r="L15" t="s">
        <v>59</v>
      </c>
      <c r="M15">
        <v>5</v>
      </c>
      <c r="N15" t="str">
        <f>HYPERLINK("Gene1567-zp_tree_all.dnd", "Gene1567-tree")</f>
        <v>Gene1567-tree</v>
      </c>
      <c r="O15">
        <v>0</v>
      </c>
      <c r="P15">
        <v>4</v>
      </c>
      <c r="Q15">
        <v>0</v>
      </c>
      <c r="R15">
        <v>4</v>
      </c>
      <c r="S15">
        <v>1</v>
      </c>
      <c r="T15" t="s">
        <v>62</v>
      </c>
      <c r="U15" t="s">
        <v>60</v>
      </c>
      <c r="V15" t="s">
        <v>62</v>
      </c>
      <c r="W15" t="s">
        <v>62</v>
      </c>
      <c r="X15">
        <v>1</v>
      </c>
      <c r="Y15">
        <v>2</v>
      </c>
      <c r="Z15">
        <v>3</v>
      </c>
      <c r="AA15">
        <v>0.4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2</v>
      </c>
      <c r="AI15">
        <v>2</v>
      </c>
      <c r="AJ15">
        <v>3</v>
      </c>
      <c r="AK15">
        <v>0.4</v>
      </c>
      <c r="AL15">
        <v>3</v>
      </c>
      <c r="AM15">
        <v>1</v>
      </c>
      <c r="AN15">
        <v>0</v>
      </c>
      <c r="AO15">
        <v>4</v>
      </c>
      <c r="AP15">
        <v>2</v>
      </c>
      <c r="AQ15">
        <v>1</v>
      </c>
      <c r="AR15" t="s">
        <v>64</v>
      </c>
      <c r="AS15" t="s">
        <v>2146</v>
      </c>
      <c r="AT15">
        <v>0</v>
      </c>
      <c r="AU15" t="s">
        <v>65</v>
      </c>
      <c r="AV15">
        <v>2</v>
      </c>
      <c r="AW15">
        <v>5</v>
      </c>
      <c r="AX15" t="s">
        <v>2147</v>
      </c>
      <c r="AY15" t="s">
        <v>2148</v>
      </c>
      <c r="AZ15" t="s">
        <v>2149</v>
      </c>
      <c r="BA15">
        <v>0.49342000000000003</v>
      </c>
      <c r="BB15">
        <v>0.74299999999999999</v>
      </c>
      <c r="BC15" t="s">
        <v>793</v>
      </c>
      <c r="BD15">
        <v>8.3000000000000004E-2</v>
      </c>
      <c r="BE15">
        <v>8.3000000000000004E-2</v>
      </c>
    </row>
    <row r="16" spans="1:57">
      <c r="A16">
        <v>0</v>
      </c>
      <c r="B16">
        <v>0</v>
      </c>
      <c r="C16">
        <v>0</v>
      </c>
      <c r="D16">
        <v>1163</v>
      </c>
      <c r="E16" t="s">
        <v>1613</v>
      </c>
      <c r="F16" t="s">
        <v>5761</v>
      </c>
      <c r="G16" t="s">
        <v>62</v>
      </c>
      <c r="H16">
        <v>1204734</v>
      </c>
      <c r="I16">
        <v>1204916</v>
      </c>
      <c r="J16" t="s">
        <v>1614</v>
      </c>
      <c r="K16">
        <v>61</v>
      </c>
      <c r="L16" t="s">
        <v>59</v>
      </c>
      <c r="M16">
        <v>5</v>
      </c>
      <c r="N16" t="str">
        <f>HYPERLINK("Gene1163-zp_tree_all.dnd", "Gene1163-tree")</f>
        <v>Gene1163-tree</v>
      </c>
      <c r="O16">
        <v>2</v>
      </c>
      <c r="P16">
        <v>2</v>
      </c>
      <c r="Q16">
        <v>2</v>
      </c>
      <c r="R16">
        <v>2</v>
      </c>
      <c r="S16">
        <v>0.5</v>
      </c>
      <c r="T16" t="s">
        <v>135</v>
      </c>
      <c r="U16" t="s">
        <v>135</v>
      </c>
      <c r="V16" t="s">
        <v>62</v>
      </c>
      <c r="W16" t="s">
        <v>62</v>
      </c>
      <c r="X16">
        <v>0</v>
      </c>
      <c r="Y16">
        <v>0</v>
      </c>
      <c r="Z16">
        <v>4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4</v>
      </c>
      <c r="AK16">
        <v>0</v>
      </c>
      <c r="AL16">
        <v>2</v>
      </c>
      <c r="AM16">
        <v>1</v>
      </c>
      <c r="AN16">
        <v>1</v>
      </c>
      <c r="AO16">
        <v>1</v>
      </c>
      <c r="AP16">
        <v>2</v>
      </c>
      <c r="AQ16">
        <v>3</v>
      </c>
      <c r="AR16" t="s">
        <v>1615</v>
      </c>
      <c r="AS16" t="s">
        <v>1616</v>
      </c>
      <c r="AT16">
        <v>0.34499999999999997</v>
      </c>
      <c r="AU16" t="s">
        <v>65</v>
      </c>
      <c r="AV16">
        <v>3</v>
      </c>
      <c r="AW16">
        <v>4</v>
      </c>
      <c r="AX16" t="s">
        <v>1617</v>
      </c>
      <c r="AY16" t="s">
        <v>1618</v>
      </c>
      <c r="AZ16" t="s">
        <v>1619</v>
      </c>
      <c r="BA16">
        <v>0.37663000000000002</v>
      </c>
      <c r="BB16">
        <v>0.73299999999999998</v>
      </c>
      <c r="BC16" t="s">
        <v>793</v>
      </c>
      <c r="BD16">
        <v>0.91300000000000003</v>
      </c>
      <c r="BE16">
        <v>0.91300000000000003</v>
      </c>
    </row>
    <row r="17" spans="1:57">
      <c r="A17">
        <v>0</v>
      </c>
      <c r="B17">
        <v>0</v>
      </c>
      <c r="C17">
        <v>0</v>
      </c>
      <c r="D17">
        <v>1266</v>
      </c>
      <c r="E17" t="s">
        <v>1725</v>
      </c>
      <c r="F17" t="s">
        <v>5761</v>
      </c>
      <c r="G17" t="s">
        <v>62</v>
      </c>
      <c r="H17">
        <v>1293779</v>
      </c>
      <c r="I17">
        <v>1293964</v>
      </c>
      <c r="J17" t="s">
        <v>1726</v>
      </c>
      <c r="K17">
        <v>62</v>
      </c>
      <c r="L17" t="s">
        <v>83</v>
      </c>
      <c r="M17">
        <v>4</v>
      </c>
      <c r="N17" t="str">
        <f>HYPERLINK("Gene1266-zp_tree_all.dnd", "Gene1266-tree")</f>
        <v>Gene1266-tree</v>
      </c>
      <c r="O17">
        <v>2</v>
      </c>
      <c r="P17">
        <v>2</v>
      </c>
      <c r="Q17">
        <v>2</v>
      </c>
      <c r="R17">
        <v>2</v>
      </c>
      <c r="S17">
        <v>0.5</v>
      </c>
      <c r="T17" t="s">
        <v>135</v>
      </c>
      <c r="U17" t="s">
        <v>135</v>
      </c>
      <c r="V17" t="s">
        <v>62</v>
      </c>
      <c r="W17" t="s">
        <v>62</v>
      </c>
      <c r="X17">
        <v>0</v>
      </c>
      <c r="Y17">
        <v>0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2</v>
      </c>
      <c r="AK17">
        <v>0</v>
      </c>
      <c r="AL17">
        <v>3</v>
      </c>
      <c r="AM17">
        <v>1</v>
      </c>
      <c r="AN17">
        <v>3</v>
      </c>
      <c r="AO17">
        <v>2</v>
      </c>
      <c r="AP17">
        <v>1</v>
      </c>
      <c r="AQ17">
        <v>0</v>
      </c>
      <c r="AR17" t="s">
        <v>1727</v>
      </c>
      <c r="AS17" t="s">
        <v>64</v>
      </c>
      <c r="AT17">
        <v>1.474</v>
      </c>
      <c r="AU17" t="s">
        <v>65</v>
      </c>
      <c r="AV17">
        <v>4</v>
      </c>
      <c r="AW17">
        <v>2</v>
      </c>
      <c r="AX17" t="s">
        <v>1728</v>
      </c>
      <c r="AY17" t="s">
        <v>1729</v>
      </c>
      <c r="AZ17" t="s">
        <v>1730</v>
      </c>
      <c r="BA17">
        <v>0.1154</v>
      </c>
      <c r="BB17">
        <v>0.96299999999999997</v>
      </c>
      <c r="BC17" t="s">
        <v>69</v>
      </c>
      <c r="BD17">
        <v>-0.314</v>
      </c>
      <c r="BE17">
        <v>-0.314</v>
      </c>
    </row>
    <row r="18" spans="1:57">
      <c r="A18">
        <v>0</v>
      </c>
      <c r="B18">
        <v>0</v>
      </c>
      <c r="C18">
        <v>0</v>
      </c>
      <c r="D18">
        <v>1536</v>
      </c>
      <c r="E18" t="s">
        <v>2058</v>
      </c>
      <c r="F18" t="s">
        <v>5761</v>
      </c>
      <c r="G18" t="s">
        <v>62</v>
      </c>
      <c r="H18">
        <v>1545823</v>
      </c>
      <c r="I18">
        <v>1546008</v>
      </c>
      <c r="J18" t="s">
        <v>170</v>
      </c>
      <c r="K18">
        <v>62</v>
      </c>
      <c r="L18" t="s">
        <v>59</v>
      </c>
      <c r="M18">
        <v>5</v>
      </c>
      <c r="N18" t="str">
        <f>HYPERLINK("Gene1536-zp_tree_all.dnd", "Gene1536-tree")</f>
        <v>Gene1536-tree</v>
      </c>
      <c r="O18">
        <v>4</v>
      </c>
      <c r="P18">
        <v>1</v>
      </c>
      <c r="Q18">
        <v>4</v>
      </c>
      <c r="R18">
        <v>1</v>
      </c>
      <c r="S18">
        <v>0.2</v>
      </c>
      <c r="T18" t="s">
        <v>60</v>
      </c>
      <c r="U18" t="s">
        <v>61</v>
      </c>
      <c r="V18" t="s">
        <v>62</v>
      </c>
      <c r="W18" t="s">
        <v>62</v>
      </c>
      <c r="X18">
        <v>0</v>
      </c>
      <c r="Y18">
        <v>0</v>
      </c>
      <c r="Z18">
        <v>2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5</v>
      </c>
      <c r="AM18">
        <v>2</v>
      </c>
      <c r="AN18">
        <v>8</v>
      </c>
      <c r="AO18">
        <v>1</v>
      </c>
      <c r="AP18">
        <v>5</v>
      </c>
      <c r="AQ18">
        <v>2</v>
      </c>
      <c r="AR18" t="s">
        <v>2059</v>
      </c>
      <c r="AS18" t="s">
        <v>2060</v>
      </c>
      <c r="AT18">
        <v>0.58799999999999997</v>
      </c>
      <c r="AU18" t="s">
        <v>65</v>
      </c>
      <c r="AV18">
        <v>13</v>
      </c>
      <c r="AW18">
        <v>3</v>
      </c>
      <c r="AX18" t="s">
        <v>2061</v>
      </c>
      <c r="AY18" t="s">
        <v>2062</v>
      </c>
      <c r="AZ18" t="s">
        <v>2063</v>
      </c>
      <c r="BA18">
        <v>6.1839999999999999E-2</v>
      </c>
      <c r="BB18">
        <v>1</v>
      </c>
      <c r="BC18" t="s">
        <v>69</v>
      </c>
      <c r="BD18">
        <v>0.115</v>
      </c>
      <c r="BE18">
        <v>0.115</v>
      </c>
    </row>
    <row r="19" spans="1:57">
      <c r="A19">
        <v>0</v>
      </c>
      <c r="B19">
        <v>0</v>
      </c>
      <c r="C19">
        <v>0</v>
      </c>
      <c r="D19">
        <v>882</v>
      </c>
      <c r="E19" t="s">
        <v>1297</v>
      </c>
      <c r="F19" t="s">
        <v>5761</v>
      </c>
      <c r="G19" t="s">
        <v>62</v>
      </c>
      <c r="H19">
        <v>924213</v>
      </c>
      <c r="I19">
        <v>924401</v>
      </c>
      <c r="J19" t="s">
        <v>170</v>
      </c>
      <c r="K19">
        <v>63</v>
      </c>
      <c r="L19" t="s">
        <v>59</v>
      </c>
      <c r="M19">
        <v>5</v>
      </c>
      <c r="N19" t="str">
        <f>HYPERLINK("Gene882-zp_tree_all.dnd", "Gene882-tree")</f>
        <v>Gene882-tree</v>
      </c>
      <c r="O19">
        <v>3</v>
      </c>
      <c r="P19">
        <v>2</v>
      </c>
      <c r="Q19">
        <v>3</v>
      </c>
      <c r="R19">
        <v>2</v>
      </c>
      <c r="S19">
        <v>0.4</v>
      </c>
      <c r="T19" t="s">
        <v>84</v>
      </c>
      <c r="U19" t="s">
        <v>135</v>
      </c>
      <c r="V19" t="s">
        <v>62</v>
      </c>
      <c r="W19" t="s">
        <v>62</v>
      </c>
      <c r="X19">
        <v>0</v>
      </c>
      <c r="Y19">
        <v>0</v>
      </c>
      <c r="Z19">
        <v>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2</v>
      </c>
      <c r="AK19">
        <v>0</v>
      </c>
      <c r="AL19">
        <v>3</v>
      </c>
      <c r="AM19">
        <v>1</v>
      </c>
      <c r="AN19">
        <v>2</v>
      </c>
      <c r="AO19">
        <v>1</v>
      </c>
      <c r="AP19">
        <v>5</v>
      </c>
      <c r="AQ19">
        <v>1</v>
      </c>
      <c r="AR19" t="s">
        <v>1298</v>
      </c>
      <c r="AS19" t="s">
        <v>1299</v>
      </c>
      <c r="AT19">
        <v>0.437</v>
      </c>
      <c r="AU19" t="s">
        <v>65</v>
      </c>
      <c r="AV19">
        <v>7</v>
      </c>
      <c r="AW19">
        <v>2</v>
      </c>
      <c r="AX19" t="s">
        <v>1300</v>
      </c>
      <c r="AY19" t="s">
        <v>1301</v>
      </c>
      <c r="AZ19" t="s">
        <v>1302</v>
      </c>
      <c r="BA19">
        <v>6.1420000000000002E-2</v>
      </c>
      <c r="BB19">
        <v>1</v>
      </c>
      <c r="BC19" t="s">
        <v>69</v>
      </c>
      <c r="BD19">
        <v>0.79</v>
      </c>
      <c r="BE19">
        <v>0.79</v>
      </c>
    </row>
    <row r="20" spans="1:57">
      <c r="A20">
        <v>0</v>
      </c>
      <c r="B20">
        <v>0</v>
      </c>
      <c r="C20">
        <v>0</v>
      </c>
      <c r="D20">
        <v>3042</v>
      </c>
      <c r="E20" t="s">
        <v>4094</v>
      </c>
      <c r="F20" t="s">
        <v>5761</v>
      </c>
      <c r="G20" t="s">
        <v>57</v>
      </c>
      <c r="H20">
        <v>2995699</v>
      </c>
      <c r="I20">
        <v>2995887</v>
      </c>
      <c r="J20" t="s">
        <v>4095</v>
      </c>
      <c r="K20">
        <v>63</v>
      </c>
      <c r="L20" t="s">
        <v>59</v>
      </c>
      <c r="M20">
        <v>5</v>
      </c>
      <c r="N20" t="str">
        <f>HYPERLINK("Gene3042-zp_tree_all.dnd", "Gene3042-tree")</f>
        <v>Gene3042-tree</v>
      </c>
      <c r="O20">
        <v>4</v>
      </c>
      <c r="P20">
        <v>0</v>
      </c>
      <c r="Q20">
        <v>4</v>
      </c>
      <c r="R20">
        <v>0</v>
      </c>
      <c r="S20">
        <v>0</v>
      </c>
      <c r="T20" t="s">
        <v>60</v>
      </c>
      <c r="U20" t="s">
        <v>62</v>
      </c>
      <c r="V20" t="s">
        <v>62</v>
      </c>
      <c r="W20" t="s">
        <v>62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2</v>
      </c>
      <c r="AM20">
        <v>1</v>
      </c>
      <c r="AN20">
        <v>2</v>
      </c>
      <c r="AO20">
        <v>0</v>
      </c>
      <c r="AP20">
        <v>4</v>
      </c>
      <c r="AQ20">
        <v>1</v>
      </c>
      <c r="AR20" t="s">
        <v>64</v>
      </c>
      <c r="AS20" t="s">
        <v>4096</v>
      </c>
      <c r="AT20">
        <v>0</v>
      </c>
      <c r="AU20" t="s">
        <v>65</v>
      </c>
      <c r="AV20">
        <v>6</v>
      </c>
      <c r="AW20">
        <v>1</v>
      </c>
      <c r="AX20" t="s">
        <v>4097</v>
      </c>
      <c r="AY20" t="s">
        <v>4098</v>
      </c>
      <c r="AZ20" t="s">
        <v>4099</v>
      </c>
      <c r="BA20">
        <v>4.7600000000000003E-2</v>
      </c>
      <c r="BB20">
        <v>1</v>
      </c>
      <c r="BC20" t="s">
        <v>69</v>
      </c>
      <c r="BD20">
        <v>0.91300000000000003</v>
      </c>
      <c r="BE20">
        <v>0.91300000000000003</v>
      </c>
    </row>
    <row r="21" spans="1:57">
      <c r="A21">
        <v>0</v>
      </c>
      <c r="B21">
        <v>0</v>
      </c>
      <c r="C21">
        <v>0</v>
      </c>
      <c r="D21">
        <v>1249</v>
      </c>
      <c r="E21" t="s">
        <v>1708</v>
      </c>
      <c r="F21" t="s">
        <v>5761</v>
      </c>
      <c r="G21" t="s">
        <v>62</v>
      </c>
      <c r="H21">
        <v>1278208</v>
      </c>
      <c r="I21">
        <v>1278399</v>
      </c>
      <c r="J21" t="s">
        <v>170</v>
      </c>
      <c r="K21">
        <v>64</v>
      </c>
      <c r="L21" t="s">
        <v>83</v>
      </c>
      <c r="M21">
        <v>4</v>
      </c>
      <c r="N21" t="str">
        <f>HYPERLINK("Gene1249-zp_tree_all.dnd", "Gene1249-tree")</f>
        <v>Gene1249-tree</v>
      </c>
      <c r="O21">
        <v>3</v>
      </c>
      <c r="P21">
        <v>1</v>
      </c>
      <c r="Q21">
        <v>3</v>
      </c>
      <c r="R21">
        <v>1</v>
      </c>
      <c r="S21">
        <v>0.25</v>
      </c>
      <c r="T21" t="s">
        <v>84</v>
      </c>
      <c r="U21" t="s">
        <v>61</v>
      </c>
      <c r="V21" t="s">
        <v>62</v>
      </c>
      <c r="W21" t="s">
        <v>62</v>
      </c>
      <c r="X21">
        <v>0</v>
      </c>
      <c r="Y21">
        <v>0</v>
      </c>
      <c r="Z21">
        <v>3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3</v>
      </c>
      <c r="AK21">
        <v>0</v>
      </c>
      <c r="AL21">
        <v>3</v>
      </c>
      <c r="AM21">
        <v>0</v>
      </c>
      <c r="AN21">
        <v>8</v>
      </c>
      <c r="AO21">
        <v>3</v>
      </c>
      <c r="AP21">
        <v>0</v>
      </c>
      <c r="AQ21">
        <v>0</v>
      </c>
      <c r="AR21" t="s">
        <v>1709</v>
      </c>
      <c r="AS21" t="s">
        <v>64</v>
      </c>
      <c r="AT21">
        <v>0.60799999999999998</v>
      </c>
      <c r="AU21" t="s">
        <v>65</v>
      </c>
      <c r="AV21">
        <v>8</v>
      </c>
      <c r="AW21">
        <v>3</v>
      </c>
      <c r="AX21" t="s">
        <v>1710</v>
      </c>
      <c r="AY21" t="s">
        <v>1711</v>
      </c>
      <c r="AZ21" t="s">
        <v>1712</v>
      </c>
      <c r="BA21">
        <v>8.8719999999999993E-2</v>
      </c>
      <c r="BB21">
        <v>0.96799999999999997</v>
      </c>
      <c r="BC21" t="s">
        <v>69</v>
      </c>
      <c r="BD21">
        <v>-0.83699999999999997</v>
      </c>
      <c r="BE21">
        <v>-0.83699999999999997</v>
      </c>
    </row>
    <row r="22" spans="1:57">
      <c r="A22">
        <v>0</v>
      </c>
      <c r="B22">
        <v>0</v>
      </c>
      <c r="C22">
        <v>0</v>
      </c>
      <c r="D22">
        <v>1398</v>
      </c>
      <c r="E22" t="s">
        <v>1843</v>
      </c>
      <c r="F22" t="s">
        <v>5761</v>
      </c>
      <c r="G22" t="s">
        <v>62</v>
      </c>
      <c r="H22">
        <v>1413803</v>
      </c>
      <c r="I22">
        <v>1413994</v>
      </c>
      <c r="J22" t="s">
        <v>172</v>
      </c>
      <c r="K22">
        <v>64</v>
      </c>
      <c r="L22" t="s">
        <v>59</v>
      </c>
      <c r="M22">
        <v>5</v>
      </c>
      <c r="N22" t="str">
        <f>HYPERLINK("Gene1398-zp_tree_all.dnd", "Gene1398-tree")</f>
        <v>Gene1398-tree</v>
      </c>
      <c r="O22">
        <v>4</v>
      </c>
      <c r="P22">
        <v>0</v>
      </c>
      <c r="Q22">
        <v>4</v>
      </c>
      <c r="R22">
        <v>0</v>
      </c>
      <c r="S22">
        <v>0</v>
      </c>
      <c r="T22" t="s">
        <v>60</v>
      </c>
      <c r="U22" t="s">
        <v>62</v>
      </c>
      <c r="V22" t="s">
        <v>62</v>
      </c>
      <c r="W22" t="s">
        <v>62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3</v>
      </c>
      <c r="AM22">
        <v>1</v>
      </c>
      <c r="AN22">
        <v>4</v>
      </c>
      <c r="AO22">
        <v>0</v>
      </c>
      <c r="AP22">
        <v>1</v>
      </c>
      <c r="AQ22">
        <v>0</v>
      </c>
      <c r="AR22" t="s">
        <v>64</v>
      </c>
      <c r="AS22" t="s">
        <v>64</v>
      </c>
      <c r="AT22">
        <v>0</v>
      </c>
      <c r="AU22" t="s">
        <v>65</v>
      </c>
      <c r="AV22">
        <v>5</v>
      </c>
      <c r="AW22">
        <v>0</v>
      </c>
      <c r="AX22" t="s">
        <v>1844</v>
      </c>
      <c r="AY22" t="s">
        <v>1845</v>
      </c>
      <c r="AZ22" t="s">
        <v>64</v>
      </c>
      <c r="BA22">
        <v>0</v>
      </c>
      <c r="BB22">
        <v>1</v>
      </c>
      <c r="BC22" t="s">
        <v>69</v>
      </c>
      <c r="BD22">
        <v>-0.56200000000000006</v>
      </c>
      <c r="BE22">
        <v>-0.56200000000000006</v>
      </c>
    </row>
    <row r="23" spans="1:57">
      <c r="A23">
        <v>0</v>
      </c>
      <c r="B23">
        <v>0</v>
      </c>
      <c r="C23">
        <v>0</v>
      </c>
      <c r="D23">
        <v>924</v>
      </c>
      <c r="E23" t="s">
        <v>1364</v>
      </c>
      <c r="F23" t="s">
        <v>5761</v>
      </c>
      <c r="G23" t="s">
        <v>62</v>
      </c>
      <c r="H23">
        <v>966674</v>
      </c>
      <c r="I23">
        <v>966871</v>
      </c>
      <c r="J23" t="s">
        <v>1365</v>
      </c>
      <c r="K23">
        <v>66</v>
      </c>
      <c r="L23" t="s">
        <v>59</v>
      </c>
      <c r="M23">
        <v>5</v>
      </c>
      <c r="N23" t="str">
        <f>HYPERLINK("Gene924-zp_tree_all.dnd", "Gene924-tree")</f>
        <v>Gene924-tree</v>
      </c>
      <c r="O23">
        <v>3</v>
      </c>
      <c r="P23">
        <v>2</v>
      </c>
      <c r="Q23">
        <v>2</v>
      </c>
      <c r="R23">
        <v>2</v>
      </c>
      <c r="S23">
        <v>0.5</v>
      </c>
      <c r="T23" t="s">
        <v>217</v>
      </c>
      <c r="U23" t="s">
        <v>135</v>
      </c>
      <c r="V23" t="s">
        <v>62</v>
      </c>
      <c r="W23" t="s">
        <v>62</v>
      </c>
      <c r="X23">
        <v>0</v>
      </c>
      <c r="Y23">
        <v>0</v>
      </c>
      <c r="Z23">
        <v>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2</v>
      </c>
      <c r="AK23">
        <v>0</v>
      </c>
      <c r="AL23">
        <v>4</v>
      </c>
      <c r="AM23">
        <v>1</v>
      </c>
      <c r="AN23">
        <v>5</v>
      </c>
      <c r="AO23">
        <v>2</v>
      </c>
      <c r="AP23">
        <v>3</v>
      </c>
      <c r="AQ23">
        <v>0</v>
      </c>
      <c r="AR23" t="s">
        <v>1366</v>
      </c>
      <c r="AS23" t="s">
        <v>64</v>
      </c>
      <c r="AT23">
        <v>1.776</v>
      </c>
      <c r="AU23" t="s">
        <v>65</v>
      </c>
      <c r="AV23">
        <v>8</v>
      </c>
      <c r="AW23">
        <v>2</v>
      </c>
      <c r="AX23" t="s">
        <v>1367</v>
      </c>
      <c r="AY23" t="s">
        <v>1368</v>
      </c>
      <c r="AZ23" t="s">
        <v>1369</v>
      </c>
      <c r="BA23">
        <v>5.8400000000000001E-2</v>
      </c>
      <c r="BB23">
        <v>1</v>
      </c>
      <c r="BC23" t="s">
        <v>69</v>
      </c>
      <c r="BD23">
        <v>0</v>
      </c>
      <c r="BE23">
        <v>0</v>
      </c>
    </row>
    <row r="24" spans="1:57">
      <c r="A24">
        <v>0</v>
      </c>
      <c r="B24">
        <v>0</v>
      </c>
      <c r="C24">
        <v>0</v>
      </c>
      <c r="D24">
        <v>1081</v>
      </c>
      <c r="E24" t="s">
        <v>1540</v>
      </c>
      <c r="F24" t="s">
        <v>5761</v>
      </c>
      <c r="G24" t="s">
        <v>62</v>
      </c>
      <c r="H24">
        <v>1120631</v>
      </c>
      <c r="I24">
        <v>1120828</v>
      </c>
      <c r="J24" t="s">
        <v>1541</v>
      </c>
      <c r="K24">
        <v>66</v>
      </c>
      <c r="L24" t="s">
        <v>59</v>
      </c>
      <c r="M24">
        <v>5</v>
      </c>
      <c r="N24" t="str">
        <f>HYPERLINK("Gene1081-zp_tree_all.dnd", "Gene1081-tree")</f>
        <v>Gene1081-tree</v>
      </c>
      <c r="O24">
        <v>4</v>
      </c>
      <c r="P24">
        <v>1</v>
      </c>
      <c r="Q24">
        <v>3</v>
      </c>
      <c r="R24">
        <v>1</v>
      </c>
      <c r="S24">
        <v>0.25</v>
      </c>
      <c r="T24" t="s">
        <v>119</v>
      </c>
      <c r="U24" t="s">
        <v>61</v>
      </c>
      <c r="V24" t="s">
        <v>62</v>
      </c>
      <c r="W24" t="s">
        <v>62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4</v>
      </c>
      <c r="AM24">
        <v>1</v>
      </c>
      <c r="AN24">
        <v>6</v>
      </c>
      <c r="AO24">
        <v>1</v>
      </c>
      <c r="AP24">
        <v>5</v>
      </c>
      <c r="AQ24">
        <v>0</v>
      </c>
      <c r="AR24" t="s">
        <v>1542</v>
      </c>
      <c r="AS24" t="s">
        <v>64</v>
      </c>
      <c r="AT24">
        <v>0.64200000000000002</v>
      </c>
      <c r="AU24" t="s">
        <v>65</v>
      </c>
      <c r="AV24">
        <v>11</v>
      </c>
      <c r="AW24">
        <v>1</v>
      </c>
      <c r="AX24" t="s">
        <v>1543</v>
      </c>
      <c r="AY24" t="s">
        <v>1544</v>
      </c>
      <c r="AZ24" t="s">
        <v>1545</v>
      </c>
      <c r="BA24">
        <v>2.2380000000000001E-2</v>
      </c>
      <c r="BB24">
        <v>1</v>
      </c>
      <c r="BC24" t="s">
        <v>69</v>
      </c>
      <c r="BD24">
        <v>0.84499999999999997</v>
      </c>
      <c r="BE24">
        <v>0.16400000000000001</v>
      </c>
    </row>
    <row r="25" spans="1:57">
      <c r="A25">
        <v>0</v>
      </c>
      <c r="B25">
        <v>0</v>
      </c>
      <c r="C25">
        <v>0</v>
      </c>
      <c r="D25">
        <v>2841</v>
      </c>
      <c r="E25" t="s">
        <v>3646</v>
      </c>
      <c r="F25" t="s">
        <v>5761</v>
      </c>
      <c r="G25" t="s">
        <v>57</v>
      </c>
      <c r="H25">
        <v>2788680</v>
      </c>
      <c r="I25">
        <v>2788880</v>
      </c>
      <c r="J25" t="s">
        <v>118</v>
      </c>
      <c r="K25">
        <v>67</v>
      </c>
      <c r="L25" t="s">
        <v>59</v>
      </c>
      <c r="M25">
        <v>5</v>
      </c>
      <c r="N25" t="str">
        <f>HYPERLINK("Gene2841-zp_tree_all.dnd", "Gene2841-tree")</f>
        <v>Gene2841-tree</v>
      </c>
      <c r="O25">
        <v>4</v>
      </c>
      <c r="P25">
        <v>1</v>
      </c>
      <c r="Q25">
        <v>4</v>
      </c>
      <c r="R25">
        <v>1</v>
      </c>
      <c r="S25">
        <v>0.2</v>
      </c>
      <c r="T25" t="s">
        <v>60</v>
      </c>
      <c r="U25" t="s">
        <v>61</v>
      </c>
      <c r="V25" t="s">
        <v>62</v>
      </c>
      <c r="W25" t="s">
        <v>62</v>
      </c>
      <c r="X25">
        <v>0</v>
      </c>
      <c r="Y25">
        <v>0</v>
      </c>
      <c r="Z25">
        <v>3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</v>
      </c>
      <c r="AK25">
        <v>0</v>
      </c>
      <c r="AL25">
        <v>4</v>
      </c>
      <c r="AM25">
        <v>2</v>
      </c>
      <c r="AN25">
        <v>4</v>
      </c>
      <c r="AO25">
        <v>3</v>
      </c>
      <c r="AP25">
        <v>4</v>
      </c>
      <c r="AQ25">
        <v>1</v>
      </c>
      <c r="AR25" t="s">
        <v>3647</v>
      </c>
      <c r="AS25" t="s">
        <v>3648</v>
      </c>
      <c r="AT25">
        <v>0.38</v>
      </c>
      <c r="AU25" t="s">
        <v>65</v>
      </c>
      <c r="AV25">
        <v>8</v>
      </c>
      <c r="AW25">
        <v>4</v>
      </c>
      <c r="AX25" t="s">
        <v>3649</v>
      </c>
      <c r="AY25" t="s">
        <v>3650</v>
      </c>
      <c r="AZ25" t="s">
        <v>3651</v>
      </c>
      <c r="BA25">
        <v>0.11024</v>
      </c>
      <c r="BB25">
        <v>1</v>
      </c>
      <c r="BC25" t="s">
        <v>69</v>
      </c>
      <c r="BD25">
        <v>0.05</v>
      </c>
      <c r="BE25">
        <v>0.05</v>
      </c>
    </row>
    <row r="26" spans="1:57">
      <c r="A26">
        <v>0</v>
      </c>
      <c r="B26">
        <v>0</v>
      </c>
      <c r="C26">
        <v>0</v>
      </c>
      <c r="D26">
        <v>1009</v>
      </c>
      <c r="E26" t="s">
        <v>1456</v>
      </c>
      <c r="F26" t="s">
        <v>5761</v>
      </c>
      <c r="G26" t="s">
        <v>62</v>
      </c>
      <c r="H26">
        <v>1050034</v>
      </c>
      <c r="I26">
        <v>1050234</v>
      </c>
      <c r="J26" t="s">
        <v>1457</v>
      </c>
      <c r="K26">
        <v>67</v>
      </c>
      <c r="L26" t="s">
        <v>59</v>
      </c>
      <c r="M26">
        <v>5</v>
      </c>
      <c r="N26" t="str">
        <f>HYPERLINK("Gene1009-zp_tree_all.dnd", "Gene1009-tree")</f>
        <v>Gene1009-tree</v>
      </c>
      <c r="O26">
        <v>3</v>
      </c>
      <c r="P26">
        <v>1</v>
      </c>
      <c r="Q26">
        <v>3</v>
      </c>
      <c r="R26">
        <v>1</v>
      </c>
      <c r="S26">
        <v>0.25</v>
      </c>
      <c r="T26" t="s">
        <v>84</v>
      </c>
      <c r="U26" t="s">
        <v>61</v>
      </c>
      <c r="V26" t="s">
        <v>62</v>
      </c>
      <c r="W26" t="s">
        <v>62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3</v>
      </c>
      <c r="AM26">
        <v>1</v>
      </c>
      <c r="AN26">
        <v>3</v>
      </c>
      <c r="AO26">
        <v>1</v>
      </c>
      <c r="AP26">
        <v>1</v>
      </c>
      <c r="AQ26">
        <v>0</v>
      </c>
      <c r="AR26" t="s">
        <v>1458</v>
      </c>
      <c r="AS26" t="s">
        <v>64</v>
      </c>
      <c r="AT26">
        <v>0.64800000000000002</v>
      </c>
      <c r="AU26" t="s">
        <v>65</v>
      </c>
      <c r="AV26">
        <v>4</v>
      </c>
      <c r="AW26">
        <v>1</v>
      </c>
      <c r="AX26" t="s">
        <v>1459</v>
      </c>
      <c r="AY26" t="s">
        <v>1460</v>
      </c>
      <c r="AZ26" t="s">
        <v>1461</v>
      </c>
      <c r="BA26">
        <v>7.5079999999999994E-2</v>
      </c>
      <c r="BB26">
        <v>1</v>
      </c>
      <c r="BC26" t="s">
        <v>69</v>
      </c>
      <c r="BD26">
        <v>0.61499999999999999</v>
      </c>
      <c r="BE26">
        <v>-1.0940000000000001</v>
      </c>
    </row>
    <row r="27" spans="1:57">
      <c r="A27">
        <v>0</v>
      </c>
      <c r="B27">
        <v>0</v>
      </c>
      <c r="C27">
        <v>0</v>
      </c>
      <c r="D27">
        <v>2982</v>
      </c>
      <c r="E27" t="s">
        <v>3974</v>
      </c>
      <c r="F27" t="s">
        <v>5761</v>
      </c>
      <c r="G27" t="s">
        <v>57</v>
      </c>
      <c r="H27">
        <v>2930554</v>
      </c>
      <c r="I27">
        <v>2930757</v>
      </c>
      <c r="J27" t="s">
        <v>3975</v>
      </c>
      <c r="K27">
        <v>68</v>
      </c>
      <c r="L27" t="s">
        <v>59</v>
      </c>
      <c r="M27">
        <v>5</v>
      </c>
      <c r="N27" t="str">
        <f>HYPERLINK("Gene2982-zp_tree_all.dnd", "Gene2982-tree")</f>
        <v>Gene2982-tree</v>
      </c>
      <c r="O27">
        <v>0</v>
      </c>
      <c r="P27">
        <v>5</v>
      </c>
      <c r="Q27">
        <v>0</v>
      </c>
      <c r="R27">
        <v>5</v>
      </c>
      <c r="S27">
        <v>1</v>
      </c>
      <c r="T27" t="s">
        <v>62</v>
      </c>
      <c r="U27" t="s">
        <v>98</v>
      </c>
      <c r="V27" t="s">
        <v>62</v>
      </c>
      <c r="W27" t="s">
        <v>62</v>
      </c>
      <c r="X27">
        <v>0</v>
      </c>
      <c r="Y27">
        <v>0</v>
      </c>
      <c r="Z27">
        <v>4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4</v>
      </c>
      <c r="AK27">
        <v>0</v>
      </c>
      <c r="AL27">
        <v>3</v>
      </c>
      <c r="AM27">
        <v>1</v>
      </c>
      <c r="AN27">
        <v>1</v>
      </c>
      <c r="AO27">
        <v>3</v>
      </c>
      <c r="AP27">
        <v>0</v>
      </c>
      <c r="AQ27">
        <v>1</v>
      </c>
      <c r="AR27" t="s">
        <v>3976</v>
      </c>
      <c r="AS27" t="s">
        <v>64</v>
      </c>
      <c r="AT27">
        <v>0.86599999999999999</v>
      </c>
      <c r="AU27" t="s">
        <v>65</v>
      </c>
      <c r="AV27">
        <v>1</v>
      </c>
      <c r="AW27">
        <v>4</v>
      </c>
      <c r="AX27" t="s">
        <v>3977</v>
      </c>
      <c r="AY27" t="s">
        <v>3978</v>
      </c>
      <c r="AZ27" t="s">
        <v>3979</v>
      </c>
      <c r="BA27">
        <v>1.40164</v>
      </c>
      <c r="BB27">
        <v>0.16700000000000001</v>
      </c>
      <c r="BC27" t="s">
        <v>793</v>
      </c>
      <c r="BD27">
        <v>-0.504</v>
      </c>
      <c r="BE27">
        <v>-0.66800000000000004</v>
      </c>
    </row>
    <row r="28" spans="1:57">
      <c r="A28">
        <v>0</v>
      </c>
      <c r="B28">
        <v>0</v>
      </c>
      <c r="C28">
        <v>0</v>
      </c>
      <c r="D28">
        <v>3599</v>
      </c>
      <c r="E28" t="s">
        <v>4884</v>
      </c>
      <c r="F28" t="s">
        <v>5761</v>
      </c>
      <c r="G28" t="s">
        <v>57</v>
      </c>
      <c r="H28">
        <v>3568282</v>
      </c>
      <c r="I28">
        <v>3568488</v>
      </c>
      <c r="J28" t="s">
        <v>1146</v>
      </c>
      <c r="K28">
        <v>69</v>
      </c>
      <c r="L28" t="s">
        <v>83</v>
      </c>
      <c r="M28">
        <v>4</v>
      </c>
      <c r="N28" t="str">
        <f>HYPERLINK("Gene3599-zp_tree_all.dnd", "Gene3599-tree")</f>
        <v>Gene3599-tree</v>
      </c>
      <c r="O28">
        <v>1</v>
      </c>
      <c r="P28">
        <v>3</v>
      </c>
      <c r="Q28">
        <v>1</v>
      </c>
      <c r="R28">
        <v>3</v>
      </c>
      <c r="S28">
        <v>0.75</v>
      </c>
      <c r="T28" t="s">
        <v>61</v>
      </c>
      <c r="U28" t="s">
        <v>84</v>
      </c>
      <c r="V28" t="s">
        <v>62</v>
      </c>
      <c r="W28" t="s">
        <v>62</v>
      </c>
      <c r="X28">
        <v>0</v>
      </c>
      <c r="Y28">
        <v>0</v>
      </c>
      <c r="Z28">
        <v>4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4</v>
      </c>
      <c r="AK28">
        <v>0</v>
      </c>
      <c r="AL28">
        <v>4</v>
      </c>
      <c r="AM28">
        <v>1</v>
      </c>
      <c r="AN28">
        <v>3</v>
      </c>
      <c r="AO28">
        <v>4</v>
      </c>
      <c r="AP28">
        <v>1</v>
      </c>
      <c r="AQ28">
        <v>0</v>
      </c>
      <c r="AR28" t="s">
        <v>4885</v>
      </c>
      <c r="AS28" t="s">
        <v>64</v>
      </c>
      <c r="AT28">
        <v>1.1539999999999999</v>
      </c>
      <c r="AU28" t="s">
        <v>65</v>
      </c>
      <c r="AV28">
        <v>4</v>
      </c>
      <c r="AW28">
        <v>4</v>
      </c>
      <c r="AX28" t="s">
        <v>4886</v>
      </c>
      <c r="AY28" t="s">
        <v>4887</v>
      </c>
      <c r="AZ28" t="s">
        <v>4888</v>
      </c>
      <c r="BA28">
        <v>0.26752999999999999</v>
      </c>
      <c r="BB28">
        <v>0.85199999999999998</v>
      </c>
      <c r="BC28" t="s">
        <v>793</v>
      </c>
      <c r="BD28">
        <v>-0.44600000000000001</v>
      </c>
      <c r="BE28">
        <v>-0.44600000000000001</v>
      </c>
    </row>
    <row r="29" spans="1:57">
      <c r="A29">
        <v>0</v>
      </c>
      <c r="B29">
        <v>0</v>
      </c>
      <c r="C29">
        <v>0</v>
      </c>
      <c r="D29">
        <v>2983</v>
      </c>
      <c r="E29" t="s">
        <v>3980</v>
      </c>
      <c r="F29" t="s">
        <v>5761</v>
      </c>
      <c r="G29" t="s">
        <v>57</v>
      </c>
      <c r="H29">
        <v>2931692</v>
      </c>
      <c r="I29">
        <v>2931904</v>
      </c>
      <c r="J29" t="s">
        <v>172</v>
      </c>
      <c r="K29">
        <v>71</v>
      </c>
      <c r="L29" t="s">
        <v>59</v>
      </c>
      <c r="M29">
        <v>5</v>
      </c>
      <c r="N29" t="str">
        <f>HYPERLINK("Gene2983-zp_tree_all.dnd", "Gene2983-tree")</f>
        <v>Gene2983-tree</v>
      </c>
      <c r="O29">
        <v>4</v>
      </c>
      <c r="P29">
        <v>0</v>
      </c>
      <c r="Q29">
        <v>4</v>
      </c>
      <c r="R29">
        <v>0</v>
      </c>
      <c r="S29">
        <v>0</v>
      </c>
      <c r="T29" t="s">
        <v>60</v>
      </c>
      <c r="U29" t="s">
        <v>62</v>
      </c>
      <c r="V29" t="s">
        <v>62</v>
      </c>
      <c r="W29" t="s">
        <v>62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3</v>
      </c>
      <c r="AM29">
        <v>1</v>
      </c>
      <c r="AN29">
        <v>7</v>
      </c>
      <c r="AO29">
        <v>0</v>
      </c>
      <c r="AP29">
        <v>6</v>
      </c>
      <c r="AQ29">
        <v>0</v>
      </c>
      <c r="AR29" t="s">
        <v>64</v>
      </c>
      <c r="AS29" t="s">
        <v>64</v>
      </c>
      <c r="AT29">
        <v>0</v>
      </c>
      <c r="AU29" t="s">
        <v>65</v>
      </c>
      <c r="AV29">
        <v>13</v>
      </c>
      <c r="AW29">
        <v>0</v>
      </c>
      <c r="AX29" t="s">
        <v>3981</v>
      </c>
      <c r="AY29" t="s">
        <v>3982</v>
      </c>
      <c r="AZ29" t="s">
        <v>64</v>
      </c>
      <c r="BA29">
        <v>0</v>
      </c>
      <c r="BB29">
        <v>1</v>
      </c>
      <c r="BC29" t="s">
        <v>69</v>
      </c>
      <c r="BD29">
        <v>0.186</v>
      </c>
      <c r="BE29">
        <v>0.186</v>
      </c>
    </row>
    <row r="30" spans="1:57">
      <c r="A30">
        <v>0</v>
      </c>
      <c r="B30">
        <v>0</v>
      </c>
      <c r="C30">
        <v>0</v>
      </c>
      <c r="D30">
        <v>1010</v>
      </c>
      <c r="E30" t="s">
        <v>1462</v>
      </c>
      <c r="F30" t="s">
        <v>5761</v>
      </c>
      <c r="G30" t="s">
        <v>62</v>
      </c>
      <c r="H30">
        <v>1050446</v>
      </c>
      <c r="I30">
        <v>1050661</v>
      </c>
      <c r="J30" t="s">
        <v>1463</v>
      </c>
      <c r="K30">
        <v>72</v>
      </c>
      <c r="L30" t="s">
        <v>59</v>
      </c>
      <c r="M30">
        <v>5</v>
      </c>
      <c r="N30" t="str">
        <f>HYPERLINK("Gene1010-zp_tree_all.dnd", "Gene1010-tree")</f>
        <v>Gene1010-tree</v>
      </c>
      <c r="O30">
        <v>5</v>
      </c>
      <c r="P30">
        <v>0</v>
      </c>
      <c r="Q30">
        <v>4</v>
      </c>
      <c r="R30">
        <v>0</v>
      </c>
      <c r="S30">
        <v>0</v>
      </c>
      <c r="T30" t="s">
        <v>150</v>
      </c>
      <c r="U30" t="s">
        <v>62</v>
      </c>
      <c r="V30" t="s">
        <v>62</v>
      </c>
      <c r="W30" t="s">
        <v>62</v>
      </c>
      <c r="X30">
        <v>0</v>
      </c>
      <c r="Y30">
        <v>0</v>
      </c>
      <c r="Z30">
        <v>2</v>
      </c>
      <c r="AA30">
        <v>0</v>
      </c>
      <c r="AB30">
        <v>0</v>
      </c>
      <c r="AC30">
        <v>0</v>
      </c>
      <c r="AD30">
        <v>0</v>
      </c>
      <c r="AE30">
        <v>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2</v>
      </c>
      <c r="AM30">
        <v>1</v>
      </c>
      <c r="AN30">
        <v>2</v>
      </c>
      <c r="AO30">
        <v>0</v>
      </c>
      <c r="AP30">
        <v>3</v>
      </c>
      <c r="AQ30">
        <v>2</v>
      </c>
      <c r="AR30" t="s">
        <v>64</v>
      </c>
      <c r="AS30" t="s">
        <v>1464</v>
      </c>
      <c r="AT30">
        <v>0</v>
      </c>
      <c r="AU30" t="s">
        <v>65</v>
      </c>
      <c r="AV30">
        <v>5</v>
      </c>
      <c r="AW30">
        <v>2</v>
      </c>
      <c r="AX30" t="s">
        <v>1465</v>
      </c>
      <c r="AY30" t="s">
        <v>1466</v>
      </c>
      <c r="AZ30" t="s">
        <v>1467</v>
      </c>
      <c r="BA30">
        <v>0.11274000000000001</v>
      </c>
      <c r="BB30">
        <v>0.98899999999999999</v>
      </c>
      <c r="BC30" t="s">
        <v>69</v>
      </c>
      <c r="BD30">
        <v>1.3280000000000001</v>
      </c>
      <c r="BE30">
        <v>1.3280000000000001</v>
      </c>
    </row>
    <row r="31" spans="1:57">
      <c r="A31">
        <v>0</v>
      </c>
      <c r="B31">
        <v>0</v>
      </c>
      <c r="C31">
        <v>0</v>
      </c>
      <c r="D31">
        <v>3548</v>
      </c>
      <c r="E31" t="s">
        <v>4851</v>
      </c>
      <c r="F31" t="s">
        <v>5761</v>
      </c>
      <c r="G31" t="s">
        <v>57</v>
      </c>
      <c r="H31">
        <v>3513887</v>
      </c>
      <c r="I31">
        <v>3514102</v>
      </c>
      <c r="J31" t="s">
        <v>118</v>
      </c>
      <c r="K31">
        <v>72</v>
      </c>
      <c r="L31" t="s">
        <v>59</v>
      </c>
      <c r="M31">
        <v>5</v>
      </c>
      <c r="N31" t="str">
        <f>HYPERLINK("Gene3548-zp_tree_all.dnd", "Gene3548-tree")</f>
        <v>Gene3548-tree</v>
      </c>
      <c r="O31">
        <v>5</v>
      </c>
      <c r="P31">
        <v>0</v>
      </c>
      <c r="Q31">
        <v>5</v>
      </c>
      <c r="R31">
        <v>0</v>
      </c>
      <c r="S31">
        <v>0</v>
      </c>
      <c r="T31" t="s">
        <v>98</v>
      </c>
      <c r="U31" t="s">
        <v>62</v>
      </c>
      <c r="V31" t="s">
        <v>62</v>
      </c>
      <c r="W31" t="s">
        <v>62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4</v>
      </c>
      <c r="AM31">
        <v>2</v>
      </c>
      <c r="AN31">
        <v>11</v>
      </c>
      <c r="AO31">
        <v>0</v>
      </c>
      <c r="AP31">
        <v>5</v>
      </c>
      <c r="AQ31">
        <v>0</v>
      </c>
      <c r="AR31" t="s">
        <v>64</v>
      </c>
      <c r="AS31" t="s">
        <v>64</v>
      </c>
      <c r="AT31">
        <v>0</v>
      </c>
      <c r="AU31" t="s">
        <v>65</v>
      </c>
      <c r="AV31">
        <v>16</v>
      </c>
      <c r="AW31">
        <v>0</v>
      </c>
      <c r="AX31" t="s">
        <v>4852</v>
      </c>
      <c r="AY31" t="s">
        <v>4853</v>
      </c>
      <c r="AZ31" t="s">
        <v>64</v>
      </c>
      <c r="BA31">
        <v>0</v>
      </c>
      <c r="BB31">
        <v>1</v>
      </c>
      <c r="BC31" t="s">
        <v>69</v>
      </c>
      <c r="BD31">
        <v>8.6999999999999994E-2</v>
      </c>
      <c r="BE31">
        <v>-0.34699999999999998</v>
      </c>
    </row>
    <row r="32" spans="1:57">
      <c r="A32">
        <v>0</v>
      </c>
      <c r="B32">
        <v>0</v>
      </c>
      <c r="C32">
        <v>0</v>
      </c>
      <c r="D32">
        <v>897</v>
      </c>
      <c r="E32" t="s">
        <v>1317</v>
      </c>
      <c r="F32" t="s">
        <v>5761</v>
      </c>
      <c r="G32" t="s">
        <v>62</v>
      </c>
      <c r="H32">
        <v>936776</v>
      </c>
      <c r="I32">
        <v>936997</v>
      </c>
      <c r="J32" t="s">
        <v>1318</v>
      </c>
      <c r="K32">
        <v>74</v>
      </c>
      <c r="L32" t="s">
        <v>59</v>
      </c>
      <c r="M32">
        <v>5</v>
      </c>
      <c r="N32" t="str">
        <f>HYPERLINK("Gene897-zp_tree_all.dnd", "Gene897-tree")</f>
        <v>Gene897-tree</v>
      </c>
      <c r="O32">
        <v>2</v>
      </c>
      <c r="P32">
        <v>2</v>
      </c>
      <c r="Q32">
        <v>2</v>
      </c>
      <c r="R32">
        <v>2</v>
      </c>
      <c r="S32">
        <v>0.5</v>
      </c>
      <c r="T32" t="s">
        <v>135</v>
      </c>
      <c r="U32" t="s">
        <v>135</v>
      </c>
      <c r="V32" t="s">
        <v>62</v>
      </c>
      <c r="W32" t="s">
        <v>62</v>
      </c>
      <c r="X32">
        <v>0</v>
      </c>
      <c r="Y32">
        <v>0</v>
      </c>
      <c r="Z32">
        <v>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2</v>
      </c>
      <c r="AK32">
        <v>0</v>
      </c>
      <c r="AL32">
        <v>3</v>
      </c>
      <c r="AM32">
        <v>1</v>
      </c>
      <c r="AN32">
        <v>3</v>
      </c>
      <c r="AO32">
        <v>1</v>
      </c>
      <c r="AP32">
        <v>4</v>
      </c>
      <c r="AQ32">
        <v>1</v>
      </c>
      <c r="AR32" t="s">
        <v>1319</v>
      </c>
      <c r="AS32" t="s">
        <v>1320</v>
      </c>
      <c r="AT32">
        <v>0.18</v>
      </c>
      <c r="AU32" t="s">
        <v>65</v>
      </c>
      <c r="AV32">
        <v>7</v>
      </c>
      <c r="AW32">
        <v>2</v>
      </c>
      <c r="AX32" t="s">
        <v>1321</v>
      </c>
      <c r="AY32" t="s">
        <v>1322</v>
      </c>
      <c r="AZ32" t="s">
        <v>1323</v>
      </c>
      <c r="BA32">
        <v>6.4890000000000003E-2</v>
      </c>
      <c r="BB32">
        <v>1</v>
      </c>
      <c r="BC32" t="s">
        <v>69</v>
      </c>
      <c r="BD32">
        <v>0.46100000000000002</v>
      </c>
      <c r="BE32">
        <v>0.46100000000000002</v>
      </c>
    </row>
    <row r="33" spans="1:57">
      <c r="A33">
        <v>0</v>
      </c>
      <c r="B33">
        <v>0</v>
      </c>
      <c r="C33">
        <v>0</v>
      </c>
      <c r="D33">
        <v>1909</v>
      </c>
      <c r="E33" t="s">
        <v>2813</v>
      </c>
      <c r="F33" t="s">
        <v>5761</v>
      </c>
      <c r="G33" t="s">
        <v>62</v>
      </c>
      <c r="H33">
        <v>2004265</v>
      </c>
      <c r="I33">
        <v>2004492</v>
      </c>
      <c r="J33" t="s">
        <v>2814</v>
      </c>
      <c r="K33">
        <v>76</v>
      </c>
      <c r="L33" t="s">
        <v>59</v>
      </c>
      <c r="M33">
        <v>5</v>
      </c>
      <c r="N33" t="str">
        <f>HYPERLINK("Gene1909-zp_tree_all.dnd", "Gene1909-tree")</f>
        <v>Gene1909-tree</v>
      </c>
      <c r="O33">
        <v>3</v>
      </c>
      <c r="P33">
        <v>2</v>
      </c>
      <c r="Q33">
        <v>3</v>
      </c>
      <c r="R33">
        <v>2</v>
      </c>
      <c r="S33">
        <v>0.4</v>
      </c>
      <c r="T33" t="s">
        <v>84</v>
      </c>
      <c r="U33" t="s">
        <v>135</v>
      </c>
      <c r="V33" t="s">
        <v>62</v>
      </c>
      <c r="W33" t="s">
        <v>62</v>
      </c>
      <c r="X33">
        <v>0</v>
      </c>
      <c r="Y33">
        <v>0</v>
      </c>
      <c r="Z33">
        <v>8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5</v>
      </c>
      <c r="AK33">
        <v>0</v>
      </c>
      <c r="AL33">
        <v>3</v>
      </c>
      <c r="AM33">
        <v>2</v>
      </c>
      <c r="AN33">
        <v>5</v>
      </c>
      <c r="AO33">
        <v>5</v>
      </c>
      <c r="AP33">
        <v>4</v>
      </c>
      <c r="AQ33">
        <v>3</v>
      </c>
      <c r="AR33" t="s">
        <v>2815</v>
      </c>
      <c r="AS33" t="s">
        <v>2816</v>
      </c>
      <c r="AT33">
        <v>0.26500000000000001</v>
      </c>
      <c r="AU33" t="s">
        <v>65</v>
      </c>
      <c r="AV33">
        <v>9</v>
      </c>
      <c r="AW33">
        <v>8</v>
      </c>
      <c r="AX33" t="s">
        <v>2817</v>
      </c>
      <c r="AY33" t="s">
        <v>2818</v>
      </c>
      <c r="AZ33" t="s">
        <v>2819</v>
      </c>
      <c r="BA33">
        <v>0.21903</v>
      </c>
      <c r="BB33">
        <v>0.98</v>
      </c>
      <c r="BC33" t="s">
        <v>69</v>
      </c>
      <c r="BD33">
        <v>0.30499999999999999</v>
      </c>
      <c r="BE33">
        <v>-7.5999999999999998E-2</v>
      </c>
    </row>
    <row r="34" spans="1:57">
      <c r="A34">
        <v>0</v>
      </c>
      <c r="B34">
        <v>0</v>
      </c>
      <c r="C34">
        <v>0</v>
      </c>
      <c r="D34">
        <v>1076</v>
      </c>
      <c r="E34" t="s">
        <v>1534</v>
      </c>
      <c r="F34" t="s">
        <v>5761</v>
      </c>
      <c r="G34" t="s">
        <v>62</v>
      </c>
      <c r="H34">
        <v>1116586</v>
      </c>
      <c r="I34">
        <v>1116816</v>
      </c>
      <c r="J34" t="s">
        <v>118</v>
      </c>
      <c r="K34">
        <v>77</v>
      </c>
      <c r="L34" t="s">
        <v>59</v>
      </c>
      <c r="M34">
        <v>5</v>
      </c>
      <c r="N34" t="str">
        <f>HYPERLINK("Gene1076-zp_tree_all.dnd", "Gene1076-tree")</f>
        <v>Gene1076-tree</v>
      </c>
      <c r="O34">
        <v>0</v>
      </c>
      <c r="P34">
        <v>5</v>
      </c>
      <c r="Q34">
        <v>0</v>
      </c>
      <c r="R34">
        <v>4</v>
      </c>
      <c r="S34">
        <v>1</v>
      </c>
      <c r="T34" t="s">
        <v>62</v>
      </c>
      <c r="U34" t="s">
        <v>150</v>
      </c>
      <c r="V34">
        <v>3.1949999999999998</v>
      </c>
      <c r="W34" t="s">
        <v>65</v>
      </c>
      <c r="X34">
        <v>0</v>
      </c>
      <c r="Y34">
        <v>0</v>
      </c>
      <c r="Z34">
        <v>5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5</v>
      </c>
      <c r="AK34">
        <v>0</v>
      </c>
      <c r="AL34">
        <v>2</v>
      </c>
      <c r="AM34">
        <v>1</v>
      </c>
      <c r="AN34">
        <v>1</v>
      </c>
      <c r="AO34">
        <v>3</v>
      </c>
      <c r="AP34">
        <v>4</v>
      </c>
      <c r="AQ34">
        <v>2</v>
      </c>
      <c r="AR34" t="s">
        <v>1535</v>
      </c>
      <c r="AS34" t="s">
        <v>1536</v>
      </c>
      <c r="AT34">
        <v>1.069</v>
      </c>
      <c r="AU34" t="s">
        <v>65</v>
      </c>
      <c r="AV34">
        <v>5</v>
      </c>
      <c r="AW34">
        <v>5</v>
      </c>
      <c r="AX34" t="s">
        <v>1537</v>
      </c>
      <c r="AY34" t="s">
        <v>1538</v>
      </c>
      <c r="AZ34" t="s">
        <v>1539</v>
      </c>
      <c r="BA34">
        <v>0.22086</v>
      </c>
      <c r="BB34">
        <v>0.96799999999999997</v>
      </c>
      <c r="BC34" t="s">
        <v>69</v>
      </c>
      <c r="BD34">
        <v>0.89400000000000002</v>
      </c>
      <c r="BE34">
        <v>0.89400000000000002</v>
      </c>
    </row>
    <row r="35" spans="1:57">
      <c r="A35">
        <v>0</v>
      </c>
      <c r="B35">
        <v>0</v>
      </c>
      <c r="C35">
        <v>0</v>
      </c>
      <c r="D35">
        <v>3408</v>
      </c>
      <c r="E35" t="s">
        <v>4676</v>
      </c>
      <c r="F35" t="s">
        <v>5761</v>
      </c>
      <c r="G35" t="s">
        <v>57</v>
      </c>
      <c r="H35">
        <v>3373743</v>
      </c>
      <c r="I35">
        <v>3373985</v>
      </c>
      <c r="J35" t="s">
        <v>118</v>
      </c>
      <c r="K35">
        <v>81</v>
      </c>
      <c r="L35" t="s">
        <v>59</v>
      </c>
      <c r="M35">
        <v>5</v>
      </c>
      <c r="N35" t="str">
        <f>HYPERLINK("Gene3408-zp_tree_all.dnd", "Gene3408-tree")</f>
        <v>Gene3408-tree</v>
      </c>
      <c r="O35">
        <v>3</v>
      </c>
      <c r="P35">
        <v>1</v>
      </c>
      <c r="Q35">
        <v>3</v>
      </c>
      <c r="R35">
        <v>1</v>
      </c>
      <c r="S35">
        <v>0.25</v>
      </c>
      <c r="T35" t="s">
        <v>84</v>
      </c>
      <c r="U35" t="s">
        <v>61</v>
      </c>
      <c r="V35" t="s">
        <v>62</v>
      </c>
      <c r="W35" t="s">
        <v>62</v>
      </c>
      <c r="X35">
        <v>0</v>
      </c>
      <c r="Y35">
        <v>0</v>
      </c>
      <c r="Z35">
        <v>2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3</v>
      </c>
      <c r="AM35">
        <v>1</v>
      </c>
      <c r="AN35">
        <v>3</v>
      </c>
      <c r="AO35">
        <v>1</v>
      </c>
      <c r="AP35">
        <v>2</v>
      </c>
      <c r="AQ35">
        <v>1</v>
      </c>
      <c r="AR35" t="s">
        <v>4677</v>
      </c>
      <c r="AS35" t="s">
        <v>4678</v>
      </c>
      <c r="AT35">
        <v>0.31900000000000001</v>
      </c>
      <c r="AU35" t="s">
        <v>65</v>
      </c>
      <c r="AV35">
        <v>5</v>
      </c>
      <c r="AW35">
        <v>2</v>
      </c>
      <c r="AX35" t="s">
        <v>4679</v>
      </c>
      <c r="AY35" t="s">
        <v>4680</v>
      </c>
      <c r="AZ35" t="s">
        <v>4681</v>
      </c>
      <c r="BA35">
        <v>9.5979999999999996E-2</v>
      </c>
      <c r="BB35">
        <v>0.98799999999999999</v>
      </c>
      <c r="BC35" t="s">
        <v>69</v>
      </c>
      <c r="BD35">
        <v>1.002</v>
      </c>
      <c r="BE35">
        <v>-0.191</v>
      </c>
    </row>
    <row r="36" spans="1:57">
      <c r="A36">
        <v>0</v>
      </c>
      <c r="B36">
        <v>0</v>
      </c>
      <c r="C36">
        <v>0</v>
      </c>
      <c r="D36">
        <v>2580</v>
      </c>
      <c r="E36" t="s">
        <v>3432</v>
      </c>
      <c r="F36" t="s">
        <v>5761</v>
      </c>
      <c r="G36" t="s">
        <v>57</v>
      </c>
      <c r="H36">
        <v>2564638</v>
      </c>
      <c r="I36">
        <v>2564880</v>
      </c>
      <c r="J36" t="s">
        <v>118</v>
      </c>
      <c r="K36">
        <v>81</v>
      </c>
      <c r="L36" t="s">
        <v>59</v>
      </c>
      <c r="M36">
        <v>5</v>
      </c>
      <c r="N36" t="str">
        <f>HYPERLINK("Gene2580-zp_tree_all.dnd", "Gene2580-tree")</f>
        <v>Gene2580-tree</v>
      </c>
      <c r="O36">
        <v>5</v>
      </c>
      <c r="P36">
        <v>0</v>
      </c>
      <c r="Q36">
        <v>5</v>
      </c>
      <c r="R36">
        <v>0</v>
      </c>
      <c r="S36">
        <v>0</v>
      </c>
      <c r="T36" t="s">
        <v>98</v>
      </c>
      <c r="U36" t="s">
        <v>62</v>
      </c>
      <c r="V36" t="s">
        <v>62</v>
      </c>
      <c r="W36" t="s">
        <v>62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5</v>
      </c>
      <c r="AM36">
        <v>2</v>
      </c>
      <c r="AN36">
        <v>6</v>
      </c>
      <c r="AO36">
        <v>0</v>
      </c>
      <c r="AP36">
        <v>3</v>
      </c>
      <c r="AQ36">
        <v>0</v>
      </c>
      <c r="AR36" t="s">
        <v>64</v>
      </c>
      <c r="AS36" t="s">
        <v>64</v>
      </c>
      <c r="AT36">
        <v>0</v>
      </c>
      <c r="AU36" t="s">
        <v>65</v>
      </c>
      <c r="AV36">
        <v>9</v>
      </c>
      <c r="AW36">
        <v>0</v>
      </c>
      <c r="AX36" t="s">
        <v>3433</v>
      </c>
      <c r="AY36" t="s">
        <v>3434</v>
      </c>
      <c r="AZ36" t="s">
        <v>64</v>
      </c>
      <c r="BA36">
        <v>0</v>
      </c>
      <c r="BB36">
        <v>1</v>
      </c>
      <c r="BC36" t="s">
        <v>69</v>
      </c>
      <c r="BD36">
        <v>0.29399999999999998</v>
      </c>
      <c r="BE36">
        <v>-0.44</v>
      </c>
    </row>
    <row r="37" spans="1:57">
      <c r="A37">
        <v>0</v>
      </c>
      <c r="B37">
        <v>0</v>
      </c>
      <c r="C37">
        <v>0</v>
      </c>
      <c r="D37">
        <v>2400</v>
      </c>
      <c r="E37" t="s">
        <v>3136</v>
      </c>
      <c r="F37" t="s">
        <v>5761</v>
      </c>
      <c r="G37" t="s">
        <v>57</v>
      </c>
      <c r="H37">
        <v>2409729</v>
      </c>
      <c r="I37">
        <v>2409974</v>
      </c>
      <c r="J37" t="s">
        <v>3137</v>
      </c>
      <c r="K37">
        <v>82</v>
      </c>
      <c r="L37" t="s">
        <v>59</v>
      </c>
      <c r="M37">
        <v>5</v>
      </c>
      <c r="N37" t="str">
        <f>HYPERLINK("Gene2400-zp_tree_all.dnd", "Gene2400-tree")</f>
        <v>Gene2400-tree</v>
      </c>
      <c r="O37">
        <v>4</v>
      </c>
      <c r="P37">
        <v>0</v>
      </c>
      <c r="Q37">
        <v>4</v>
      </c>
      <c r="R37">
        <v>0</v>
      </c>
      <c r="S37">
        <v>0</v>
      </c>
      <c r="T37" t="s">
        <v>60</v>
      </c>
      <c r="U37" t="s">
        <v>62</v>
      </c>
      <c r="V37" t="s">
        <v>62</v>
      </c>
      <c r="W37" t="s">
        <v>62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2</v>
      </c>
      <c r="AM37">
        <v>1</v>
      </c>
      <c r="AN37">
        <v>2</v>
      </c>
      <c r="AO37">
        <v>0</v>
      </c>
      <c r="AP37">
        <v>4</v>
      </c>
      <c r="AQ37">
        <v>0</v>
      </c>
      <c r="AR37" t="s">
        <v>64</v>
      </c>
      <c r="AS37" t="s">
        <v>64</v>
      </c>
      <c r="AT37">
        <v>0</v>
      </c>
      <c r="AU37" t="s">
        <v>65</v>
      </c>
      <c r="AV37">
        <v>6</v>
      </c>
      <c r="AW37">
        <v>0</v>
      </c>
      <c r="AX37" t="s">
        <v>3138</v>
      </c>
      <c r="AY37" t="s">
        <v>3139</v>
      </c>
      <c r="AZ37" t="s">
        <v>64</v>
      </c>
      <c r="BA37">
        <v>0</v>
      </c>
      <c r="BB37">
        <v>1</v>
      </c>
      <c r="BC37" t="s">
        <v>69</v>
      </c>
      <c r="BD37">
        <v>0.76400000000000001</v>
      </c>
      <c r="BE37">
        <v>0.76400000000000001</v>
      </c>
    </row>
    <row r="38" spans="1:57">
      <c r="A38">
        <v>0</v>
      </c>
      <c r="B38">
        <v>0</v>
      </c>
      <c r="C38">
        <v>0</v>
      </c>
      <c r="D38">
        <v>210</v>
      </c>
      <c r="E38" t="s">
        <v>671</v>
      </c>
      <c r="F38" t="s">
        <v>5761</v>
      </c>
      <c r="G38" t="s">
        <v>62</v>
      </c>
      <c r="H38">
        <v>230822</v>
      </c>
      <c r="I38">
        <v>231079</v>
      </c>
      <c r="J38" t="s">
        <v>118</v>
      </c>
      <c r="K38">
        <v>86</v>
      </c>
      <c r="L38" t="s">
        <v>112</v>
      </c>
      <c r="M38">
        <v>4</v>
      </c>
      <c r="N38" t="str">
        <f>HYPERLINK("Gene210-zp_tree_all.dnd", "Gene210-tree")</f>
        <v>Gene210-tree</v>
      </c>
      <c r="O38">
        <v>3</v>
      </c>
      <c r="P38">
        <v>1</v>
      </c>
      <c r="Q38">
        <v>3</v>
      </c>
      <c r="R38">
        <v>1</v>
      </c>
      <c r="S38">
        <v>0.25</v>
      </c>
      <c r="T38" t="s">
        <v>84</v>
      </c>
      <c r="U38" t="s">
        <v>61</v>
      </c>
      <c r="V38" t="s">
        <v>62</v>
      </c>
      <c r="W38" t="s">
        <v>62</v>
      </c>
      <c r="X38">
        <v>0</v>
      </c>
      <c r="Y38">
        <v>0</v>
      </c>
      <c r="Z38">
        <v>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2</v>
      </c>
      <c r="AK38">
        <v>0</v>
      </c>
      <c r="AL38">
        <v>3</v>
      </c>
      <c r="AM38">
        <v>1</v>
      </c>
      <c r="AN38">
        <v>6</v>
      </c>
      <c r="AO38">
        <v>2</v>
      </c>
      <c r="AP38">
        <v>1</v>
      </c>
      <c r="AQ38">
        <v>0</v>
      </c>
      <c r="AR38" t="s">
        <v>672</v>
      </c>
      <c r="AS38" t="s">
        <v>64</v>
      </c>
      <c r="AT38">
        <v>0.68600000000000005</v>
      </c>
      <c r="AU38" t="s">
        <v>65</v>
      </c>
      <c r="AV38">
        <v>7</v>
      </c>
      <c r="AW38">
        <v>2</v>
      </c>
      <c r="AX38" t="s">
        <v>673</v>
      </c>
      <c r="AY38" t="s">
        <v>674</v>
      </c>
      <c r="AZ38" t="s">
        <v>675</v>
      </c>
      <c r="BA38">
        <v>6.8610000000000004E-2</v>
      </c>
      <c r="BB38">
        <v>1</v>
      </c>
      <c r="BC38" t="s">
        <v>69</v>
      </c>
      <c r="BD38">
        <v>-0.49199999999999999</v>
      </c>
      <c r="BE38">
        <v>-0.49199999999999999</v>
      </c>
    </row>
    <row r="39" spans="1:57">
      <c r="A39">
        <v>0</v>
      </c>
      <c r="B39">
        <v>0</v>
      </c>
      <c r="C39">
        <v>2</v>
      </c>
      <c r="D39">
        <v>2801</v>
      </c>
      <c r="E39" t="s">
        <v>3618</v>
      </c>
      <c r="F39" t="s">
        <v>5761</v>
      </c>
      <c r="G39" t="s">
        <v>57</v>
      </c>
      <c r="H39">
        <v>2749260</v>
      </c>
      <c r="I39">
        <v>2749520</v>
      </c>
      <c r="J39" t="s">
        <v>118</v>
      </c>
      <c r="K39">
        <v>87</v>
      </c>
      <c r="L39" t="s">
        <v>83</v>
      </c>
      <c r="M39">
        <v>4</v>
      </c>
      <c r="N39" t="str">
        <f>HYPERLINK("Gene2801-zp_tree_all.dnd", "Gene2801-tree")</f>
        <v>Gene2801-tree</v>
      </c>
      <c r="O39">
        <v>0</v>
      </c>
      <c r="P39">
        <v>4</v>
      </c>
      <c r="Q39">
        <v>0</v>
      </c>
      <c r="R39">
        <v>4</v>
      </c>
      <c r="S39">
        <v>1</v>
      </c>
      <c r="T39" t="s">
        <v>62</v>
      </c>
      <c r="U39" t="s">
        <v>60</v>
      </c>
      <c r="V39" t="s">
        <v>62</v>
      </c>
      <c r="W39" t="s">
        <v>62</v>
      </c>
      <c r="X39">
        <v>1</v>
      </c>
      <c r="Y39">
        <v>2</v>
      </c>
      <c r="Z39">
        <v>8</v>
      </c>
      <c r="AA39">
        <v>0.2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2</v>
      </c>
      <c r="AI39">
        <v>2</v>
      </c>
      <c r="AJ39">
        <v>8</v>
      </c>
      <c r="AK39">
        <v>0.2</v>
      </c>
      <c r="AL39">
        <v>3</v>
      </c>
      <c r="AM39">
        <v>1</v>
      </c>
      <c r="AN39">
        <v>2</v>
      </c>
      <c r="AO39">
        <v>10</v>
      </c>
      <c r="AP39">
        <v>1</v>
      </c>
      <c r="AQ39">
        <v>1</v>
      </c>
      <c r="AR39" t="s">
        <v>3619</v>
      </c>
      <c r="AS39" t="s">
        <v>3620</v>
      </c>
      <c r="AT39">
        <v>2.1589999999999998</v>
      </c>
      <c r="AU39" t="s">
        <v>286</v>
      </c>
      <c r="AV39">
        <v>3</v>
      </c>
      <c r="AW39">
        <v>11</v>
      </c>
      <c r="AX39" t="s">
        <v>3621</v>
      </c>
      <c r="AY39" t="s">
        <v>3622</v>
      </c>
      <c r="AZ39" t="s">
        <v>3623</v>
      </c>
      <c r="BA39">
        <v>0.98065999999999998</v>
      </c>
      <c r="BB39">
        <v>0.56399999999999995</v>
      </c>
      <c r="BC39" t="s">
        <v>793</v>
      </c>
      <c r="BD39">
        <v>-0.40300000000000002</v>
      </c>
      <c r="BE39">
        <v>-0.40300000000000002</v>
      </c>
    </row>
    <row r="40" spans="1:57">
      <c r="A40">
        <v>0</v>
      </c>
      <c r="B40">
        <v>0</v>
      </c>
      <c r="C40">
        <v>0</v>
      </c>
      <c r="D40">
        <v>3949</v>
      </c>
      <c r="E40" t="s">
        <v>5309</v>
      </c>
      <c r="F40" t="s">
        <v>5761</v>
      </c>
      <c r="G40" t="s">
        <v>57</v>
      </c>
      <c r="H40">
        <v>3914009</v>
      </c>
      <c r="I40">
        <v>3914269</v>
      </c>
      <c r="J40" t="s">
        <v>5310</v>
      </c>
      <c r="K40">
        <v>87</v>
      </c>
      <c r="L40" t="s">
        <v>59</v>
      </c>
      <c r="M40">
        <v>5</v>
      </c>
      <c r="N40" t="str">
        <f>HYPERLINK("Gene3949-zp_tree_all.dnd", "Gene3949-tree")</f>
        <v>Gene3949-tree</v>
      </c>
      <c r="O40">
        <v>5</v>
      </c>
      <c r="P40">
        <v>0</v>
      </c>
      <c r="Q40">
        <v>5</v>
      </c>
      <c r="R40">
        <v>0</v>
      </c>
      <c r="S40">
        <v>0</v>
      </c>
      <c r="T40" t="s">
        <v>98</v>
      </c>
      <c r="U40" t="s">
        <v>62</v>
      </c>
      <c r="V40" t="s">
        <v>62</v>
      </c>
      <c r="W40" t="s">
        <v>62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4</v>
      </c>
      <c r="AM40">
        <v>1</v>
      </c>
      <c r="AN40">
        <v>7</v>
      </c>
      <c r="AO40">
        <v>0</v>
      </c>
      <c r="AP40">
        <v>6</v>
      </c>
      <c r="AQ40">
        <v>0</v>
      </c>
      <c r="AR40" t="s">
        <v>64</v>
      </c>
      <c r="AS40" t="s">
        <v>64</v>
      </c>
      <c r="AT40">
        <v>0</v>
      </c>
      <c r="AU40" t="s">
        <v>65</v>
      </c>
      <c r="AV40">
        <v>13</v>
      </c>
      <c r="AW40">
        <v>0</v>
      </c>
      <c r="AX40" t="s">
        <v>5311</v>
      </c>
      <c r="AY40" t="s">
        <v>5312</v>
      </c>
      <c r="AZ40" t="s">
        <v>64</v>
      </c>
      <c r="BA40">
        <v>0</v>
      </c>
      <c r="BB40">
        <v>1</v>
      </c>
      <c r="BC40" t="s">
        <v>69</v>
      </c>
      <c r="BD40">
        <v>0.186</v>
      </c>
      <c r="BE40">
        <v>0.186</v>
      </c>
    </row>
    <row r="41" spans="1:57">
      <c r="A41">
        <v>0</v>
      </c>
      <c r="B41">
        <v>0</v>
      </c>
      <c r="C41">
        <v>0</v>
      </c>
      <c r="D41">
        <v>1263</v>
      </c>
      <c r="E41" t="s">
        <v>1719</v>
      </c>
      <c r="F41" t="s">
        <v>5761</v>
      </c>
      <c r="G41" t="s">
        <v>62</v>
      </c>
      <c r="H41">
        <v>1290678</v>
      </c>
      <c r="I41">
        <v>1290953</v>
      </c>
      <c r="J41" t="s">
        <v>1082</v>
      </c>
      <c r="K41">
        <v>92</v>
      </c>
      <c r="L41" t="s">
        <v>83</v>
      </c>
      <c r="M41">
        <v>4</v>
      </c>
      <c r="N41" t="str">
        <f>HYPERLINK("Gene1263-zp_tree_all.dnd", "Gene1263-tree")</f>
        <v>Gene1263-tree</v>
      </c>
      <c r="O41">
        <v>2</v>
      </c>
      <c r="P41">
        <v>2</v>
      </c>
      <c r="Q41">
        <v>2</v>
      </c>
      <c r="R41">
        <v>2</v>
      </c>
      <c r="S41">
        <v>0.5</v>
      </c>
      <c r="T41" t="s">
        <v>135</v>
      </c>
      <c r="U41" t="s">
        <v>135</v>
      </c>
      <c r="V41" t="s">
        <v>62</v>
      </c>
      <c r="W41" t="s">
        <v>62</v>
      </c>
      <c r="X41">
        <v>0</v>
      </c>
      <c r="Y41">
        <v>0</v>
      </c>
      <c r="Z41">
        <v>5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4</v>
      </c>
      <c r="AK41">
        <v>0</v>
      </c>
      <c r="AL41">
        <v>4</v>
      </c>
      <c r="AM41">
        <v>1</v>
      </c>
      <c r="AN41">
        <v>11</v>
      </c>
      <c r="AO41">
        <v>4</v>
      </c>
      <c r="AP41">
        <v>3</v>
      </c>
      <c r="AQ41">
        <v>1</v>
      </c>
      <c r="AR41" t="s">
        <v>1720</v>
      </c>
      <c r="AS41" t="s">
        <v>1721</v>
      </c>
      <c r="AT41">
        <v>7.2999999999999995E-2</v>
      </c>
      <c r="AU41" t="s">
        <v>65</v>
      </c>
      <c r="AV41">
        <v>14</v>
      </c>
      <c r="AW41">
        <v>5</v>
      </c>
      <c r="AX41" t="s">
        <v>1722</v>
      </c>
      <c r="AY41" t="s">
        <v>1723</v>
      </c>
      <c r="AZ41" t="s">
        <v>1724</v>
      </c>
      <c r="BA41">
        <v>0.10867</v>
      </c>
      <c r="BB41">
        <v>1</v>
      </c>
      <c r="BC41" t="s">
        <v>69</v>
      </c>
      <c r="BD41">
        <v>-0.19500000000000001</v>
      </c>
      <c r="BE41">
        <v>-0.19500000000000001</v>
      </c>
    </row>
    <row r="42" spans="1:57">
      <c r="A42">
        <v>0</v>
      </c>
      <c r="B42">
        <v>0</v>
      </c>
      <c r="C42">
        <v>0</v>
      </c>
      <c r="D42">
        <v>3108</v>
      </c>
      <c r="E42" t="s">
        <v>4235</v>
      </c>
      <c r="F42" t="s">
        <v>5761</v>
      </c>
      <c r="G42" t="s">
        <v>57</v>
      </c>
      <c r="H42">
        <v>3060395</v>
      </c>
      <c r="I42">
        <v>3060670</v>
      </c>
      <c r="J42" t="s">
        <v>118</v>
      </c>
      <c r="K42">
        <v>92</v>
      </c>
      <c r="L42" t="s">
        <v>59</v>
      </c>
      <c r="M42">
        <v>5</v>
      </c>
      <c r="N42" t="str">
        <f>HYPERLINK("Gene3108-zp_tree_all.dnd", "Gene3108-tree")</f>
        <v>Gene3108-tree</v>
      </c>
      <c r="O42">
        <v>3</v>
      </c>
      <c r="P42">
        <v>1</v>
      </c>
      <c r="Q42">
        <v>3</v>
      </c>
      <c r="R42">
        <v>1</v>
      </c>
      <c r="S42">
        <v>0.25</v>
      </c>
      <c r="T42" t="s">
        <v>84</v>
      </c>
      <c r="U42" t="s">
        <v>61</v>
      </c>
      <c r="V42" t="s">
        <v>62</v>
      </c>
      <c r="W42" t="s">
        <v>62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3</v>
      </c>
      <c r="AM42">
        <v>1</v>
      </c>
      <c r="AN42">
        <v>6</v>
      </c>
      <c r="AO42">
        <v>1</v>
      </c>
      <c r="AP42">
        <v>4</v>
      </c>
      <c r="AQ42">
        <v>0</v>
      </c>
      <c r="AR42" t="s">
        <v>4236</v>
      </c>
      <c r="AS42" t="s">
        <v>64</v>
      </c>
      <c r="AT42">
        <v>0.79700000000000004</v>
      </c>
      <c r="AU42" t="s">
        <v>65</v>
      </c>
      <c r="AV42">
        <v>10</v>
      </c>
      <c r="AW42">
        <v>1</v>
      </c>
      <c r="AX42" t="s">
        <v>4237</v>
      </c>
      <c r="AY42" t="s">
        <v>4238</v>
      </c>
      <c r="AZ42" t="s">
        <v>4239</v>
      </c>
      <c r="BA42">
        <v>2.1409999999999998E-2</v>
      </c>
      <c r="BB42">
        <v>1</v>
      </c>
      <c r="BC42" t="s">
        <v>69</v>
      </c>
      <c r="BD42">
        <v>-0.109</v>
      </c>
      <c r="BE42">
        <v>-0.109</v>
      </c>
    </row>
    <row r="43" spans="1:57">
      <c r="A43">
        <v>0</v>
      </c>
      <c r="B43">
        <v>0</v>
      </c>
      <c r="C43">
        <v>0</v>
      </c>
      <c r="D43">
        <v>3284</v>
      </c>
      <c r="E43" t="s">
        <v>4457</v>
      </c>
      <c r="F43" t="s">
        <v>5761</v>
      </c>
      <c r="G43" t="s">
        <v>57</v>
      </c>
      <c r="H43">
        <v>3251724</v>
      </c>
      <c r="I43">
        <v>3252005</v>
      </c>
      <c r="J43" t="s">
        <v>4458</v>
      </c>
      <c r="K43">
        <v>94</v>
      </c>
      <c r="L43" t="s">
        <v>59</v>
      </c>
      <c r="M43">
        <v>5</v>
      </c>
      <c r="N43" t="str">
        <f>HYPERLINK("Gene3284-zp_tree_all.dnd", "Gene3284-tree")</f>
        <v>Gene3284-tree</v>
      </c>
      <c r="O43">
        <v>3</v>
      </c>
      <c r="P43">
        <v>2</v>
      </c>
      <c r="Q43">
        <v>3</v>
      </c>
      <c r="R43">
        <v>2</v>
      </c>
      <c r="S43">
        <v>0.4</v>
      </c>
      <c r="T43" t="s">
        <v>84</v>
      </c>
      <c r="U43" t="s">
        <v>135</v>
      </c>
      <c r="V43" t="s">
        <v>62</v>
      </c>
      <c r="W43" t="s">
        <v>62</v>
      </c>
      <c r="X43">
        <v>0</v>
      </c>
      <c r="Y43">
        <v>0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2</v>
      </c>
      <c r="AK43">
        <v>0</v>
      </c>
      <c r="AL43">
        <v>3</v>
      </c>
      <c r="AM43">
        <v>2</v>
      </c>
      <c r="AN43">
        <v>6</v>
      </c>
      <c r="AO43">
        <v>1</v>
      </c>
      <c r="AP43">
        <v>7</v>
      </c>
      <c r="AQ43">
        <v>1</v>
      </c>
      <c r="AR43" t="s">
        <v>4459</v>
      </c>
      <c r="AS43" t="s">
        <v>4460</v>
      </c>
      <c r="AT43">
        <v>9.4E-2</v>
      </c>
      <c r="AU43" t="s">
        <v>65</v>
      </c>
      <c r="AV43">
        <v>13</v>
      </c>
      <c r="AW43">
        <v>2</v>
      </c>
      <c r="AX43" t="s">
        <v>4461</v>
      </c>
      <c r="AY43" t="s">
        <v>4462</v>
      </c>
      <c r="AZ43" t="s">
        <v>4463</v>
      </c>
      <c r="BA43">
        <v>4.854E-2</v>
      </c>
      <c r="BB43">
        <v>1</v>
      </c>
      <c r="BC43" t="s">
        <v>69</v>
      </c>
      <c r="BD43">
        <v>0.40600000000000003</v>
      </c>
      <c r="BE43">
        <v>0.40600000000000003</v>
      </c>
    </row>
    <row r="44" spans="1:57">
      <c r="A44">
        <v>0</v>
      </c>
      <c r="B44">
        <v>0</v>
      </c>
      <c r="C44">
        <v>0</v>
      </c>
      <c r="D44">
        <v>2490</v>
      </c>
      <c r="E44" t="s">
        <v>3264</v>
      </c>
      <c r="F44" t="s">
        <v>5761</v>
      </c>
      <c r="G44" t="s">
        <v>57</v>
      </c>
      <c r="H44">
        <v>2483586</v>
      </c>
      <c r="I44">
        <v>2483870</v>
      </c>
      <c r="J44" t="s">
        <v>3265</v>
      </c>
      <c r="K44">
        <v>95</v>
      </c>
      <c r="L44" t="s">
        <v>59</v>
      </c>
      <c r="M44">
        <v>5</v>
      </c>
      <c r="N44" t="str">
        <f>HYPERLINK("Gene2490-zp_tree_all.dnd", "Gene2490-tree")</f>
        <v>Gene2490-tree</v>
      </c>
      <c r="O44">
        <v>3</v>
      </c>
      <c r="P44">
        <v>2</v>
      </c>
      <c r="Q44">
        <v>3</v>
      </c>
      <c r="R44">
        <v>2</v>
      </c>
      <c r="S44">
        <v>0.4</v>
      </c>
      <c r="T44" t="s">
        <v>84</v>
      </c>
      <c r="U44" t="s">
        <v>135</v>
      </c>
      <c r="V44" t="s">
        <v>62</v>
      </c>
      <c r="W44" t="s">
        <v>62</v>
      </c>
      <c r="X44">
        <v>0</v>
      </c>
      <c r="Y44">
        <v>0</v>
      </c>
      <c r="Z44">
        <v>4</v>
      </c>
      <c r="AA44">
        <v>0</v>
      </c>
      <c r="AB44">
        <v>0</v>
      </c>
      <c r="AC44">
        <v>0</v>
      </c>
      <c r="AD44">
        <v>0</v>
      </c>
      <c r="AE44">
        <v>2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3</v>
      </c>
      <c r="AM44">
        <v>2</v>
      </c>
      <c r="AN44">
        <v>7</v>
      </c>
      <c r="AO44">
        <v>1</v>
      </c>
      <c r="AP44">
        <v>5</v>
      </c>
      <c r="AQ44">
        <v>3</v>
      </c>
      <c r="AR44" t="s">
        <v>3266</v>
      </c>
      <c r="AS44" t="s">
        <v>3267</v>
      </c>
      <c r="AT44">
        <v>1.522</v>
      </c>
      <c r="AU44" t="s">
        <v>65</v>
      </c>
      <c r="AV44">
        <v>12</v>
      </c>
      <c r="AW44">
        <v>4</v>
      </c>
      <c r="AX44" t="s">
        <v>3268</v>
      </c>
      <c r="AY44" t="s">
        <v>3269</v>
      </c>
      <c r="AZ44" t="s">
        <v>3270</v>
      </c>
      <c r="BA44">
        <v>0.10918</v>
      </c>
      <c r="BB44">
        <v>1</v>
      </c>
      <c r="BC44" t="s">
        <v>69</v>
      </c>
      <c r="BD44">
        <v>0.40600000000000003</v>
      </c>
      <c r="BE44">
        <v>0</v>
      </c>
    </row>
    <row r="45" spans="1:57">
      <c r="A45">
        <v>0</v>
      </c>
      <c r="B45">
        <v>0</v>
      </c>
      <c r="C45">
        <v>0</v>
      </c>
      <c r="D45">
        <v>421</v>
      </c>
      <c r="E45" t="s">
        <v>870</v>
      </c>
      <c r="F45" t="s">
        <v>5761</v>
      </c>
      <c r="G45" t="s">
        <v>62</v>
      </c>
      <c r="H45">
        <v>463499</v>
      </c>
      <c r="I45">
        <v>463783</v>
      </c>
      <c r="J45" t="s">
        <v>118</v>
      </c>
      <c r="K45">
        <v>95</v>
      </c>
      <c r="L45" t="s">
        <v>59</v>
      </c>
      <c r="M45">
        <v>5</v>
      </c>
      <c r="N45" t="str">
        <f>HYPERLINK("Gene421-zp_tree_all.dnd", "Gene421-tree")</f>
        <v>Gene421-tree</v>
      </c>
      <c r="O45">
        <v>4</v>
      </c>
      <c r="P45">
        <v>1</v>
      </c>
      <c r="Q45">
        <v>4</v>
      </c>
      <c r="R45">
        <v>1</v>
      </c>
      <c r="S45">
        <v>0.2</v>
      </c>
      <c r="T45" t="s">
        <v>60</v>
      </c>
      <c r="U45" t="s">
        <v>61</v>
      </c>
      <c r="V45" t="s">
        <v>62</v>
      </c>
      <c r="W45" t="s">
        <v>62</v>
      </c>
      <c r="X45">
        <v>0</v>
      </c>
      <c r="Y45">
        <v>0</v>
      </c>
      <c r="Z45">
        <v>2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4</v>
      </c>
      <c r="AM45">
        <v>2</v>
      </c>
      <c r="AN45">
        <v>8</v>
      </c>
      <c r="AO45">
        <v>1</v>
      </c>
      <c r="AP45">
        <v>5</v>
      </c>
      <c r="AQ45">
        <v>1</v>
      </c>
      <c r="AR45" t="s">
        <v>871</v>
      </c>
      <c r="AS45" t="s">
        <v>872</v>
      </c>
      <c r="AT45">
        <v>0.246</v>
      </c>
      <c r="AU45" t="s">
        <v>65</v>
      </c>
      <c r="AV45">
        <v>13</v>
      </c>
      <c r="AW45">
        <v>2</v>
      </c>
      <c r="AX45" t="s">
        <v>873</v>
      </c>
      <c r="AY45" t="s">
        <v>874</v>
      </c>
      <c r="AZ45" t="s">
        <v>875</v>
      </c>
      <c r="BA45">
        <v>3.9910000000000001E-2</v>
      </c>
      <c r="BB45">
        <v>1</v>
      </c>
      <c r="BC45" t="s">
        <v>69</v>
      </c>
      <c r="BD45">
        <v>0</v>
      </c>
      <c r="BE45">
        <v>0</v>
      </c>
    </row>
    <row r="46" spans="1:57">
      <c r="A46">
        <v>0</v>
      </c>
      <c r="B46">
        <v>0</v>
      </c>
      <c r="C46">
        <v>0</v>
      </c>
      <c r="D46">
        <v>393</v>
      </c>
      <c r="E46" t="s">
        <v>856</v>
      </c>
      <c r="F46" t="s">
        <v>5761</v>
      </c>
      <c r="G46" t="s">
        <v>62</v>
      </c>
      <c r="H46">
        <v>439285</v>
      </c>
      <c r="I46">
        <v>439569</v>
      </c>
      <c r="J46" t="s">
        <v>857</v>
      </c>
      <c r="K46">
        <v>95</v>
      </c>
      <c r="L46" t="s">
        <v>59</v>
      </c>
      <c r="M46">
        <v>5</v>
      </c>
      <c r="N46" t="str">
        <f>HYPERLINK("Gene393-zp_tree_all.dnd", "Gene393-tree")</f>
        <v>Gene393-tree</v>
      </c>
      <c r="O46">
        <v>4</v>
      </c>
      <c r="P46">
        <v>1</v>
      </c>
      <c r="Q46">
        <v>3</v>
      </c>
      <c r="R46">
        <v>1</v>
      </c>
      <c r="S46">
        <v>0.25</v>
      </c>
      <c r="T46" t="s">
        <v>119</v>
      </c>
      <c r="U46" t="s">
        <v>61</v>
      </c>
      <c r="V46" t="s">
        <v>62</v>
      </c>
      <c r="W46" t="s">
        <v>62</v>
      </c>
      <c r="X46">
        <v>0</v>
      </c>
      <c r="Y46">
        <v>0</v>
      </c>
      <c r="Z46">
        <v>2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3</v>
      </c>
      <c r="AM46">
        <v>1</v>
      </c>
      <c r="AN46">
        <v>5</v>
      </c>
      <c r="AO46">
        <v>1</v>
      </c>
      <c r="AP46">
        <v>8</v>
      </c>
      <c r="AQ46">
        <v>1</v>
      </c>
      <c r="AR46" t="s">
        <v>858</v>
      </c>
      <c r="AS46" t="s">
        <v>859</v>
      </c>
      <c r="AT46">
        <v>0.311</v>
      </c>
      <c r="AU46" t="s">
        <v>65</v>
      </c>
      <c r="AV46">
        <v>13</v>
      </c>
      <c r="AW46">
        <v>2</v>
      </c>
      <c r="AX46" t="s">
        <v>860</v>
      </c>
      <c r="AY46" t="s">
        <v>861</v>
      </c>
      <c r="AZ46" t="s">
        <v>862</v>
      </c>
      <c r="BA46">
        <v>3.4810000000000001E-2</v>
      </c>
      <c r="BB46">
        <v>1</v>
      </c>
      <c r="BC46" t="s">
        <v>69</v>
      </c>
      <c r="BD46">
        <v>0.81200000000000006</v>
      </c>
      <c r="BE46">
        <v>0.81200000000000006</v>
      </c>
    </row>
    <row r="47" spans="1:57">
      <c r="A47">
        <v>0</v>
      </c>
      <c r="B47">
        <v>0</v>
      </c>
      <c r="C47">
        <v>0</v>
      </c>
      <c r="D47">
        <v>432</v>
      </c>
      <c r="E47" t="s">
        <v>882</v>
      </c>
      <c r="F47" t="s">
        <v>5761</v>
      </c>
      <c r="G47" t="s">
        <v>62</v>
      </c>
      <c r="H47">
        <v>475587</v>
      </c>
      <c r="I47">
        <v>475874</v>
      </c>
      <c r="J47" t="s">
        <v>118</v>
      </c>
      <c r="K47">
        <v>96</v>
      </c>
      <c r="L47" t="s">
        <v>83</v>
      </c>
      <c r="M47">
        <v>4</v>
      </c>
      <c r="N47" t="str">
        <f>HYPERLINK("Gene432-zp_tree_all.dnd", "Gene432-tree")</f>
        <v>Gene432-tree</v>
      </c>
      <c r="O47">
        <v>1</v>
      </c>
      <c r="P47">
        <v>3</v>
      </c>
      <c r="Q47">
        <v>1</v>
      </c>
      <c r="R47">
        <v>3</v>
      </c>
      <c r="S47">
        <v>0.75</v>
      </c>
      <c r="T47" t="s">
        <v>61</v>
      </c>
      <c r="U47" t="s">
        <v>84</v>
      </c>
      <c r="V47" t="s">
        <v>62</v>
      </c>
      <c r="W47" t="s">
        <v>62</v>
      </c>
      <c r="X47">
        <v>0</v>
      </c>
      <c r="Y47">
        <v>0</v>
      </c>
      <c r="Z47">
        <v>4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4</v>
      </c>
      <c r="AK47">
        <v>0</v>
      </c>
      <c r="AL47">
        <v>4</v>
      </c>
      <c r="AM47">
        <v>1</v>
      </c>
      <c r="AN47">
        <v>7</v>
      </c>
      <c r="AO47">
        <v>4</v>
      </c>
      <c r="AP47">
        <v>4</v>
      </c>
      <c r="AQ47">
        <v>0</v>
      </c>
      <c r="AR47" t="s">
        <v>883</v>
      </c>
      <c r="AS47" t="s">
        <v>64</v>
      </c>
      <c r="AT47">
        <v>1.6240000000000001</v>
      </c>
      <c r="AU47" t="s">
        <v>65</v>
      </c>
      <c r="AV47">
        <v>11</v>
      </c>
      <c r="AW47">
        <v>4</v>
      </c>
      <c r="AX47" t="s">
        <v>884</v>
      </c>
      <c r="AY47" t="s">
        <v>885</v>
      </c>
      <c r="AZ47" t="s">
        <v>886</v>
      </c>
      <c r="BA47">
        <v>0.10324</v>
      </c>
      <c r="BB47">
        <v>1</v>
      </c>
      <c r="BC47" t="s">
        <v>69</v>
      </c>
      <c r="BD47">
        <v>-1.9E-2</v>
      </c>
      <c r="BE47">
        <v>-1.9E-2</v>
      </c>
    </row>
    <row r="48" spans="1:57">
      <c r="A48">
        <v>0</v>
      </c>
      <c r="B48">
        <v>0</v>
      </c>
      <c r="C48">
        <v>0</v>
      </c>
      <c r="D48">
        <v>985</v>
      </c>
      <c r="E48" t="s">
        <v>1421</v>
      </c>
      <c r="F48" t="s">
        <v>5761</v>
      </c>
      <c r="G48" t="s">
        <v>62</v>
      </c>
      <c r="H48">
        <v>1028236</v>
      </c>
      <c r="I48">
        <v>1028523</v>
      </c>
      <c r="J48" t="s">
        <v>1422</v>
      </c>
      <c r="K48">
        <v>96</v>
      </c>
      <c r="L48" t="s">
        <v>59</v>
      </c>
      <c r="M48">
        <v>5</v>
      </c>
      <c r="N48" t="str">
        <f>HYPERLINK("Gene985-zp_tree_all.dnd", "Gene985-tree")</f>
        <v>Gene985-tree</v>
      </c>
      <c r="O48">
        <v>5</v>
      </c>
      <c r="P48">
        <v>0</v>
      </c>
      <c r="Q48">
        <v>4</v>
      </c>
      <c r="R48">
        <v>0</v>
      </c>
      <c r="S48">
        <v>0</v>
      </c>
      <c r="T48" t="s">
        <v>150</v>
      </c>
      <c r="U48" t="s">
        <v>62</v>
      </c>
      <c r="V48" t="s">
        <v>62</v>
      </c>
      <c r="W48" t="s">
        <v>62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4</v>
      </c>
      <c r="AM48">
        <v>1</v>
      </c>
      <c r="AN48">
        <v>11</v>
      </c>
      <c r="AO48">
        <v>0</v>
      </c>
      <c r="AP48">
        <v>8</v>
      </c>
      <c r="AQ48">
        <v>1</v>
      </c>
      <c r="AR48" t="s">
        <v>64</v>
      </c>
      <c r="AS48" t="s">
        <v>1423</v>
      </c>
      <c r="AT48">
        <v>0</v>
      </c>
      <c r="AU48" t="s">
        <v>65</v>
      </c>
      <c r="AV48">
        <v>19</v>
      </c>
      <c r="AW48">
        <v>1</v>
      </c>
      <c r="AX48" t="s">
        <v>1424</v>
      </c>
      <c r="AY48" t="s">
        <v>1425</v>
      </c>
      <c r="AZ48" t="s">
        <v>1426</v>
      </c>
      <c r="BA48">
        <v>2.962E-2</v>
      </c>
      <c r="BB48">
        <v>1</v>
      </c>
      <c r="BC48" t="s">
        <v>69</v>
      </c>
      <c r="BD48">
        <v>0.63100000000000001</v>
      </c>
      <c r="BE48">
        <v>0.22700000000000001</v>
      </c>
    </row>
    <row r="49" spans="1:57">
      <c r="A49">
        <v>0</v>
      </c>
      <c r="B49">
        <v>0</v>
      </c>
      <c r="C49">
        <v>0</v>
      </c>
      <c r="D49">
        <v>2624</v>
      </c>
      <c r="E49" t="s">
        <v>3473</v>
      </c>
      <c r="F49" t="s">
        <v>5761</v>
      </c>
      <c r="G49" t="s">
        <v>57</v>
      </c>
      <c r="H49">
        <v>2602979</v>
      </c>
      <c r="I49">
        <v>2603272</v>
      </c>
      <c r="J49" t="s">
        <v>1082</v>
      </c>
      <c r="K49">
        <v>98</v>
      </c>
      <c r="L49" t="s">
        <v>59</v>
      </c>
      <c r="M49">
        <v>5</v>
      </c>
      <c r="N49" t="str">
        <f>HYPERLINK("Gene2624-zp_tree_all.dnd", "Gene2624-tree")</f>
        <v>Gene2624-tree</v>
      </c>
      <c r="O49">
        <v>2</v>
      </c>
      <c r="P49">
        <v>3</v>
      </c>
      <c r="Q49">
        <v>2</v>
      </c>
      <c r="R49">
        <v>3</v>
      </c>
      <c r="S49">
        <v>0.6</v>
      </c>
      <c r="T49" t="s">
        <v>135</v>
      </c>
      <c r="U49" t="s">
        <v>84</v>
      </c>
      <c r="V49" t="s">
        <v>62</v>
      </c>
      <c r="W49" t="s">
        <v>62</v>
      </c>
      <c r="X49">
        <v>0</v>
      </c>
      <c r="Y49">
        <v>0</v>
      </c>
      <c r="Z49">
        <v>7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6</v>
      </c>
      <c r="AK49">
        <v>0</v>
      </c>
      <c r="AL49">
        <v>4</v>
      </c>
      <c r="AM49">
        <v>1</v>
      </c>
      <c r="AN49">
        <v>1</v>
      </c>
      <c r="AO49">
        <v>6</v>
      </c>
      <c r="AP49">
        <v>0</v>
      </c>
      <c r="AQ49">
        <v>1</v>
      </c>
      <c r="AR49" t="s">
        <v>3474</v>
      </c>
      <c r="AS49" t="s">
        <v>64</v>
      </c>
      <c r="AT49">
        <v>0.6</v>
      </c>
      <c r="AU49" t="s">
        <v>65</v>
      </c>
      <c r="AV49">
        <v>1</v>
      </c>
      <c r="AW49">
        <v>7</v>
      </c>
      <c r="AX49" t="s">
        <v>3475</v>
      </c>
      <c r="AY49" t="s">
        <v>3476</v>
      </c>
      <c r="AZ49" t="s">
        <v>3477</v>
      </c>
      <c r="BA49">
        <v>2.09653</v>
      </c>
      <c r="BB49">
        <v>5.6000000000000001E-2</v>
      </c>
      <c r="BC49" t="s">
        <v>793</v>
      </c>
      <c r="BD49">
        <v>-0.80700000000000005</v>
      </c>
      <c r="BE49">
        <v>-0.80700000000000005</v>
      </c>
    </row>
    <row r="50" spans="1:57">
      <c r="A50">
        <v>0</v>
      </c>
      <c r="B50">
        <v>0</v>
      </c>
      <c r="C50">
        <v>2</v>
      </c>
      <c r="D50">
        <v>3044</v>
      </c>
      <c r="E50" t="s">
        <v>4107</v>
      </c>
      <c r="F50" t="s">
        <v>5761</v>
      </c>
      <c r="G50" t="s">
        <v>57</v>
      </c>
      <c r="H50">
        <v>2996980</v>
      </c>
      <c r="I50">
        <v>2997279</v>
      </c>
      <c r="J50" t="s">
        <v>118</v>
      </c>
      <c r="K50">
        <v>100</v>
      </c>
      <c r="L50" t="s">
        <v>59</v>
      </c>
      <c r="M50">
        <v>5</v>
      </c>
      <c r="N50" t="str">
        <f>HYPERLINK("Gene3044-zp_tree_all.dnd", "Gene3044-tree")</f>
        <v>Gene3044-tree</v>
      </c>
      <c r="O50">
        <v>4</v>
      </c>
      <c r="P50">
        <v>1</v>
      </c>
      <c r="Q50">
        <v>3</v>
      </c>
      <c r="R50">
        <v>1</v>
      </c>
      <c r="S50">
        <v>0.25</v>
      </c>
      <c r="T50" t="s">
        <v>119</v>
      </c>
      <c r="U50" t="s">
        <v>61</v>
      </c>
      <c r="V50" t="s">
        <v>62</v>
      </c>
      <c r="W50" t="s">
        <v>62</v>
      </c>
      <c r="X50">
        <v>1</v>
      </c>
      <c r="Y50">
        <v>2</v>
      </c>
      <c r="Z50">
        <v>3</v>
      </c>
      <c r="AA50">
        <v>0.4</v>
      </c>
      <c r="AB50">
        <v>0</v>
      </c>
      <c r="AC50">
        <v>0</v>
      </c>
      <c r="AD50">
        <v>0</v>
      </c>
      <c r="AE50">
        <v>4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3</v>
      </c>
      <c r="AM50">
        <v>1</v>
      </c>
      <c r="AN50">
        <v>2</v>
      </c>
      <c r="AO50">
        <v>1</v>
      </c>
      <c r="AP50">
        <v>8</v>
      </c>
      <c r="AQ50">
        <v>4</v>
      </c>
      <c r="AR50" t="s">
        <v>4108</v>
      </c>
      <c r="AS50" t="s">
        <v>4109</v>
      </c>
      <c r="AT50">
        <v>0.04</v>
      </c>
      <c r="AU50" t="s">
        <v>65</v>
      </c>
      <c r="AV50">
        <v>10</v>
      </c>
      <c r="AW50">
        <v>5</v>
      </c>
      <c r="AX50" t="s">
        <v>4110</v>
      </c>
      <c r="AY50" t="s">
        <v>4111</v>
      </c>
      <c r="AZ50" t="s">
        <v>4112</v>
      </c>
      <c r="BA50">
        <v>0.15057999999999999</v>
      </c>
      <c r="BB50">
        <v>1</v>
      </c>
      <c r="BC50" t="s">
        <v>69</v>
      </c>
      <c r="BD50">
        <v>1.4219999999999999</v>
      </c>
      <c r="BE50">
        <v>1.4219999999999999</v>
      </c>
    </row>
    <row r="51" spans="1:57">
      <c r="A51">
        <v>0</v>
      </c>
      <c r="B51">
        <v>0</v>
      </c>
      <c r="C51">
        <v>0</v>
      </c>
      <c r="D51">
        <v>851</v>
      </c>
      <c r="E51" t="s">
        <v>1285</v>
      </c>
      <c r="F51" t="s">
        <v>5761</v>
      </c>
      <c r="G51" t="s">
        <v>62</v>
      </c>
      <c r="H51">
        <v>889375</v>
      </c>
      <c r="I51">
        <v>889686</v>
      </c>
      <c r="J51" t="s">
        <v>170</v>
      </c>
      <c r="K51">
        <v>104</v>
      </c>
      <c r="L51" t="s">
        <v>112</v>
      </c>
      <c r="M51">
        <v>4</v>
      </c>
      <c r="N51" t="str">
        <f>HYPERLINK("Gene851-zp_tree_all.dnd", "Gene851-tree")</f>
        <v>Gene851-tree</v>
      </c>
      <c r="O51">
        <v>1</v>
      </c>
      <c r="P51">
        <v>3</v>
      </c>
      <c r="Q51">
        <v>1</v>
      </c>
      <c r="R51">
        <v>3</v>
      </c>
      <c r="S51">
        <v>0.75</v>
      </c>
      <c r="T51" t="s">
        <v>61</v>
      </c>
      <c r="U51" t="s">
        <v>84</v>
      </c>
      <c r="V51" t="s">
        <v>62</v>
      </c>
      <c r="W51" t="s">
        <v>62</v>
      </c>
      <c r="X51">
        <v>0</v>
      </c>
      <c r="Y51">
        <v>0</v>
      </c>
      <c r="Z51">
        <v>5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4</v>
      </c>
      <c r="AK51">
        <v>0</v>
      </c>
      <c r="AL51">
        <v>3</v>
      </c>
      <c r="AM51">
        <v>1</v>
      </c>
      <c r="AN51">
        <v>10</v>
      </c>
      <c r="AO51">
        <v>4</v>
      </c>
      <c r="AP51">
        <v>0</v>
      </c>
      <c r="AQ51">
        <v>1</v>
      </c>
      <c r="AR51" t="s">
        <v>1286</v>
      </c>
      <c r="AS51" t="s">
        <v>64</v>
      </c>
      <c r="AT51">
        <v>0.72899999999999998</v>
      </c>
      <c r="AU51" t="s">
        <v>65</v>
      </c>
      <c r="AV51">
        <v>10</v>
      </c>
      <c r="AW51">
        <v>5</v>
      </c>
      <c r="AX51" t="s">
        <v>1287</v>
      </c>
      <c r="AY51" t="s">
        <v>1288</v>
      </c>
      <c r="AZ51" t="s">
        <v>1289</v>
      </c>
      <c r="BA51">
        <v>0.13506000000000001</v>
      </c>
      <c r="BB51">
        <v>1</v>
      </c>
      <c r="BC51" t="s">
        <v>69</v>
      </c>
      <c r="BD51">
        <v>-0.64</v>
      </c>
      <c r="BE51">
        <v>-0.64</v>
      </c>
    </row>
    <row r="52" spans="1:57">
      <c r="A52">
        <v>0</v>
      </c>
      <c r="B52">
        <v>0</v>
      </c>
      <c r="C52">
        <v>0</v>
      </c>
      <c r="D52">
        <v>3104</v>
      </c>
      <c r="E52" t="s">
        <v>4223</v>
      </c>
      <c r="F52" t="s">
        <v>5761</v>
      </c>
      <c r="G52" t="s">
        <v>57</v>
      </c>
      <c r="H52">
        <v>3056479</v>
      </c>
      <c r="I52">
        <v>3056793</v>
      </c>
      <c r="J52" t="s">
        <v>118</v>
      </c>
      <c r="K52">
        <v>105</v>
      </c>
      <c r="L52" t="s">
        <v>112</v>
      </c>
      <c r="M52">
        <v>4</v>
      </c>
      <c r="N52" t="str">
        <f>HYPERLINK("Gene3104-zp_tree_all.dnd", "Gene3104-tree")</f>
        <v>Gene3104-tree</v>
      </c>
      <c r="O52">
        <v>3</v>
      </c>
      <c r="P52">
        <v>1</v>
      </c>
      <c r="Q52">
        <v>3</v>
      </c>
      <c r="R52">
        <v>1</v>
      </c>
      <c r="S52">
        <v>0.25</v>
      </c>
      <c r="T52" t="s">
        <v>84</v>
      </c>
      <c r="U52" t="s">
        <v>61</v>
      </c>
      <c r="V52" t="s">
        <v>62</v>
      </c>
      <c r="W52" t="s">
        <v>62</v>
      </c>
      <c r="X52">
        <v>0</v>
      </c>
      <c r="Y52">
        <v>0</v>
      </c>
      <c r="Z52">
        <v>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3</v>
      </c>
      <c r="AM52">
        <v>1</v>
      </c>
      <c r="AN52">
        <v>13</v>
      </c>
      <c r="AO52">
        <v>1</v>
      </c>
      <c r="AP52">
        <v>0</v>
      </c>
      <c r="AQ52">
        <v>1</v>
      </c>
      <c r="AR52" t="s">
        <v>4224</v>
      </c>
      <c r="AS52" t="s">
        <v>64</v>
      </c>
      <c r="AT52">
        <v>0.53500000000000003</v>
      </c>
      <c r="AU52" t="s">
        <v>65</v>
      </c>
      <c r="AV52">
        <v>13</v>
      </c>
      <c r="AW52">
        <v>2</v>
      </c>
      <c r="AX52" t="s">
        <v>4225</v>
      </c>
      <c r="AY52" t="s">
        <v>4226</v>
      </c>
      <c r="AZ52" t="s">
        <v>4227</v>
      </c>
      <c r="BA52">
        <v>5.3280000000000001E-2</v>
      </c>
      <c r="BB52">
        <v>1</v>
      </c>
      <c r="BC52" t="s">
        <v>69</v>
      </c>
      <c r="BD52">
        <v>-0.64</v>
      </c>
      <c r="BE52">
        <v>-0.64</v>
      </c>
    </row>
    <row r="53" spans="1:57">
      <c r="A53">
        <v>0</v>
      </c>
      <c r="B53">
        <v>0</v>
      </c>
      <c r="C53">
        <v>0</v>
      </c>
      <c r="D53">
        <v>330</v>
      </c>
      <c r="E53" t="s">
        <v>767</v>
      </c>
      <c r="F53" t="s">
        <v>5761</v>
      </c>
      <c r="G53" t="s">
        <v>62</v>
      </c>
      <c r="H53">
        <v>355415</v>
      </c>
      <c r="I53">
        <v>355732</v>
      </c>
      <c r="J53" t="s">
        <v>768</v>
      </c>
      <c r="K53">
        <v>106</v>
      </c>
      <c r="L53" t="s">
        <v>59</v>
      </c>
      <c r="M53">
        <v>5</v>
      </c>
      <c r="N53" t="str">
        <f>HYPERLINK("Gene330-zp_tree_all.dnd", "Gene330-tree")</f>
        <v>Gene330-tree</v>
      </c>
      <c r="O53">
        <v>4</v>
      </c>
      <c r="P53">
        <v>1</v>
      </c>
      <c r="Q53">
        <v>4</v>
      </c>
      <c r="R53">
        <v>1</v>
      </c>
      <c r="S53">
        <v>0.2</v>
      </c>
      <c r="T53" t="s">
        <v>60</v>
      </c>
      <c r="U53" t="s">
        <v>61</v>
      </c>
      <c r="V53" t="s">
        <v>62</v>
      </c>
      <c r="W53" t="s">
        <v>62</v>
      </c>
      <c r="X53">
        <v>0</v>
      </c>
      <c r="Y53">
        <v>0</v>
      </c>
      <c r="Z53">
        <v>3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5</v>
      </c>
      <c r="AM53">
        <v>2</v>
      </c>
      <c r="AN53">
        <v>7</v>
      </c>
      <c r="AO53">
        <v>1</v>
      </c>
      <c r="AP53">
        <v>7</v>
      </c>
      <c r="AQ53">
        <v>2</v>
      </c>
      <c r="AR53" t="s">
        <v>769</v>
      </c>
      <c r="AS53" t="s">
        <v>770</v>
      </c>
      <c r="AT53">
        <v>0.39200000000000002</v>
      </c>
      <c r="AU53" t="s">
        <v>65</v>
      </c>
      <c r="AV53">
        <v>14</v>
      </c>
      <c r="AW53">
        <v>3</v>
      </c>
      <c r="AX53" t="s">
        <v>771</v>
      </c>
      <c r="AY53" t="s">
        <v>772</v>
      </c>
      <c r="AZ53" t="s">
        <v>773</v>
      </c>
      <c r="BA53">
        <v>5.9659999999999998E-2</v>
      </c>
      <c r="BB53">
        <v>1</v>
      </c>
      <c r="BC53" t="s">
        <v>69</v>
      </c>
      <c r="BD53">
        <v>0.39600000000000002</v>
      </c>
      <c r="BE53">
        <v>0.39600000000000002</v>
      </c>
    </row>
    <row r="54" spans="1:57">
      <c r="A54">
        <v>0</v>
      </c>
      <c r="B54">
        <v>0</v>
      </c>
      <c r="C54">
        <v>0</v>
      </c>
      <c r="D54">
        <v>3591</v>
      </c>
      <c r="E54" t="s">
        <v>4877</v>
      </c>
      <c r="F54" t="s">
        <v>5761</v>
      </c>
      <c r="G54" t="s">
        <v>57</v>
      </c>
      <c r="H54">
        <v>3559632</v>
      </c>
      <c r="I54">
        <v>3559949</v>
      </c>
      <c r="J54" t="s">
        <v>4878</v>
      </c>
      <c r="K54">
        <v>106</v>
      </c>
      <c r="L54" t="s">
        <v>59</v>
      </c>
      <c r="M54">
        <v>5</v>
      </c>
      <c r="N54" t="str">
        <f>HYPERLINK("Gene3591-zp_tree_all.dnd", "Gene3591-tree")</f>
        <v>Gene3591-tree</v>
      </c>
      <c r="O54">
        <v>2</v>
      </c>
      <c r="P54">
        <v>3</v>
      </c>
      <c r="Q54">
        <v>2</v>
      </c>
      <c r="R54">
        <v>3</v>
      </c>
      <c r="S54">
        <v>0.6</v>
      </c>
      <c r="T54" t="s">
        <v>135</v>
      </c>
      <c r="U54" t="s">
        <v>84</v>
      </c>
      <c r="V54" t="s">
        <v>62</v>
      </c>
      <c r="W54" t="s">
        <v>62</v>
      </c>
      <c r="X54">
        <v>0</v>
      </c>
      <c r="Y54">
        <v>0</v>
      </c>
      <c r="Z54">
        <v>4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3</v>
      </c>
      <c r="AK54">
        <v>0</v>
      </c>
      <c r="AL54">
        <v>4</v>
      </c>
      <c r="AM54">
        <v>1</v>
      </c>
      <c r="AN54">
        <v>12</v>
      </c>
      <c r="AO54">
        <v>3</v>
      </c>
      <c r="AP54">
        <v>9</v>
      </c>
      <c r="AQ54">
        <v>1</v>
      </c>
      <c r="AR54" t="s">
        <v>4879</v>
      </c>
      <c r="AS54" t="s">
        <v>4880</v>
      </c>
      <c r="AT54">
        <v>0.64300000000000002</v>
      </c>
      <c r="AU54" t="s">
        <v>65</v>
      </c>
      <c r="AV54">
        <v>21</v>
      </c>
      <c r="AW54">
        <v>4</v>
      </c>
      <c r="AX54" t="s">
        <v>4881</v>
      </c>
      <c r="AY54" t="s">
        <v>4882</v>
      </c>
      <c r="AZ54" t="s">
        <v>4883</v>
      </c>
      <c r="BA54">
        <v>4.2189999999999998E-2</v>
      </c>
      <c r="BB54">
        <v>1</v>
      </c>
      <c r="BC54" t="s">
        <v>69</v>
      </c>
      <c r="BD54">
        <v>0.11600000000000001</v>
      </c>
      <c r="BE54">
        <v>-0.20699999999999999</v>
      </c>
    </row>
    <row r="55" spans="1:57">
      <c r="A55">
        <v>0</v>
      </c>
      <c r="B55">
        <v>0</v>
      </c>
      <c r="C55">
        <v>0</v>
      </c>
      <c r="D55">
        <v>464</v>
      </c>
      <c r="E55" t="s">
        <v>927</v>
      </c>
      <c r="F55" t="s">
        <v>5761</v>
      </c>
      <c r="G55" t="s">
        <v>62</v>
      </c>
      <c r="H55">
        <v>507756</v>
      </c>
      <c r="I55">
        <v>508073</v>
      </c>
      <c r="J55" t="s">
        <v>928</v>
      </c>
      <c r="K55">
        <v>106</v>
      </c>
      <c r="L55" t="s">
        <v>59</v>
      </c>
      <c r="M55">
        <v>5</v>
      </c>
      <c r="N55" t="str">
        <f>HYPERLINK("Gene464-zp_tree_all.dnd", "Gene464-tree")</f>
        <v>Gene464-tree</v>
      </c>
      <c r="O55">
        <v>5</v>
      </c>
      <c r="P55">
        <v>0</v>
      </c>
      <c r="Q55">
        <v>5</v>
      </c>
      <c r="R55">
        <v>0</v>
      </c>
      <c r="S55">
        <v>0</v>
      </c>
      <c r="T55" t="s">
        <v>98</v>
      </c>
      <c r="U55" t="s">
        <v>62</v>
      </c>
      <c r="V55" t="s">
        <v>62</v>
      </c>
      <c r="W55" t="s">
        <v>62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4</v>
      </c>
      <c r="AM55">
        <v>2</v>
      </c>
      <c r="AN55">
        <v>8</v>
      </c>
      <c r="AO55">
        <v>0</v>
      </c>
      <c r="AP55">
        <v>10</v>
      </c>
      <c r="AQ55">
        <v>1</v>
      </c>
      <c r="AR55" t="s">
        <v>64</v>
      </c>
      <c r="AS55" t="s">
        <v>929</v>
      </c>
      <c r="AT55">
        <v>1.0189999999999999</v>
      </c>
      <c r="AU55" t="s">
        <v>65</v>
      </c>
      <c r="AV55">
        <v>18</v>
      </c>
      <c r="AW55">
        <v>1</v>
      </c>
      <c r="AX55" t="s">
        <v>930</v>
      </c>
      <c r="AY55" t="s">
        <v>931</v>
      </c>
      <c r="AZ55" t="s">
        <v>932</v>
      </c>
      <c r="BA55">
        <v>1.5049999999999999E-2</v>
      </c>
      <c r="BB55">
        <v>1</v>
      </c>
      <c r="BC55" t="s">
        <v>69</v>
      </c>
      <c r="BD55">
        <v>1.26</v>
      </c>
      <c r="BE55">
        <v>1.26</v>
      </c>
    </row>
    <row r="56" spans="1:57">
      <c r="A56">
        <v>0</v>
      </c>
      <c r="B56">
        <v>0</v>
      </c>
      <c r="C56">
        <v>0</v>
      </c>
      <c r="D56">
        <v>3495</v>
      </c>
      <c r="E56" t="s">
        <v>4801</v>
      </c>
      <c r="F56" t="s">
        <v>5761</v>
      </c>
      <c r="G56" t="s">
        <v>57</v>
      </c>
      <c r="H56">
        <v>3457615</v>
      </c>
      <c r="I56">
        <v>3457938</v>
      </c>
      <c r="J56" t="s">
        <v>4802</v>
      </c>
      <c r="K56">
        <v>108</v>
      </c>
      <c r="L56" t="s">
        <v>3633</v>
      </c>
      <c r="M56">
        <v>4</v>
      </c>
      <c r="N56" t="str">
        <f>HYPERLINK("Gene3495-zp_tree_all.dnd", "Gene3495-tree")</f>
        <v>Gene3495-tree</v>
      </c>
      <c r="O56">
        <v>4</v>
      </c>
      <c r="P56">
        <v>0</v>
      </c>
      <c r="Q56">
        <v>4</v>
      </c>
      <c r="R56">
        <v>0</v>
      </c>
      <c r="S56">
        <v>0</v>
      </c>
      <c r="T56" t="s">
        <v>60</v>
      </c>
      <c r="U56" t="s">
        <v>62</v>
      </c>
      <c r="V56" t="s">
        <v>62</v>
      </c>
      <c r="W56" t="s">
        <v>62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3</v>
      </c>
      <c r="AM56">
        <v>1</v>
      </c>
      <c r="AN56">
        <v>11</v>
      </c>
      <c r="AO56">
        <v>0</v>
      </c>
      <c r="AP56">
        <v>4</v>
      </c>
      <c r="AQ56">
        <v>1</v>
      </c>
      <c r="AR56" t="s">
        <v>64</v>
      </c>
      <c r="AS56" t="s">
        <v>4803</v>
      </c>
      <c r="AT56">
        <v>0</v>
      </c>
      <c r="AU56" t="s">
        <v>65</v>
      </c>
      <c r="AV56">
        <v>15</v>
      </c>
      <c r="AW56">
        <v>1</v>
      </c>
      <c r="AX56" t="s">
        <v>4804</v>
      </c>
      <c r="AY56" t="s">
        <v>4805</v>
      </c>
      <c r="AZ56" t="s">
        <v>4806</v>
      </c>
      <c r="BA56">
        <v>2.2419999999999999E-2</v>
      </c>
      <c r="BB56">
        <v>1</v>
      </c>
      <c r="BC56" t="s">
        <v>69</v>
      </c>
      <c r="BD56">
        <v>0.60299999999999998</v>
      </c>
      <c r="BE56">
        <v>-1.9E-2</v>
      </c>
    </row>
    <row r="57" spans="1:57">
      <c r="A57">
        <v>0</v>
      </c>
      <c r="B57">
        <v>4</v>
      </c>
      <c r="C57">
        <v>2</v>
      </c>
      <c r="D57">
        <v>539</v>
      </c>
      <c r="E57" t="s">
        <v>1000</v>
      </c>
      <c r="F57" t="s">
        <v>5761</v>
      </c>
      <c r="G57" t="s">
        <v>62</v>
      </c>
      <c r="H57">
        <v>574109</v>
      </c>
      <c r="I57">
        <v>574435</v>
      </c>
      <c r="J57" t="s">
        <v>291</v>
      </c>
      <c r="K57">
        <v>109</v>
      </c>
      <c r="L57" t="s">
        <v>83</v>
      </c>
      <c r="M57">
        <v>4</v>
      </c>
      <c r="N57" t="str">
        <f>HYPERLINK("Gene539-zp_tree_all.dnd", "Gene539-tree")</f>
        <v>Gene539-tree</v>
      </c>
      <c r="O57">
        <v>0</v>
      </c>
      <c r="P57">
        <v>4</v>
      </c>
      <c r="Q57">
        <v>0</v>
      </c>
      <c r="R57">
        <v>4</v>
      </c>
      <c r="S57">
        <v>1</v>
      </c>
      <c r="T57" t="s">
        <v>62</v>
      </c>
      <c r="U57" t="s">
        <v>60</v>
      </c>
      <c r="V57" t="s">
        <v>62</v>
      </c>
      <c r="W57" t="s">
        <v>62</v>
      </c>
      <c r="X57">
        <v>3</v>
      </c>
      <c r="Y57">
        <v>6</v>
      </c>
      <c r="Z57">
        <v>5</v>
      </c>
      <c r="AA57">
        <v>0.54544999999999999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4</v>
      </c>
      <c r="AH57">
        <v>0</v>
      </c>
      <c r="AI57">
        <v>4</v>
      </c>
      <c r="AJ57">
        <v>6</v>
      </c>
      <c r="AK57">
        <v>0.4</v>
      </c>
      <c r="AL57">
        <v>4</v>
      </c>
      <c r="AM57">
        <v>1</v>
      </c>
      <c r="AN57">
        <v>4</v>
      </c>
      <c r="AO57">
        <v>10</v>
      </c>
      <c r="AP57">
        <v>1</v>
      </c>
      <c r="AQ57">
        <v>1</v>
      </c>
      <c r="AR57" t="s">
        <v>1001</v>
      </c>
      <c r="AS57" t="s">
        <v>1002</v>
      </c>
      <c r="AT57">
        <v>0.36799999999999999</v>
      </c>
      <c r="AU57" t="s">
        <v>65</v>
      </c>
      <c r="AV57">
        <v>5</v>
      </c>
      <c r="AW57">
        <v>11</v>
      </c>
      <c r="AX57" t="s">
        <v>1003</v>
      </c>
      <c r="AY57" t="s">
        <v>1004</v>
      </c>
      <c r="AZ57" t="s">
        <v>1005</v>
      </c>
      <c r="BA57">
        <v>0.49206</v>
      </c>
      <c r="BB57">
        <v>0.82299999999999995</v>
      </c>
      <c r="BC57" t="s">
        <v>793</v>
      </c>
      <c r="BD57">
        <v>0.04</v>
      </c>
      <c r="BE57">
        <v>0.04</v>
      </c>
    </row>
    <row r="58" spans="1:57">
      <c r="A58">
        <v>0</v>
      </c>
      <c r="B58">
        <v>0</v>
      </c>
      <c r="C58">
        <v>0</v>
      </c>
      <c r="D58">
        <v>3250</v>
      </c>
      <c r="E58" t="s">
        <v>4383</v>
      </c>
      <c r="F58" t="s">
        <v>5761</v>
      </c>
      <c r="G58" t="s">
        <v>57</v>
      </c>
      <c r="H58">
        <v>3218525</v>
      </c>
      <c r="I58">
        <v>3218854</v>
      </c>
      <c r="J58" t="s">
        <v>4384</v>
      </c>
      <c r="K58">
        <v>110</v>
      </c>
      <c r="L58" t="s">
        <v>83</v>
      </c>
      <c r="M58">
        <v>4</v>
      </c>
      <c r="N58" t="str">
        <f>HYPERLINK("Gene3250-zp_tree_all.dnd", "Gene3250-tree")</f>
        <v>Gene3250-tree</v>
      </c>
      <c r="O58">
        <v>3</v>
      </c>
      <c r="P58">
        <v>1</v>
      </c>
      <c r="Q58">
        <v>3</v>
      </c>
      <c r="R58">
        <v>1</v>
      </c>
      <c r="S58">
        <v>0.25</v>
      </c>
      <c r="T58" t="s">
        <v>84</v>
      </c>
      <c r="U58" t="s">
        <v>61</v>
      </c>
      <c r="V58" t="s">
        <v>62</v>
      </c>
      <c r="W58" t="s">
        <v>62</v>
      </c>
      <c r="X58">
        <v>0</v>
      </c>
      <c r="Y58">
        <v>0</v>
      </c>
      <c r="Z58">
        <v>3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3</v>
      </c>
      <c r="AK58">
        <v>0</v>
      </c>
      <c r="AL58">
        <v>4</v>
      </c>
      <c r="AM58">
        <v>0</v>
      </c>
      <c r="AN58">
        <v>11</v>
      </c>
      <c r="AO58">
        <v>3</v>
      </c>
      <c r="AP58">
        <v>0</v>
      </c>
      <c r="AQ58">
        <v>0</v>
      </c>
      <c r="AR58" t="s">
        <v>4385</v>
      </c>
      <c r="AS58" t="s">
        <v>64</v>
      </c>
      <c r="AT58">
        <v>0.46600000000000003</v>
      </c>
      <c r="AU58" t="s">
        <v>65</v>
      </c>
      <c r="AV58">
        <v>11</v>
      </c>
      <c r="AW58">
        <v>3</v>
      </c>
      <c r="AX58" t="s">
        <v>4386</v>
      </c>
      <c r="AY58" t="s">
        <v>4387</v>
      </c>
      <c r="AZ58" t="s">
        <v>4388</v>
      </c>
      <c r="BA58">
        <v>6.1800000000000001E-2</v>
      </c>
      <c r="BB58">
        <v>1</v>
      </c>
      <c r="BC58" t="s">
        <v>69</v>
      </c>
      <c r="BD58">
        <v>-0.36699999999999999</v>
      </c>
      <c r="BE58">
        <v>-1.081</v>
      </c>
    </row>
    <row r="59" spans="1:57">
      <c r="A59">
        <v>0</v>
      </c>
      <c r="B59">
        <v>0</v>
      </c>
      <c r="C59">
        <v>0</v>
      </c>
      <c r="D59">
        <v>1382</v>
      </c>
      <c r="E59" t="s">
        <v>1819</v>
      </c>
      <c r="F59" t="s">
        <v>5761</v>
      </c>
      <c r="G59" t="s">
        <v>62</v>
      </c>
      <c r="H59">
        <v>1397414</v>
      </c>
      <c r="I59">
        <v>1397743</v>
      </c>
      <c r="J59" t="s">
        <v>1820</v>
      </c>
      <c r="K59">
        <v>110</v>
      </c>
      <c r="L59" t="s">
        <v>59</v>
      </c>
      <c r="M59">
        <v>5</v>
      </c>
      <c r="N59" t="str">
        <f>HYPERLINK("Gene1382-zp_tree_all.dnd", "Gene1382-tree")</f>
        <v>Gene1382-tree</v>
      </c>
      <c r="O59">
        <v>4</v>
      </c>
      <c r="P59">
        <v>1</v>
      </c>
      <c r="Q59">
        <v>4</v>
      </c>
      <c r="R59">
        <v>1</v>
      </c>
      <c r="S59">
        <v>0.2</v>
      </c>
      <c r="T59" t="s">
        <v>60</v>
      </c>
      <c r="U59" t="s">
        <v>61</v>
      </c>
      <c r="V59" t="s">
        <v>62</v>
      </c>
      <c r="W59" t="s">
        <v>62</v>
      </c>
      <c r="X59">
        <v>0</v>
      </c>
      <c r="Y59">
        <v>0</v>
      </c>
      <c r="Z59">
        <v>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4</v>
      </c>
      <c r="AM59">
        <v>1</v>
      </c>
      <c r="AN59">
        <v>10</v>
      </c>
      <c r="AO59">
        <v>1</v>
      </c>
      <c r="AP59">
        <v>7</v>
      </c>
      <c r="AQ59">
        <v>1</v>
      </c>
      <c r="AR59" t="s">
        <v>1821</v>
      </c>
      <c r="AS59" t="s">
        <v>1822</v>
      </c>
      <c r="AT59">
        <v>0.20899999999999999</v>
      </c>
      <c r="AU59" t="s">
        <v>65</v>
      </c>
      <c r="AV59">
        <v>17</v>
      </c>
      <c r="AW59">
        <v>2</v>
      </c>
      <c r="AX59" t="s">
        <v>1823</v>
      </c>
      <c r="AY59" t="s">
        <v>1824</v>
      </c>
      <c r="AZ59" t="s">
        <v>1825</v>
      </c>
      <c r="BA59">
        <v>3.023E-2</v>
      </c>
      <c r="BB59">
        <v>1</v>
      </c>
      <c r="BC59" t="s">
        <v>69</v>
      </c>
      <c r="BD59">
        <v>6.5000000000000002E-2</v>
      </c>
      <c r="BE59">
        <v>6.5000000000000002E-2</v>
      </c>
    </row>
    <row r="60" spans="1:57">
      <c r="A60">
        <v>0</v>
      </c>
      <c r="B60">
        <v>0</v>
      </c>
      <c r="C60">
        <v>2</v>
      </c>
      <c r="D60">
        <v>3409</v>
      </c>
      <c r="E60" t="s">
        <v>4682</v>
      </c>
      <c r="F60" t="s">
        <v>5761</v>
      </c>
      <c r="G60" t="s">
        <v>57</v>
      </c>
      <c r="H60">
        <v>3374001</v>
      </c>
      <c r="I60">
        <v>3374330</v>
      </c>
      <c r="J60" t="s">
        <v>4683</v>
      </c>
      <c r="K60">
        <v>110</v>
      </c>
      <c r="L60" t="s">
        <v>59</v>
      </c>
      <c r="M60">
        <v>5</v>
      </c>
      <c r="N60" t="str">
        <f>HYPERLINK("Gene3409-zp_tree_all.dnd", "Gene3409-tree")</f>
        <v>Gene3409-tree</v>
      </c>
      <c r="O60">
        <v>3</v>
      </c>
      <c r="P60">
        <v>2</v>
      </c>
      <c r="Q60">
        <v>3</v>
      </c>
      <c r="R60">
        <v>2</v>
      </c>
      <c r="S60">
        <v>0.4</v>
      </c>
      <c r="T60" t="s">
        <v>84</v>
      </c>
      <c r="U60" t="s">
        <v>135</v>
      </c>
      <c r="V60" t="s">
        <v>62</v>
      </c>
      <c r="W60" t="s">
        <v>62</v>
      </c>
      <c r="X60">
        <v>1</v>
      </c>
      <c r="Y60">
        <v>2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2</v>
      </c>
      <c r="AI60">
        <v>2</v>
      </c>
      <c r="AJ60">
        <v>0</v>
      </c>
      <c r="AK60">
        <v>1</v>
      </c>
      <c r="AL60">
        <v>4</v>
      </c>
      <c r="AM60">
        <v>2</v>
      </c>
      <c r="AN60">
        <v>5</v>
      </c>
      <c r="AO60">
        <v>2</v>
      </c>
      <c r="AP60">
        <v>9</v>
      </c>
      <c r="AQ60">
        <v>0</v>
      </c>
      <c r="AR60" t="s">
        <v>4684</v>
      </c>
      <c r="AS60" t="s">
        <v>64</v>
      </c>
      <c r="AT60">
        <v>0.72899999999999998</v>
      </c>
      <c r="AU60" t="s">
        <v>65</v>
      </c>
      <c r="AV60">
        <v>14</v>
      </c>
      <c r="AW60">
        <v>2</v>
      </c>
      <c r="AX60" t="s">
        <v>4685</v>
      </c>
      <c r="AY60" t="s">
        <v>4686</v>
      </c>
      <c r="AZ60" t="s">
        <v>4687</v>
      </c>
      <c r="BA60">
        <v>2.147E-2</v>
      </c>
      <c r="BB60">
        <v>1</v>
      </c>
      <c r="BC60" t="s">
        <v>69</v>
      </c>
      <c r="BD60">
        <v>0.91400000000000003</v>
      </c>
      <c r="BE60">
        <v>0.40600000000000003</v>
      </c>
    </row>
    <row r="61" spans="1:57">
      <c r="A61">
        <v>0</v>
      </c>
      <c r="B61">
        <v>0</v>
      </c>
      <c r="C61">
        <v>0</v>
      </c>
      <c r="D61">
        <v>3281</v>
      </c>
      <c r="E61" t="s">
        <v>4453</v>
      </c>
      <c r="F61" t="s">
        <v>5761</v>
      </c>
      <c r="G61" t="s">
        <v>57</v>
      </c>
      <c r="H61">
        <v>3249427</v>
      </c>
      <c r="I61">
        <v>3249765</v>
      </c>
      <c r="J61" t="s">
        <v>4454</v>
      </c>
      <c r="K61">
        <v>113</v>
      </c>
      <c r="L61" t="s">
        <v>59</v>
      </c>
      <c r="M61">
        <v>5</v>
      </c>
      <c r="N61" t="str">
        <f>HYPERLINK("Gene3281-zp_tree_all.dnd", "Gene3281-tree")</f>
        <v>Gene3281-tree</v>
      </c>
      <c r="O61">
        <v>4</v>
      </c>
      <c r="P61">
        <v>0</v>
      </c>
      <c r="Q61">
        <v>4</v>
      </c>
      <c r="R61">
        <v>0</v>
      </c>
      <c r="S61">
        <v>0</v>
      </c>
      <c r="T61" t="s">
        <v>60</v>
      </c>
      <c r="U61" t="s">
        <v>62</v>
      </c>
      <c r="V61" t="s">
        <v>62</v>
      </c>
      <c r="W61" t="s">
        <v>62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3</v>
      </c>
      <c r="AM61">
        <v>1</v>
      </c>
      <c r="AN61">
        <v>7</v>
      </c>
      <c r="AO61">
        <v>0</v>
      </c>
      <c r="AP61">
        <v>2</v>
      </c>
      <c r="AQ61">
        <v>0</v>
      </c>
      <c r="AR61" t="s">
        <v>64</v>
      </c>
      <c r="AS61" t="s">
        <v>64</v>
      </c>
      <c r="AT61">
        <v>0</v>
      </c>
      <c r="AU61" t="s">
        <v>65</v>
      </c>
      <c r="AV61">
        <v>9</v>
      </c>
      <c r="AW61">
        <v>0</v>
      </c>
      <c r="AX61" t="s">
        <v>4455</v>
      </c>
      <c r="AY61" t="s">
        <v>4456</v>
      </c>
      <c r="AZ61" t="s">
        <v>64</v>
      </c>
      <c r="BA61">
        <v>0</v>
      </c>
      <c r="BB61">
        <v>1</v>
      </c>
      <c r="BC61" t="s">
        <v>69</v>
      </c>
      <c r="BD61">
        <v>0.66100000000000003</v>
      </c>
      <c r="BE61">
        <v>-7.2999999999999995E-2</v>
      </c>
    </row>
    <row r="62" spans="1:57">
      <c r="A62">
        <v>0</v>
      </c>
      <c r="B62">
        <v>0</v>
      </c>
      <c r="C62">
        <v>0</v>
      </c>
      <c r="D62">
        <v>3786</v>
      </c>
      <c r="E62" t="s">
        <v>5073</v>
      </c>
      <c r="F62" t="s">
        <v>5761</v>
      </c>
      <c r="G62" t="s">
        <v>57</v>
      </c>
      <c r="H62">
        <v>3758016</v>
      </c>
      <c r="I62">
        <v>3758363</v>
      </c>
      <c r="J62" t="s">
        <v>5074</v>
      </c>
      <c r="K62">
        <v>116</v>
      </c>
      <c r="L62" t="s">
        <v>83</v>
      </c>
      <c r="M62">
        <v>4</v>
      </c>
      <c r="N62" t="str">
        <f>HYPERLINK("Gene3786-zp_tree_all.dnd", "Gene3786-tree")</f>
        <v>Gene3786-tree</v>
      </c>
      <c r="O62">
        <v>4</v>
      </c>
      <c r="P62">
        <v>0</v>
      </c>
      <c r="Q62">
        <v>4</v>
      </c>
      <c r="R62">
        <v>0</v>
      </c>
      <c r="S62">
        <v>0</v>
      </c>
      <c r="T62" t="s">
        <v>60</v>
      </c>
      <c r="U62" t="s">
        <v>62</v>
      </c>
      <c r="V62" t="s">
        <v>62</v>
      </c>
      <c r="W62" t="s">
        <v>62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3</v>
      </c>
      <c r="AM62">
        <v>1</v>
      </c>
      <c r="AN62">
        <v>17</v>
      </c>
      <c r="AO62">
        <v>0</v>
      </c>
      <c r="AP62">
        <v>1</v>
      </c>
      <c r="AQ62">
        <v>0</v>
      </c>
      <c r="AR62" t="s">
        <v>64</v>
      </c>
      <c r="AS62" t="s">
        <v>64</v>
      </c>
      <c r="AT62">
        <v>0</v>
      </c>
      <c r="AU62" t="s">
        <v>65</v>
      </c>
      <c r="AV62">
        <v>18</v>
      </c>
      <c r="AW62">
        <v>0</v>
      </c>
      <c r="AX62" t="s">
        <v>5075</v>
      </c>
      <c r="AY62" t="s">
        <v>5076</v>
      </c>
      <c r="AZ62" t="s">
        <v>64</v>
      </c>
      <c r="BA62">
        <v>0</v>
      </c>
      <c r="BB62">
        <v>1</v>
      </c>
      <c r="BC62" t="s">
        <v>69</v>
      </c>
      <c r="BD62">
        <v>-0.67800000000000005</v>
      </c>
      <c r="BE62">
        <v>-0.67800000000000005</v>
      </c>
    </row>
    <row r="63" spans="1:57">
      <c r="A63">
        <v>0</v>
      </c>
      <c r="B63">
        <v>0</v>
      </c>
      <c r="C63">
        <v>0</v>
      </c>
      <c r="D63">
        <v>2595</v>
      </c>
      <c r="E63" t="s">
        <v>3436</v>
      </c>
      <c r="F63" t="s">
        <v>5761</v>
      </c>
      <c r="G63" t="s">
        <v>57</v>
      </c>
      <c r="H63">
        <v>2576367</v>
      </c>
      <c r="I63">
        <v>2576717</v>
      </c>
      <c r="J63" t="s">
        <v>118</v>
      </c>
      <c r="K63">
        <v>117</v>
      </c>
      <c r="L63" t="s">
        <v>59</v>
      </c>
      <c r="M63">
        <v>5</v>
      </c>
      <c r="N63" t="str">
        <f>HYPERLINK("Gene2595-zp_tree_all.dnd", "Gene2595-tree")</f>
        <v>Gene2595-tree</v>
      </c>
      <c r="O63">
        <v>5</v>
      </c>
      <c r="P63">
        <v>0</v>
      </c>
      <c r="Q63">
        <v>5</v>
      </c>
      <c r="R63">
        <v>0</v>
      </c>
      <c r="S63">
        <v>0</v>
      </c>
      <c r="T63" t="s">
        <v>98</v>
      </c>
      <c r="U63" t="s">
        <v>62</v>
      </c>
      <c r="V63" t="s">
        <v>62</v>
      </c>
      <c r="W63" t="s">
        <v>62</v>
      </c>
      <c r="X63">
        <v>0</v>
      </c>
      <c r="Y63">
        <v>0</v>
      </c>
      <c r="Z63">
        <v>2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5</v>
      </c>
      <c r="AM63">
        <v>2</v>
      </c>
      <c r="AN63">
        <v>6</v>
      </c>
      <c r="AO63">
        <v>0</v>
      </c>
      <c r="AP63">
        <v>7</v>
      </c>
      <c r="AQ63">
        <v>2</v>
      </c>
      <c r="AR63" t="s">
        <v>64</v>
      </c>
      <c r="AS63" t="s">
        <v>3437</v>
      </c>
      <c r="AT63">
        <v>1.4139999999999999</v>
      </c>
      <c r="AU63" t="s">
        <v>65</v>
      </c>
      <c r="AV63">
        <v>13</v>
      </c>
      <c r="AW63">
        <v>2</v>
      </c>
      <c r="AX63" t="s">
        <v>3438</v>
      </c>
      <c r="AY63" t="s">
        <v>3439</v>
      </c>
      <c r="AZ63" t="s">
        <v>3440</v>
      </c>
      <c r="BA63">
        <v>4.6199999999999998E-2</v>
      </c>
      <c r="BB63">
        <v>1</v>
      </c>
      <c r="BC63" t="s">
        <v>69</v>
      </c>
      <c r="BD63">
        <v>0.60899999999999999</v>
      </c>
      <c r="BE63">
        <v>0.60899999999999999</v>
      </c>
    </row>
    <row r="64" spans="1:57">
      <c r="A64">
        <v>0</v>
      </c>
      <c r="B64">
        <v>0</v>
      </c>
      <c r="C64">
        <v>0</v>
      </c>
      <c r="D64">
        <v>4100</v>
      </c>
      <c r="E64" t="s">
        <v>5505</v>
      </c>
      <c r="F64" t="s">
        <v>5761</v>
      </c>
      <c r="G64" t="s">
        <v>57</v>
      </c>
      <c r="H64">
        <v>4066210</v>
      </c>
      <c r="I64">
        <v>4066560</v>
      </c>
      <c r="J64" t="s">
        <v>118</v>
      </c>
      <c r="K64">
        <v>117</v>
      </c>
      <c r="L64" t="s">
        <v>59</v>
      </c>
      <c r="M64">
        <v>5</v>
      </c>
      <c r="N64" t="str">
        <f>HYPERLINK("Gene4100-zp_tree_all.dnd", "Gene4100-tree")</f>
        <v>Gene4100-tree</v>
      </c>
      <c r="O64">
        <v>1</v>
      </c>
      <c r="P64">
        <v>4</v>
      </c>
      <c r="Q64">
        <v>1</v>
      </c>
      <c r="R64">
        <v>4</v>
      </c>
      <c r="S64">
        <v>0.8</v>
      </c>
      <c r="T64" t="s">
        <v>61</v>
      </c>
      <c r="U64" t="s">
        <v>60</v>
      </c>
      <c r="V64" t="s">
        <v>62</v>
      </c>
      <c r="W64" t="s">
        <v>62</v>
      </c>
      <c r="X64">
        <v>0</v>
      </c>
      <c r="Y64">
        <v>0</v>
      </c>
      <c r="Z64">
        <v>5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4</v>
      </c>
      <c r="AK64">
        <v>0</v>
      </c>
      <c r="AL64">
        <v>5</v>
      </c>
      <c r="AM64">
        <v>2</v>
      </c>
      <c r="AN64">
        <v>8</v>
      </c>
      <c r="AO64">
        <v>4</v>
      </c>
      <c r="AP64">
        <v>11</v>
      </c>
      <c r="AQ64">
        <v>1</v>
      </c>
      <c r="AR64" t="s">
        <v>5506</v>
      </c>
      <c r="AS64" t="s">
        <v>5507</v>
      </c>
      <c r="AT64">
        <v>2.3239999999999998</v>
      </c>
      <c r="AU64" t="s">
        <v>286</v>
      </c>
      <c r="AV64">
        <v>19</v>
      </c>
      <c r="AW64">
        <v>5</v>
      </c>
      <c r="AX64" t="s">
        <v>5508</v>
      </c>
      <c r="AY64" t="s">
        <v>5509</v>
      </c>
      <c r="AZ64" t="s">
        <v>5510</v>
      </c>
      <c r="BA64">
        <v>4.437E-2</v>
      </c>
      <c r="BB64">
        <v>1</v>
      </c>
      <c r="BC64" t="s">
        <v>69</v>
      </c>
      <c r="BD64">
        <v>0.31</v>
      </c>
      <c r="BE64">
        <v>0.31</v>
      </c>
    </row>
    <row r="65" spans="1:57">
      <c r="A65">
        <v>0</v>
      </c>
      <c r="B65">
        <v>0</v>
      </c>
      <c r="C65">
        <v>0</v>
      </c>
      <c r="D65">
        <v>907</v>
      </c>
      <c r="E65" t="s">
        <v>1344</v>
      </c>
      <c r="F65" t="s">
        <v>5761</v>
      </c>
      <c r="G65" t="s">
        <v>62</v>
      </c>
      <c r="H65">
        <v>944962</v>
      </c>
      <c r="I65">
        <v>945312</v>
      </c>
      <c r="J65" t="s">
        <v>1334</v>
      </c>
      <c r="K65">
        <v>117</v>
      </c>
      <c r="L65" t="s">
        <v>83</v>
      </c>
      <c r="M65">
        <v>4</v>
      </c>
      <c r="N65" t="str">
        <f>HYPERLINK("Gene907-zp_tree_all.dnd", "Gene907-tree")</f>
        <v>Gene907-tree</v>
      </c>
      <c r="O65">
        <v>3</v>
      </c>
      <c r="P65">
        <v>1</v>
      </c>
      <c r="Q65">
        <v>3</v>
      </c>
      <c r="R65">
        <v>1</v>
      </c>
      <c r="S65">
        <v>0.25</v>
      </c>
      <c r="T65" t="s">
        <v>84</v>
      </c>
      <c r="U65" t="s">
        <v>61</v>
      </c>
      <c r="V65" t="s">
        <v>62</v>
      </c>
      <c r="W65" t="s">
        <v>62</v>
      </c>
      <c r="X65">
        <v>0</v>
      </c>
      <c r="Y65">
        <v>0</v>
      </c>
      <c r="Z65">
        <v>2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2</v>
      </c>
      <c r="AK65">
        <v>0</v>
      </c>
      <c r="AL65">
        <v>4</v>
      </c>
      <c r="AM65">
        <v>1</v>
      </c>
      <c r="AN65">
        <v>21</v>
      </c>
      <c r="AO65">
        <v>3</v>
      </c>
      <c r="AP65">
        <v>3</v>
      </c>
      <c r="AQ65">
        <v>0</v>
      </c>
      <c r="AR65" t="s">
        <v>1345</v>
      </c>
      <c r="AS65" t="s">
        <v>64</v>
      </c>
      <c r="AT65">
        <v>0.56200000000000006</v>
      </c>
      <c r="AU65" t="s">
        <v>65</v>
      </c>
      <c r="AV65">
        <v>24</v>
      </c>
      <c r="AW65">
        <v>3</v>
      </c>
      <c r="AX65" t="s">
        <v>1346</v>
      </c>
      <c r="AY65" t="s">
        <v>1347</v>
      </c>
      <c r="AZ65" t="s">
        <v>1348</v>
      </c>
      <c r="BA65">
        <v>3.1449999999999999E-2</v>
      </c>
      <c r="BB65">
        <v>1</v>
      </c>
      <c r="BC65" t="s">
        <v>69</v>
      </c>
      <c r="BD65">
        <v>-7.0999999999999994E-2</v>
      </c>
      <c r="BE65">
        <v>-7.0999999999999994E-2</v>
      </c>
    </row>
    <row r="66" spans="1:57">
      <c r="A66">
        <v>0</v>
      </c>
      <c r="B66">
        <v>0</v>
      </c>
      <c r="C66">
        <v>0</v>
      </c>
      <c r="D66">
        <v>1035</v>
      </c>
      <c r="E66" t="s">
        <v>1490</v>
      </c>
      <c r="F66" t="s">
        <v>5761</v>
      </c>
      <c r="G66" t="s">
        <v>62</v>
      </c>
      <c r="H66">
        <v>1073898</v>
      </c>
      <c r="I66">
        <v>1074251</v>
      </c>
      <c r="J66" t="s">
        <v>1491</v>
      </c>
      <c r="K66">
        <v>118</v>
      </c>
      <c r="L66" t="s">
        <v>59</v>
      </c>
      <c r="M66">
        <v>5</v>
      </c>
      <c r="N66" t="str">
        <f>HYPERLINK("Gene1035-zp_tree_all.dnd", "Gene1035-tree")</f>
        <v>Gene1035-tree</v>
      </c>
      <c r="O66">
        <v>5</v>
      </c>
      <c r="P66">
        <v>0</v>
      </c>
      <c r="Q66">
        <v>5</v>
      </c>
      <c r="R66">
        <v>0</v>
      </c>
      <c r="S66">
        <v>0</v>
      </c>
      <c r="T66" t="s">
        <v>98</v>
      </c>
      <c r="U66" t="s">
        <v>62</v>
      </c>
      <c r="V66" t="s">
        <v>62</v>
      </c>
      <c r="W66" t="s">
        <v>62</v>
      </c>
      <c r="X66">
        <v>0</v>
      </c>
      <c r="Y66">
        <v>0</v>
      </c>
      <c r="Z66">
        <v>3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5</v>
      </c>
      <c r="AM66">
        <v>2</v>
      </c>
      <c r="AN66">
        <v>10</v>
      </c>
      <c r="AO66">
        <v>0</v>
      </c>
      <c r="AP66">
        <v>10</v>
      </c>
      <c r="AQ66">
        <v>4</v>
      </c>
      <c r="AR66" t="s">
        <v>64</v>
      </c>
      <c r="AS66" t="s">
        <v>1492</v>
      </c>
      <c r="AT66">
        <v>0.85199999999999998</v>
      </c>
      <c r="AU66" t="s">
        <v>65</v>
      </c>
      <c r="AV66">
        <v>20</v>
      </c>
      <c r="AW66">
        <v>4</v>
      </c>
      <c r="AX66" t="s">
        <v>1493</v>
      </c>
      <c r="AY66" t="s">
        <v>1494</v>
      </c>
      <c r="AZ66" t="s">
        <v>1495</v>
      </c>
      <c r="BA66">
        <v>6.6640000000000005E-2</v>
      </c>
      <c r="BB66">
        <v>1</v>
      </c>
      <c r="BC66" t="s">
        <v>69</v>
      </c>
      <c r="BD66">
        <v>1.2629999999999999</v>
      </c>
      <c r="BE66">
        <v>0.97</v>
      </c>
    </row>
    <row r="67" spans="1:57">
      <c r="A67">
        <v>0</v>
      </c>
      <c r="B67">
        <v>0</v>
      </c>
      <c r="C67">
        <v>0</v>
      </c>
      <c r="D67">
        <v>1521</v>
      </c>
      <c r="E67" t="s">
        <v>2038</v>
      </c>
      <c r="F67" t="s">
        <v>5761</v>
      </c>
      <c r="G67" t="s">
        <v>62</v>
      </c>
      <c r="H67">
        <v>1533330</v>
      </c>
      <c r="I67">
        <v>1533701</v>
      </c>
      <c r="J67" t="s">
        <v>2039</v>
      </c>
      <c r="K67">
        <v>124</v>
      </c>
      <c r="L67" t="s">
        <v>59</v>
      </c>
      <c r="M67">
        <v>5</v>
      </c>
      <c r="N67" t="str">
        <f>HYPERLINK("Gene1521-zp_tree_all.dnd", "Gene1521-tree")</f>
        <v>Gene1521-tree</v>
      </c>
      <c r="O67">
        <v>3</v>
      </c>
      <c r="P67">
        <v>1</v>
      </c>
      <c r="Q67">
        <v>3</v>
      </c>
      <c r="R67">
        <v>1</v>
      </c>
      <c r="S67">
        <v>0.25</v>
      </c>
      <c r="T67" t="s">
        <v>84</v>
      </c>
      <c r="U67" t="s">
        <v>61</v>
      </c>
      <c r="V67" t="s">
        <v>62</v>
      </c>
      <c r="W67" t="s">
        <v>62</v>
      </c>
      <c r="X67">
        <v>0</v>
      </c>
      <c r="Y67">
        <v>0</v>
      </c>
      <c r="Z67">
        <v>6</v>
      </c>
      <c r="AA67">
        <v>0</v>
      </c>
      <c r="AB67">
        <v>0</v>
      </c>
      <c r="AC67">
        <v>0</v>
      </c>
      <c r="AD67">
        <v>0</v>
      </c>
      <c r="AE67">
        <v>3</v>
      </c>
      <c r="AF67">
        <v>0</v>
      </c>
      <c r="AG67">
        <v>0</v>
      </c>
      <c r="AH67">
        <v>0</v>
      </c>
      <c r="AI67">
        <v>0</v>
      </c>
      <c r="AJ67">
        <v>3</v>
      </c>
      <c r="AK67">
        <v>0</v>
      </c>
      <c r="AL67">
        <v>3</v>
      </c>
      <c r="AM67">
        <v>1</v>
      </c>
      <c r="AN67">
        <v>6</v>
      </c>
      <c r="AO67">
        <v>3</v>
      </c>
      <c r="AP67">
        <v>7</v>
      </c>
      <c r="AQ67">
        <v>3</v>
      </c>
      <c r="AR67" t="s">
        <v>2040</v>
      </c>
      <c r="AS67" t="s">
        <v>2041</v>
      </c>
      <c r="AT67">
        <v>0.111</v>
      </c>
      <c r="AU67" t="s">
        <v>65</v>
      </c>
      <c r="AV67">
        <v>13</v>
      </c>
      <c r="AW67">
        <v>6</v>
      </c>
      <c r="AX67" t="s">
        <v>2042</v>
      </c>
      <c r="AY67" t="s">
        <v>2043</v>
      </c>
      <c r="AZ67" t="s">
        <v>2044</v>
      </c>
      <c r="BA67">
        <v>0.11461</v>
      </c>
      <c r="BB67">
        <v>1</v>
      </c>
      <c r="BC67" t="s">
        <v>69</v>
      </c>
      <c r="BD67">
        <v>0.38800000000000001</v>
      </c>
      <c r="BE67">
        <v>0.38800000000000001</v>
      </c>
    </row>
    <row r="68" spans="1:57">
      <c r="A68">
        <v>0</v>
      </c>
      <c r="B68">
        <v>0</v>
      </c>
      <c r="C68">
        <v>0</v>
      </c>
      <c r="D68">
        <v>2556</v>
      </c>
      <c r="E68" t="s">
        <v>3415</v>
      </c>
      <c r="F68" t="s">
        <v>5761</v>
      </c>
      <c r="G68" t="s">
        <v>57</v>
      </c>
      <c r="H68">
        <v>2544995</v>
      </c>
      <c r="I68">
        <v>2545372</v>
      </c>
      <c r="J68" t="s">
        <v>3416</v>
      </c>
      <c r="K68">
        <v>126</v>
      </c>
      <c r="L68" t="s">
        <v>112</v>
      </c>
      <c r="M68">
        <v>4</v>
      </c>
      <c r="N68" t="str">
        <f>HYPERLINK("Gene2556-zp_tree_all.dnd", "Gene2556-tree")</f>
        <v>Gene2556-tree</v>
      </c>
      <c r="O68">
        <v>4</v>
      </c>
      <c r="P68">
        <v>0</v>
      </c>
      <c r="Q68">
        <v>4</v>
      </c>
      <c r="R68">
        <v>0</v>
      </c>
      <c r="S68">
        <v>0</v>
      </c>
      <c r="T68" t="s">
        <v>60</v>
      </c>
      <c r="U68" t="s">
        <v>62</v>
      </c>
      <c r="V68" t="s">
        <v>62</v>
      </c>
      <c r="W68" t="s">
        <v>62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3</v>
      </c>
      <c r="AM68">
        <v>1</v>
      </c>
      <c r="AN68">
        <v>15</v>
      </c>
      <c r="AO68">
        <v>0</v>
      </c>
      <c r="AP68">
        <v>2</v>
      </c>
      <c r="AQ68">
        <v>1</v>
      </c>
      <c r="AR68" t="s">
        <v>64</v>
      </c>
      <c r="AS68" t="s">
        <v>3417</v>
      </c>
      <c r="AT68">
        <v>0</v>
      </c>
      <c r="AU68" t="s">
        <v>65</v>
      </c>
      <c r="AV68">
        <v>17</v>
      </c>
      <c r="AW68">
        <v>1</v>
      </c>
      <c r="AX68" t="s">
        <v>3418</v>
      </c>
      <c r="AY68" t="s">
        <v>3419</v>
      </c>
      <c r="AZ68" t="s">
        <v>3420</v>
      </c>
      <c r="BA68">
        <v>2.001E-2</v>
      </c>
      <c r="BB68">
        <v>1</v>
      </c>
      <c r="BC68" t="s">
        <v>69</v>
      </c>
      <c r="BD68">
        <v>-0.33100000000000002</v>
      </c>
      <c r="BE68">
        <v>-0.33100000000000002</v>
      </c>
    </row>
    <row r="69" spans="1:57">
      <c r="A69">
        <v>0</v>
      </c>
      <c r="B69">
        <v>0</v>
      </c>
      <c r="C69">
        <v>0</v>
      </c>
      <c r="D69">
        <v>3795</v>
      </c>
      <c r="E69" t="s">
        <v>5077</v>
      </c>
      <c r="F69" t="s">
        <v>5761</v>
      </c>
      <c r="G69" t="s">
        <v>57</v>
      </c>
      <c r="H69">
        <v>3765051</v>
      </c>
      <c r="I69">
        <v>3765431</v>
      </c>
      <c r="J69" t="s">
        <v>2782</v>
      </c>
      <c r="K69">
        <v>127</v>
      </c>
      <c r="L69" t="s">
        <v>112</v>
      </c>
      <c r="M69">
        <v>4</v>
      </c>
      <c r="N69" t="str">
        <f>HYPERLINK("Gene3795-zp_tree_all.dnd", "Gene3795-tree")</f>
        <v>Gene3795-tree</v>
      </c>
      <c r="O69">
        <v>2</v>
      </c>
      <c r="P69">
        <v>2</v>
      </c>
      <c r="Q69">
        <v>2</v>
      </c>
      <c r="R69">
        <v>2</v>
      </c>
      <c r="S69">
        <v>0.5</v>
      </c>
      <c r="T69" t="s">
        <v>135</v>
      </c>
      <c r="U69" t="s">
        <v>135</v>
      </c>
      <c r="V69" t="s">
        <v>62</v>
      </c>
      <c r="W69" t="s">
        <v>62</v>
      </c>
      <c r="X69">
        <v>0</v>
      </c>
      <c r="Y69">
        <v>0</v>
      </c>
      <c r="Z69">
        <v>4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4</v>
      </c>
      <c r="AK69">
        <v>0</v>
      </c>
      <c r="AL69">
        <v>2</v>
      </c>
      <c r="AM69">
        <v>1</v>
      </c>
      <c r="AN69">
        <v>13</v>
      </c>
      <c r="AO69">
        <v>5</v>
      </c>
      <c r="AP69">
        <v>1</v>
      </c>
      <c r="AQ69">
        <v>0</v>
      </c>
      <c r="AR69" t="s">
        <v>5078</v>
      </c>
      <c r="AS69" t="s">
        <v>64</v>
      </c>
      <c r="AT69">
        <v>1.038</v>
      </c>
      <c r="AU69" t="s">
        <v>65</v>
      </c>
      <c r="AV69">
        <v>14</v>
      </c>
      <c r="AW69">
        <v>5</v>
      </c>
      <c r="AX69" t="s">
        <v>5079</v>
      </c>
      <c r="AY69" t="s">
        <v>5080</v>
      </c>
      <c r="AZ69" t="s">
        <v>5081</v>
      </c>
      <c r="BA69">
        <v>8.9940000000000006E-2</v>
      </c>
      <c r="BB69">
        <v>1</v>
      </c>
      <c r="BC69" t="s">
        <v>69</v>
      </c>
      <c r="BD69">
        <v>-0.68899999999999995</v>
      </c>
      <c r="BE69">
        <v>-0.68899999999999995</v>
      </c>
    </row>
    <row r="70" spans="1:57">
      <c r="A70">
        <v>0</v>
      </c>
      <c r="B70">
        <v>0</v>
      </c>
      <c r="C70">
        <v>0</v>
      </c>
      <c r="D70">
        <v>3969</v>
      </c>
      <c r="E70" t="s">
        <v>5340</v>
      </c>
      <c r="F70" t="s">
        <v>5761</v>
      </c>
      <c r="G70" t="s">
        <v>57</v>
      </c>
      <c r="H70">
        <v>3933209</v>
      </c>
      <c r="I70">
        <v>3933592</v>
      </c>
      <c r="J70" t="s">
        <v>5341</v>
      </c>
      <c r="K70">
        <v>128</v>
      </c>
      <c r="L70" t="s">
        <v>59</v>
      </c>
      <c r="M70">
        <v>5</v>
      </c>
      <c r="N70" t="str">
        <f>HYPERLINK("Gene3969-zp_tree_all.dnd", "Gene3969-tree")</f>
        <v>Gene3969-tree</v>
      </c>
      <c r="O70">
        <v>3</v>
      </c>
      <c r="P70">
        <v>1</v>
      </c>
      <c r="Q70">
        <v>3</v>
      </c>
      <c r="R70">
        <v>1</v>
      </c>
      <c r="S70">
        <v>0.25</v>
      </c>
      <c r="T70" t="s">
        <v>84</v>
      </c>
      <c r="U70" t="s">
        <v>61</v>
      </c>
      <c r="V70" t="s">
        <v>62</v>
      </c>
      <c r="W70" t="s">
        <v>62</v>
      </c>
      <c r="X70">
        <v>0</v>
      </c>
      <c r="Y70">
        <v>0</v>
      </c>
      <c r="Z70">
        <v>2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3</v>
      </c>
      <c r="AM70">
        <v>1</v>
      </c>
      <c r="AN70">
        <v>9</v>
      </c>
      <c r="AO70">
        <v>1</v>
      </c>
      <c r="AP70">
        <v>5</v>
      </c>
      <c r="AQ70">
        <v>1</v>
      </c>
      <c r="AR70" t="s">
        <v>5342</v>
      </c>
      <c r="AS70" t="s">
        <v>5343</v>
      </c>
      <c r="AT70">
        <v>0.60599999999999998</v>
      </c>
      <c r="AU70" t="s">
        <v>65</v>
      </c>
      <c r="AV70">
        <v>14</v>
      </c>
      <c r="AW70">
        <v>2</v>
      </c>
      <c r="AX70" t="s">
        <v>5344</v>
      </c>
      <c r="AY70" t="s">
        <v>5345</v>
      </c>
      <c r="AZ70" t="s">
        <v>5346</v>
      </c>
      <c r="BA70">
        <v>4.5609999999999998E-2</v>
      </c>
      <c r="BB70">
        <v>1</v>
      </c>
      <c r="BC70" t="s">
        <v>69</v>
      </c>
      <c r="BD70">
        <v>1.4219999999999999</v>
      </c>
      <c r="BE70">
        <v>1.4219999999999999</v>
      </c>
    </row>
    <row r="71" spans="1:57">
      <c r="A71">
        <v>0</v>
      </c>
      <c r="B71">
        <v>0</v>
      </c>
      <c r="C71">
        <v>4</v>
      </c>
      <c r="D71">
        <v>1863</v>
      </c>
      <c r="E71" t="s">
        <v>2788</v>
      </c>
      <c r="F71" t="s">
        <v>5761</v>
      </c>
      <c r="G71" t="s">
        <v>62</v>
      </c>
      <c r="H71">
        <v>1925658</v>
      </c>
      <c r="I71">
        <v>1926047</v>
      </c>
      <c r="J71" t="s">
        <v>2789</v>
      </c>
      <c r="K71">
        <v>130</v>
      </c>
      <c r="L71" t="s">
        <v>59</v>
      </c>
      <c r="M71">
        <v>5</v>
      </c>
      <c r="N71" t="str">
        <f>HYPERLINK("Gene1863-zp_tree_all.dnd", "Gene1863-tree")</f>
        <v>Gene1863-tree</v>
      </c>
      <c r="O71">
        <v>3</v>
      </c>
      <c r="P71">
        <v>2</v>
      </c>
      <c r="Q71">
        <v>3</v>
      </c>
      <c r="R71">
        <v>2</v>
      </c>
      <c r="S71">
        <v>0.4</v>
      </c>
      <c r="T71" t="s">
        <v>84</v>
      </c>
      <c r="U71" t="s">
        <v>135</v>
      </c>
      <c r="V71" t="s">
        <v>62</v>
      </c>
      <c r="W71" t="s">
        <v>62</v>
      </c>
      <c r="X71">
        <v>2</v>
      </c>
      <c r="Y71">
        <v>4</v>
      </c>
      <c r="Z71">
        <v>3</v>
      </c>
      <c r="AA71">
        <v>0.57142999999999999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5</v>
      </c>
      <c r="AK71">
        <v>0</v>
      </c>
      <c r="AL71">
        <v>4</v>
      </c>
      <c r="AM71">
        <v>2</v>
      </c>
      <c r="AN71">
        <v>8</v>
      </c>
      <c r="AO71">
        <v>5</v>
      </c>
      <c r="AP71">
        <v>14</v>
      </c>
      <c r="AQ71">
        <v>2</v>
      </c>
      <c r="AR71" t="s">
        <v>2790</v>
      </c>
      <c r="AS71" t="s">
        <v>2791</v>
      </c>
      <c r="AT71">
        <v>1.0369999999999999</v>
      </c>
      <c r="AU71" t="s">
        <v>65</v>
      </c>
      <c r="AV71">
        <v>22</v>
      </c>
      <c r="AW71">
        <v>7</v>
      </c>
      <c r="AX71" t="s">
        <v>2792</v>
      </c>
      <c r="AY71" t="s">
        <v>2793</v>
      </c>
      <c r="AZ71" t="s">
        <v>2794</v>
      </c>
      <c r="BA71">
        <v>6.6680000000000003E-2</v>
      </c>
      <c r="BB71">
        <v>1</v>
      </c>
      <c r="BC71" t="s">
        <v>69</v>
      </c>
      <c r="BD71">
        <v>0.59799999999999998</v>
      </c>
      <c r="BE71">
        <v>0.13800000000000001</v>
      </c>
    </row>
    <row r="72" spans="1:57">
      <c r="A72">
        <v>0</v>
      </c>
      <c r="B72">
        <v>0</v>
      </c>
      <c r="C72">
        <v>0</v>
      </c>
      <c r="D72">
        <v>3000</v>
      </c>
      <c r="E72" t="s">
        <v>3996</v>
      </c>
      <c r="F72" t="s">
        <v>5761</v>
      </c>
      <c r="G72" t="s">
        <v>57</v>
      </c>
      <c r="H72">
        <v>2951490</v>
      </c>
      <c r="I72">
        <v>2951879</v>
      </c>
      <c r="J72" t="s">
        <v>118</v>
      </c>
      <c r="K72">
        <v>130</v>
      </c>
      <c r="L72" t="s">
        <v>59</v>
      </c>
      <c r="M72">
        <v>5</v>
      </c>
      <c r="N72" t="str">
        <f>HYPERLINK("Gene3000-zp_tree_all.dnd", "Gene3000-tree")</f>
        <v>Gene3000-tree</v>
      </c>
      <c r="O72">
        <v>2</v>
      </c>
      <c r="P72">
        <v>2</v>
      </c>
      <c r="Q72">
        <v>2</v>
      </c>
      <c r="R72">
        <v>2</v>
      </c>
      <c r="S72">
        <v>0.5</v>
      </c>
      <c r="T72" t="s">
        <v>135</v>
      </c>
      <c r="U72" t="s">
        <v>135</v>
      </c>
      <c r="V72" t="s">
        <v>62</v>
      </c>
      <c r="W72" t="s">
        <v>62</v>
      </c>
      <c r="X72">
        <v>0</v>
      </c>
      <c r="Y72">
        <v>0</v>
      </c>
      <c r="Z72">
        <v>2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2</v>
      </c>
      <c r="AK72">
        <v>0</v>
      </c>
      <c r="AL72">
        <v>3</v>
      </c>
      <c r="AM72">
        <v>1</v>
      </c>
      <c r="AN72">
        <v>6</v>
      </c>
      <c r="AO72">
        <v>1</v>
      </c>
      <c r="AP72">
        <v>12</v>
      </c>
      <c r="AQ72">
        <v>1</v>
      </c>
      <c r="AR72" t="s">
        <v>3997</v>
      </c>
      <c r="AS72" t="s">
        <v>3998</v>
      </c>
      <c r="AT72">
        <v>0.432</v>
      </c>
      <c r="AU72" t="s">
        <v>65</v>
      </c>
      <c r="AV72">
        <v>18</v>
      </c>
      <c r="AW72">
        <v>2</v>
      </c>
      <c r="AX72" t="s">
        <v>3999</v>
      </c>
      <c r="AY72" t="s">
        <v>4000</v>
      </c>
      <c r="AZ72" t="s">
        <v>4001</v>
      </c>
      <c r="BA72">
        <v>2.5309999999999999E-2</v>
      </c>
      <c r="BB72">
        <v>1</v>
      </c>
      <c r="BC72" t="s">
        <v>69</v>
      </c>
      <c r="BD72">
        <v>0.77</v>
      </c>
      <c r="BE72">
        <v>0.77</v>
      </c>
    </row>
    <row r="73" spans="1:57">
      <c r="A73">
        <v>0</v>
      </c>
      <c r="B73">
        <v>0</v>
      </c>
      <c r="C73">
        <v>0</v>
      </c>
      <c r="D73">
        <v>2552</v>
      </c>
      <c r="E73" t="s">
        <v>3391</v>
      </c>
      <c r="F73" t="s">
        <v>5761</v>
      </c>
      <c r="G73" t="s">
        <v>57</v>
      </c>
      <c r="H73">
        <v>2542047</v>
      </c>
      <c r="I73">
        <v>2542439</v>
      </c>
      <c r="J73" t="s">
        <v>118</v>
      </c>
      <c r="K73">
        <v>131</v>
      </c>
      <c r="L73" t="s">
        <v>59</v>
      </c>
      <c r="M73">
        <v>5</v>
      </c>
      <c r="N73" t="str">
        <f>HYPERLINK("Gene2552-zp_tree_all.dnd", "Gene2552-tree")</f>
        <v>Gene2552-tree</v>
      </c>
      <c r="O73">
        <v>3</v>
      </c>
      <c r="P73">
        <v>2</v>
      </c>
      <c r="Q73">
        <v>3</v>
      </c>
      <c r="R73">
        <v>2</v>
      </c>
      <c r="S73">
        <v>0.4</v>
      </c>
      <c r="T73" t="s">
        <v>84</v>
      </c>
      <c r="U73" t="s">
        <v>135</v>
      </c>
      <c r="V73" t="s">
        <v>62</v>
      </c>
      <c r="W73" t="s">
        <v>62</v>
      </c>
      <c r="X73">
        <v>0</v>
      </c>
      <c r="Y73">
        <v>0</v>
      </c>
      <c r="Z73">
        <v>3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3</v>
      </c>
      <c r="AK73">
        <v>0</v>
      </c>
      <c r="AL73">
        <v>4</v>
      </c>
      <c r="AM73">
        <v>2</v>
      </c>
      <c r="AN73">
        <v>7</v>
      </c>
      <c r="AO73">
        <v>3</v>
      </c>
      <c r="AP73">
        <v>3</v>
      </c>
      <c r="AQ73">
        <v>0</v>
      </c>
      <c r="AR73" t="s">
        <v>3392</v>
      </c>
      <c r="AS73" t="s">
        <v>64</v>
      </c>
      <c r="AT73">
        <v>1.375</v>
      </c>
      <c r="AU73" t="s">
        <v>65</v>
      </c>
      <c r="AV73">
        <v>10</v>
      </c>
      <c r="AW73">
        <v>3</v>
      </c>
      <c r="AX73" t="s">
        <v>3393</v>
      </c>
      <c r="AY73" t="s">
        <v>3394</v>
      </c>
      <c r="AZ73" t="s">
        <v>3395</v>
      </c>
      <c r="BA73">
        <v>7.3999999999999996E-2</v>
      </c>
      <c r="BB73">
        <v>1</v>
      </c>
      <c r="BC73" t="s">
        <v>69</v>
      </c>
      <c r="BD73">
        <v>-0.51200000000000001</v>
      </c>
      <c r="BE73">
        <v>-0.51200000000000001</v>
      </c>
    </row>
    <row r="74" spans="1:57">
      <c r="A74">
        <v>0</v>
      </c>
      <c r="B74">
        <v>0</v>
      </c>
      <c r="C74">
        <v>0</v>
      </c>
      <c r="D74">
        <v>1194</v>
      </c>
      <c r="E74" t="s">
        <v>1677</v>
      </c>
      <c r="F74" t="s">
        <v>5761</v>
      </c>
      <c r="G74" t="s">
        <v>62</v>
      </c>
      <c r="H74">
        <v>1234513</v>
      </c>
      <c r="I74">
        <v>1234908</v>
      </c>
      <c r="J74" t="s">
        <v>1678</v>
      </c>
      <c r="K74">
        <v>132</v>
      </c>
      <c r="L74" t="s">
        <v>59</v>
      </c>
      <c r="M74">
        <v>5</v>
      </c>
      <c r="N74" t="str">
        <f>HYPERLINK("Gene1194-zp_tree_all.dnd", "Gene1194-tree")</f>
        <v>Gene1194-tree</v>
      </c>
      <c r="O74">
        <v>5</v>
      </c>
      <c r="P74">
        <v>0</v>
      </c>
      <c r="Q74">
        <v>5</v>
      </c>
      <c r="R74">
        <v>0</v>
      </c>
      <c r="S74">
        <v>0</v>
      </c>
      <c r="T74" t="s">
        <v>98</v>
      </c>
      <c r="U74" t="s">
        <v>62</v>
      </c>
      <c r="V74" t="s">
        <v>62</v>
      </c>
      <c r="W74" t="s">
        <v>62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4</v>
      </c>
      <c r="AM74">
        <v>2</v>
      </c>
      <c r="AN74">
        <v>4</v>
      </c>
      <c r="AO74">
        <v>0</v>
      </c>
      <c r="AP74">
        <v>8</v>
      </c>
      <c r="AQ74">
        <v>1</v>
      </c>
      <c r="AR74" t="s">
        <v>64</v>
      </c>
      <c r="AS74" t="s">
        <v>1679</v>
      </c>
      <c r="AT74">
        <v>0.89600000000000002</v>
      </c>
      <c r="AU74" t="s">
        <v>65</v>
      </c>
      <c r="AV74">
        <v>12</v>
      </c>
      <c r="AW74">
        <v>1</v>
      </c>
      <c r="AX74" t="s">
        <v>1680</v>
      </c>
      <c r="AY74" t="s">
        <v>1681</v>
      </c>
      <c r="AZ74" t="s">
        <v>1682</v>
      </c>
      <c r="BA74">
        <v>2.656E-2</v>
      </c>
      <c r="BB74">
        <v>1</v>
      </c>
      <c r="BC74" t="s">
        <v>69</v>
      </c>
      <c r="BD74">
        <v>1.306</v>
      </c>
      <c r="BE74">
        <v>1.306</v>
      </c>
    </row>
    <row r="75" spans="1:57">
      <c r="A75">
        <v>0</v>
      </c>
      <c r="B75">
        <v>0</v>
      </c>
      <c r="C75">
        <v>0</v>
      </c>
      <c r="D75">
        <v>3493</v>
      </c>
      <c r="E75" t="s">
        <v>4796</v>
      </c>
      <c r="F75" t="s">
        <v>5761</v>
      </c>
      <c r="G75" t="s">
        <v>57</v>
      </c>
      <c r="H75">
        <v>3456667</v>
      </c>
      <c r="I75">
        <v>3457071</v>
      </c>
      <c r="J75" t="s">
        <v>2869</v>
      </c>
      <c r="K75">
        <v>135</v>
      </c>
      <c r="L75" t="s">
        <v>3633</v>
      </c>
      <c r="M75">
        <v>4</v>
      </c>
      <c r="N75" t="str">
        <f>HYPERLINK("Gene3493-zp_tree_all.dnd", "Gene3493-tree")</f>
        <v>Gene3493-tree</v>
      </c>
      <c r="O75">
        <v>3</v>
      </c>
      <c r="P75">
        <v>1</v>
      </c>
      <c r="Q75">
        <v>3</v>
      </c>
      <c r="R75">
        <v>1</v>
      </c>
      <c r="S75">
        <v>0.25</v>
      </c>
      <c r="T75" t="s">
        <v>84</v>
      </c>
      <c r="U75" t="s">
        <v>61</v>
      </c>
      <c r="V75" t="s">
        <v>62</v>
      </c>
      <c r="W75" t="s">
        <v>62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4</v>
      </c>
      <c r="AM75">
        <v>1</v>
      </c>
      <c r="AN75">
        <v>13</v>
      </c>
      <c r="AO75">
        <v>1</v>
      </c>
      <c r="AP75">
        <v>11</v>
      </c>
      <c r="AQ75">
        <v>0</v>
      </c>
      <c r="AR75" t="s">
        <v>4797</v>
      </c>
      <c r="AS75" t="s">
        <v>64</v>
      </c>
      <c r="AT75">
        <v>0.60399999999999998</v>
      </c>
      <c r="AU75" t="s">
        <v>65</v>
      </c>
      <c r="AV75">
        <v>24</v>
      </c>
      <c r="AW75">
        <v>1</v>
      </c>
      <c r="AX75" t="s">
        <v>4798</v>
      </c>
      <c r="AY75" t="s">
        <v>4799</v>
      </c>
      <c r="AZ75" t="s">
        <v>4800</v>
      </c>
      <c r="BA75">
        <v>9.6100000000000005E-3</v>
      </c>
      <c r="BB75">
        <v>1</v>
      </c>
      <c r="BC75" t="s">
        <v>69</v>
      </c>
      <c r="BD75">
        <v>1.1919999999999999</v>
      </c>
      <c r="BE75">
        <v>0.373</v>
      </c>
    </row>
    <row r="76" spans="1:57">
      <c r="A76">
        <v>0</v>
      </c>
      <c r="B76">
        <v>0</v>
      </c>
      <c r="C76">
        <v>0</v>
      </c>
      <c r="D76">
        <v>3766</v>
      </c>
      <c r="E76" t="s">
        <v>5043</v>
      </c>
      <c r="F76" t="s">
        <v>5761</v>
      </c>
      <c r="G76" t="s">
        <v>57</v>
      </c>
      <c r="H76">
        <v>3741182</v>
      </c>
      <c r="I76">
        <v>3741589</v>
      </c>
      <c r="J76" t="s">
        <v>118</v>
      </c>
      <c r="K76">
        <v>136</v>
      </c>
      <c r="L76" t="s">
        <v>59</v>
      </c>
      <c r="M76">
        <v>5</v>
      </c>
      <c r="N76" t="str">
        <f>HYPERLINK("Gene3766-zp_tree_all.dnd", "Gene3766-tree")</f>
        <v>Gene3766-tree</v>
      </c>
      <c r="O76">
        <v>3</v>
      </c>
      <c r="P76">
        <v>2</v>
      </c>
      <c r="Q76">
        <v>3</v>
      </c>
      <c r="R76">
        <v>2</v>
      </c>
      <c r="S76">
        <v>0.4</v>
      </c>
      <c r="T76" t="s">
        <v>84</v>
      </c>
      <c r="U76" t="s">
        <v>135</v>
      </c>
      <c r="V76" t="s">
        <v>62</v>
      </c>
      <c r="W76" t="s">
        <v>62</v>
      </c>
      <c r="X76">
        <v>0</v>
      </c>
      <c r="Y76">
        <v>0</v>
      </c>
      <c r="Z76">
        <v>9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6</v>
      </c>
      <c r="AK76">
        <v>0</v>
      </c>
      <c r="AL76">
        <v>4</v>
      </c>
      <c r="AM76">
        <v>1</v>
      </c>
      <c r="AN76">
        <v>12</v>
      </c>
      <c r="AO76">
        <v>6</v>
      </c>
      <c r="AP76">
        <v>5</v>
      </c>
      <c r="AQ76">
        <v>4</v>
      </c>
      <c r="AR76" t="s">
        <v>5044</v>
      </c>
      <c r="AS76" t="s">
        <v>5045</v>
      </c>
      <c r="AT76">
        <v>0.51100000000000001</v>
      </c>
      <c r="AU76" t="s">
        <v>65</v>
      </c>
      <c r="AV76">
        <v>17</v>
      </c>
      <c r="AW76">
        <v>10</v>
      </c>
      <c r="AX76" t="s">
        <v>5046</v>
      </c>
      <c r="AY76" t="s">
        <v>5047</v>
      </c>
      <c r="AZ76" t="s">
        <v>5048</v>
      </c>
      <c r="BA76">
        <v>0.16411000000000001</v>
      </c>
      <c r="BB76">
        <v>1</v>
      </c>
      <c r="BC76" t="s">
        <v>69</v>
      </c>
      <c r="BD76">
        <v>-4.8000000000000001E-2</v>
      </c>
      <c r="BE76">
        <v>-0.28699999999999998</v>
      </c>
    </row>
    <row r="77" spans="1:57">
      <c r="A77">
        <v>0</v>
      </c>
      <c r="B77">
        <v>0</v>
      </c>
      <c r="C77">
        <v>2</v>
      </c>
      <c r="D77">
        <v>3269</v>
      </c>
      <c r="E77" t="s">
        <v>4433</v>
      </c>
      <c r="F77" t="s">
        <v>5761</v>
      </c>
      <c r="G77" t="s">
        <v>57</v>
      </c>
      <c r="H77">
        <v>3235806</v>
      </c>
      <c r="I77">
        <v>3236216</v>
      </c>
      <c r="J77" t="s">
        <v>4434</v>
      </c>
      <c r="K77">
        <v>137</v>
      </c>
      <c r="L77" t="s">
        <v>112</v>
      </c>
      <c r="M77">
        <v>4</v>
      </c>
      <c r="N77" t="str">
        <f>HYPERLINK("Gene3269-zp_tree_all.dnd", "Gene3269-tree")</f>
        <v>Gene3269-tree</v>
      </c>
      <c r="O77">
        <v>2</v>
      </c>
      <c r="P77">
        <v>2</v>
      </c>
      <c r="Q77">
        <v>2</v>
      </c>
      <c r="R77">
        <v>2</v>
      </c>
      <c r="S77">
        <v>0.5</v>
      </c>
      <c r="T77" t="s">
        <v>135</v>
      </c>
      <c r="U77" t="s">
        <v>135</v>
      </c>
      <c r="V77" t="s">
        <v>62</v>
      </c>
      <c r="W77" t="s">
        <v>62</v>
      </c>
      <c r="X77">
        <v>1</v>
      </c>
      <c r="Y77">
        <v>2</v>
      </c>
      <c r="Z77">
        <v>4</v>
      </c>
      <c r="AA77">
        <v>0.33333000000000002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2</v>
      </c>
      <c r="AI77">
        <v>2</v>
      </c>
      <c r="AJ77">
        <v>3</v>
      </c>
      <c r="AK77">
        <v>0.4</v>
      </c>
      <c r="AL77">
        <v>3</v>
      </c>
      <c r="AM77">
        <v>1</v>
      </c>
      <c r="AN77">
        <v>15</v>
      </c>
      <c r="AO77">
        <v>5</v>
      </c>
      <c r="AP77">
        <v>4</v>
      </c>
      <c r="AQ77">
        <v>1</v>
      </c>
      <c r="AR77" t="s">
        <v>4435</v>
      </c>
      <c r="AS77" t="s">
        <v>4436</v>
      </c>
      <c r="AT77">
        <v>0.28599999999999998</v>
      </c>
      <c r="AU77" t="s">
        <v>65</v>
      </c>
      <c r="AV77">
        <v>19</v>
      </c>
      <c r="AW77">
        <v>6</v>
      </c>
      <c r="AX77" t="s">
        <v>4437</v>
      </c>
      <c r="AY77" t="s">
        <v>4438</v>
      </c>
      <c r="AZ77" t="s">
        <v>4439</v>
      </c>
      <c r="BA77">
        <v>9.3049999999999994E-2</v>
      </c>
      <c r="BB77">
        <v>1</v>
      </c>
      <c r="BC77" t="s">
        <v>69</v>
      </c>
      <c r="BD77">
        <v>0.28499999999999998</v>
      </c>
      <c r="BE77">
        <v>-0.57099999999999995</v>
      </c>
    </row>
    <row r="78" spans="1:57">
      <c r="A78">
        <v>0</v>
      </c>
      <c r="B78">
        <v>0</v>
      </c>
      <c r="C78">
        <v>0</v>
      </c>
      <c r="D78">
        <v>3777</v>
      </c>
      <c r="E78" t="s">
        <v>5067</v>
      </c>
      <c r="F78" t="s">
        <v>5761</v>
      </c>
      <c r="G78" t="s">
        <v>57</v>
      </c>
      <c r="H78">
        <v>3749052</v>
      </c>
      <c r="I78">
        <v>3749462</v>
      </c>
      <c r="J78" t="s">
        <v>1014</v>
      </c>
      <c r="K78">
        <v>137</v>
      </c>
      <c r="L78" t="s">
        <v>59</v>
      </c>
      <c r="M78">
        <v>5</v>
      </c>
      <c r="N78" t="str">
        <f>HYPERLINK("Gene3777-zp_tree_all.dnd", "Gene3777-tree")</f>
        <v>Gene3777-tree</v>
      </c>
      <c r="O78">
        <v>4</v>
      </c>
      <c r="P78">
        <v>1</v>
      </c>
      <c r="Q78">
        <v>4</v>
      </c>
      <c r="R78">
        <v>1</v>
      </c>
      <c r="S78">
        <v>0.2</v>
      </c>
      <c r="T78" t="s">
        <v>60</v>
      </c>
      <c r="U78" t="s">
        <v>61</v>
      </c>
      <c r="V78" t="s">
        <v>62</v>
      </c>
      <c r="W78" t="s">
        <v>62</v>
      </c>
      <c r="X78">
        <v>0</v>
      </c>
      <c r="Y78">
        <v>0</v>
      </c>
      <c r="Z78">
        <v>2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5</v>
      </c>
      <c r="AM78">
        <v>2</v>
      </c>
      <c r="AN78">
        <v>11</v>
      </c>
      <c r="AO78">
        <v>1</v>
      </c>
      <c r="AP78">
        <v>6</v>
      </c>
      <c r="AQ78">
        <v>1</v>
      </c>
      <c r="AR78" t="s">
        <v>5068</v>
      </c>
      <c r="AS78" t="s">
        <v>5069</v>
      </c>
      <c r="AT78">
        <v>0.30299999999999999</v>
      </c>
      <c r="AU78" t="s">
        <v>65</v>
      </c>
      <c r="AV78">
        <v>17</v>
      </c>
      <c r="AW78">
        <v>2</v>
      </c>
      <c r="AX78" t="s">
        <v>5070</v>
      </c>
      <c r="AY78" t="s">
        <v>5071</v>
      </c>
      <c r="AZ78" t="s">
        <v>5072</v>
      </c>
      <c r="BA78">
        <v>3.236E-2</v>
      </c>
      <c r="BB78">
        <v>1</v>
      </c>
      <c r="BC78" t="s">
        <v>69</v>
      </c>
      <c r="BD78">
        <v>0.13600000000000001</v>
      </c>
      <c r="BE78">
        <v>0.13600000000000001</v>
      </c>
    </row>
    <row r="79" spans="1:57">
      <c r="A79">
        <v>0</v>
      </c>
      <c r="B79">
        <v>0</v>
      </c>
      <c r="C79">
        <v>0</v>
      </c>
      <c r="D79">
        <v>2261</v>
      </c>
      <c r="E79" t="s">
        <v>2921</v>
      </c>
      <c r="F79" t="s">
        <v>5761</v>
      </c>
      <c r="G79" t="s">
        <v>57</v>
      </c>
      <c r="H79">
        <v>2288194</v>
      </c>
      <c r="I79">
        <v>2288616</v>
      </c>
      <c r="J79" t="s">
        <v>1014</v>
      </c>
      <c r="K79">
        <v>141</v>
      </c>
      <c r="L79" t="s">
        <v>59</v>
      </c>
      <c r="M79">
        <v>5</v>
      </c>
      <c r="N79" t="str">
        <f>HYPERLINK("Gene2261-zp_tree_all.dnd", "Gene2261-tree")</f>
        <v>Gene2261-tree</v>
      </c>
      <c r="O79">
        <v>4</v>
      </c>
      <c r="P79">
        <v>1</v>
      </c>
      <c r="Q79">
        <v>4</v>
      </c>
      <c r="R79">
        <v>1</v>
      </c>
      <c r="S79">
        <v>0.2</v>
      </c>
      <c r="T79" t="s">
        <v>60</v>
      </c>
      <c r="U79" t="s">
        <v>61</v>
      </c>
      <c r="V79" t="s">
        <v>62</v>
      </c>
      <c r="W79" t="s">
        <v>62</v>
      </c>
      <c r="X79">
        <v>0</v>
      </c>
      <c r="Y79">
        <v>0</v>
      </c>
      <c r="Z79">
        <v>3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4</v>
      </c>
      <c r="AM79">
        <v>1</v>
      </c>
      <c r="AN79">
        <v>11</v>
      </c>
      <c r="AO79">
        <v>1</v>
      </c>
      <c r="AP79">
        <v>11</v>
      </c>
      <c r="AQ79">
        <v>2</v>
      </c>
      <c r="AR79" t="s">
        <v>2922</v>
      </c>
      <c r="AS79" t="s">
        <v>2923</v>
      </c>
      <c r="AT79">
        <v>0.56499999999999995</v>
      </c>
      <c r="AU79" t="s">
        <v>65</v>
      </c>
      <c r="AV79">
        <v>22</v>
      </c>
      <c r="AW79">
        <v>3</v>
      </c>
      <c r="AX79" t="s">
        <v>2924</v>
      </c>
      <c r="AY79" t="s">
        <v>2925</v>
      </c>
      <c r="AZ79" t="s">
        <v>2526</v>
      </c>
      <c r="BA79">
        <v>3.4979999999999997E-2</v>
      </c>
      <c r="BB79">
        <v>1</v>
      </c>
      <c r="BC79" t="s">
        <v>69</v>
      </c>
      <c r="BD79">
        <v>0.56799999999999995</v>
      </c>
      <c r="BE79">
        <v>0.56799999999999995</v>
      </c>
    </row>
    <row r="80" spans="1:57">
      <c r="A80">
        <v>0</v>
      </c>
      <c r="B80">
        <v>0</v>
      </c>
      <c r="C80">
        <v>0</v>
      </c>
      <c r="D80">
        <v>3280</v>
      </c>
      <c r="E80" t="s">
        <v>4446</v>
      </c>
      <c r="F80" t="s">
        <v>5761</v>
      </c>
      <c r="G80" t="s">
        <v>57</v>
      </c>
      <c r="H80">
        <v>3248996</v>
      </c>
      <c r="I80">
        <v>3249424</v>
      </c>
      <c r="J80" t="s">
        <v>4447</v>
      </c>
      <c r="K80">
        <v>143</v>
      </c>
      <c r="L80" t="s">
        <v>59</v>
      </c>
      <c r="M80">
        <v>5</v>
      </c>
      <c r="N80" t="str">
        <f>HYPERLINK("Gene3280-zp_tree_all.dnd", "Gene3280-tree")</f>
        <v>Gene3280-tree</v>
      </c>
      <c r="O80">
        <v>4</v>
      </c>
      <c r="P80">
        <v>1</v>
      </c>
      <c r="Q80">
        <v>4</v>
      </c>
      <c r="R80">
        <v>1</v>
      </c>
      <c r="S80">
        <v>0.2</v>
      </c>
      <c r="T80" t="s">
        <v>60</v>
      </c>
      <c r="U80" t="s">
        <v>61</v>
      </c>
      <c r="V80" t="s">
        <v>62</v>
      </c>
      <c r="W80" t="s">
        <v>62</v>
      </c>
      <c r="X80">
        <v>0</v>
      </c>
      <c r="Y80">
        <v>0</v>
      </c>
      <c r="Z80">
        <v>4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5</v>
      </c>
      <c r="AM80">
        <v>1</v>
      </c>
      <c r="AN80">
        <v>11</v>
      </c>
      <c r="AO80">
        <v>1</v>
      </c>
      <c r="AP80">
        <v>8</v>
      </c>
      <c r="AQ80">
        <v>3</v>
      </c>
      <c r="AR80" t="s">
        <v>4448</v>
      </c>
      <c r="AS80" t="s">
        <v>4449</v>
      </c>
      <c r="AT80">
        <v>1.57</v>
      </c>
      <c r="AU80" t="s">
        <v>65</v>
      </c>
      <c r="AV80">
        <v>19</v>
      </c>
      <c r="AW80">
        <v>4</v>
      </c>
      <c r="AX80" t="s">
        <v>4450</v>
      </c>
      <c r="AY80" t="s">
        <v>4451</v>
      </c>
      <c r="AZ80" t="s">
        <v>4452</v>
      </c>
      <c r="BA80">
        <v>8.6059999999999998E-2</v>
      </c>
      <c r="BB80">
        <v>1</v>
      </c>
      <c r="BC80" t="s">
        <v>69</v>
      </c>
      <c r="BD80">
        <v>0.52900000000000003</v>
      </c>
      <c r="BE80">
        <v>-0.20599999999999999</v>
      </c>
    </row>
    <row r="81" spans="1:57">
      <c r="A81">
        <v>0</v>
      </c>
      <c r="B81">
        <v>0</v>
      </c>
      <c r="C81">
        <v>0</v>
      </c>
      <c r="D81">
        <v>991</v>
      </c>
      <c r="E81" t="s">
        <v>1444</v>
      </c>
      <c r="F81" t="s">
        <v>5761</v>
      </c>
      <c r="G81" t="s">
        <v>62</v>
      </c>
      <c r="H81">
        <v>1033461</v>
      </c>
      <c r="I81">
        <v>1033889</v>
      </c>
      <c r="J81" t="s">
        <v>1445</v>
      </c>
      <c r="K81">
        <v>143</v>
      </c>
      <c r="L81" t="s">
        <v>59</v>
      </c>
      <c r="M81">
        <v>5</v>
      </c>
      <c r="N81" t="str">
        <f>HYPERLINK("Gene991-zp_tree_all.dnd", "Gene991-tree")</f>
        <v>Gene991-tree</v>
      </c>
      <c r="O81">
        <v>4</v>
      </c>
      <c r="P81">
        <v>0</v>
      </c>
      <c r="Q81">
        <v>4</v>
      </c>
      <c r="R81">
        <v>0</v>
      </c>
      <c r="S81">
        <v>0</v>
      </c>
      <c r="T81" t="s">
        <v>60</v>
      </c>
      <c r="U81" t="s">
        <v>62</v>
      </c>
      <c r="V81" t="s">
        <v>62</v>
      </c>
      <c r="W81" t="s">
        <v>62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2</v>
      </c>
      <c r="AM81">
        <v>1</v>
      </c>
      <c r="AN81">
        <v>2</v>
      </c>
      <c r="AO81">
        <v>0</v>
      </c>
      <c r="AP81">
        <v>6</v>
      </c>
      <c r="AQ81">
        <v>1</v>
      </c>
      <c r="AR81" t="s">
        <v>64</v>
      </c>
      <c r="AS81" t="s">
        <v>1446</v>
      </c>
      <c r="AT81">
        <v>0</v>
      </c>
      <c r="AU81" t="s">
        <v>65</v>
      </c>
      <c r="AV81">
        <v>8</v>
      </c>
      <c r="AW81">
        <v>1</v>
      </c>
      <c r="AX81" t="s">
        <v>1447</v>
      </c>
      <c r="AY81" t="s">
        <v>1448</v>
      </c>
      <c r="AZ81" t="s">
        <v>1449</v>
      </c>
      <c r="BA81">
        <v>3.9379999999999998E-2</v>
      </c>
      <c r="BB81">
        <v>1</v>
      </c>
      <c r="BC81" t="s">
        <v>69</v>
      </c>
      <c r="BD81">
        <v>1.119</v>
      </c>
      <c r="BE81">
        <v>1.119</v>
      </c>
    </row>
    <row r="82" spans="1:57">
      <c r="A82">
        <v>0</v>
      </c>
      <c r="B82">
        <v>0</v>
      </c>
      <c r="C82">
        <v>0</v>
      </c>
      <c r="D82">
        <v>2963</v>
      </c>
      <c r="E82" t="s">
        <v>3935</v>
      </c>
      <c r="F82" t="s">
        <v>5761</v>
      </c>
      <c r="G82" t="s">
        <v>57</v>
      </c>
      <c r="H82">
        <v>2909030</v>
      </c>
      <c r="I82">
        <v>2909473</v>
      </c>
      <c r="J82" t="s">
        <v>118</v>
      </c>
      <c r="K82">
        <v>148</v>
      </c>
      <c r="L82" t="s">
        <v>59</v>
      </c>
      <c r="M82">
        <v>5</v>
      </c>
      <c r="N82" t="str">
        <f>HYPERLINK("Gene2963-zp_tree_all.dnd", "Gene2963-tree")</f>
        <v>Gene2963-tree</v>
      </c>
      <c r="O82">
        <v>4</v>
      </c>
      <c r="P82">
        <v>1</v>
      </c>
      <c r="Q82">
        <v>4</v>
      </c>
      <c r="R82">
        <v>1</v>
      </c>
      <c r="S82">
        <v>0.2</v>
      </c>
      <c r="T82" t="s">
        <v>60</v>
      </c>
      <c r="U82" t="s">
        <v>61</v>
      </c>
      <c r="V82" t="s">
        <v>62</v>
      </c>
      <c r="W82" t="s">
        <v>62</v>
      </c>
      <c r="X82">
        <v>0</v>
      </c>
      <c r="Y82">
        <v>0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4</v>
      </c>
      <c r="AM82">
        <v>2</v>
      </c>
      <c r="AN82">
        <v>8</v>
      </c>
      <c r="AO82">
        <v>1</v>
      </c>
      <c r="AP82">
        <v>6</v>
      </c>
      <c r="AQ82">
        <v>0</v>
      </c>
      <c r="AR82" t="s">
        <v>3936</v>
      </c>
      <c r="AS82" t="s">
        <v>64</v>
      </c>
      <c r="AT82">
        <v>0.59</v>
      </c>
      <c r="AU82" t="s">
        <v>65</v>
      </c>
      <c r="AV82">
        <v>14</v>
      </c>
      <c r="AW82">
        <v>1</v>
      </c>
      <c r="AX82" t="s">
        <v>3937</v>
      </c>
      <c r="AY82" t="s">
        <v>3938</v>
      </c>
      <c r="AZ82" t="s">
        <v>3939</v>
      </c>
      <c r="BA82">
        <v>1.431E-2</v>
      </c>
      <c r="BB82">
        <v>1</v>
      </c>
      <c r="BC82" t="s">
        <v>69</v>
      </c>
      <c r="BD82">
        <v>0</v>
      </c>
      <c r="BE82">
        <v>0</v>
      </c>
    </row>
    <row r="83" spans="1:57">
      <c r="A83">
        <v>0</v>
      </c>
      <c r="B83">
        <v>0</v>
      </c>
      <c r="C83">
        <v>0</v>
      </c>
      <c r="D83">
        <v>4075</v>
      </c>
      <c r="E83" t="s">
        <v>5473</v>
      </c>
      <c r="F83" t="s">
        <v>5761</v>
      </c>
      <c r="G83" t="s">
        <v>57</v>
      </c>
      <c r="H83">
        <v>4041492</v>
      </c>
      <c r="I83">
        <v>4041935</v>
      </c>
      <c r="J83" t="s">
        <v>5355</v>
      </c>
      <c r="K83">
        <v>148</v>
      </c>
      <c r="L83" t="s">
        <v>83</v>
      </c>
      <c r="M83">
        <v>4</v>
      </c>
      <c r="N83" t="str">
        <f>HYPERLINK("Gene4075-zp_tree_all.dnd", "Gene4075-tree")</f>
        <v>Gene4075-tree</v>
      </c>
      <c r="O83">
        <v>4</v>
      </c>
      <c r="P83">
        <v>0</v>
      </c>
      <c r="Q83">
        <v>4</v>
      </c>
      <c r="R83">
        <v>0</v>
      </c>
      <c r="S83">
        <v>0</v>
      </c>
      <c r="T83" t="s">
        <v>60</v>
      </c>
      <c r="U83" t="s">
        <v>62</v>
      </c>
      <c r="V83" t="s">
        <v>62</v>
      </c>
      <c r="W83" t="s">
        <v>62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4</v>
      </c>
      <c r="AM83">
        <v>1</v>
      </c>
      <c r="AN83">
        <v>22</v>
      </c>
      <c r="AO83">
        <v>0</v>
      </c>
      <c r="AP83">
        <v>4</v>
      </c>
      <c r="AQ83">
        <v>0</v>
      </c>
      <c r="AR83" t="s">
        <v>64</v>
      </c>
      <c r="AS83" t="s">
        <v>64</v>
      </c>
      <c r="AT83">
        <v>0</v>
      </c>
      <c r="AU83" t="s">
        <v>65</v>
      </c>
      <c r="AV83">
        <v>26</v>
      </c>
      <c r="AW83">
        <v>0</v>
      </c>
      <c r="AX83" t="s">
        <v>5474</v>
      </c>
      <c r="AY83" t="s">
        <v>5475</v>
      </c>
      <c r="AZ83" t="s">
        <v>64</v>
      </c>
      <c r="BA83">
        <v>0</v>
      </c>
      <c r="BB83">
        <v>1</v>
      </c>
      <c r="BC83" t="s">
        <v>69</v>
      </c>
      <c r="BD83">
        <v>-0.22900000000000001</v>
      </c>
      <c r="BE83">
        <v>-0.22900000000000001</v>
      </c>
    </row>
    <row r="84" spans="1:57">
      <c r="A84">
        <v>0</v>
      </c>
      <c r="B84">
        <v>0</v>
      </c>
      <c r="C84">
        <v>0</v>
      </c>
      <c r="D84">
        <v>3422</v>
      </c>
      <c r="E84" t="s">
        <v>4701</v>
      </c>
      <c r="F84" t="s">
        <v>5761</v>
      </c>
      <c r="G84" t="s">
        <v>57</v>
      </c>
      <c r="H84">
        <v>3383565</v>
      </c>
      <c r="I84">
        <v>3384023</v>
      </c>
      <c r="J84" t="s">
        <v>4702</v>
      </c>
      <c r="K84">
        <v>153</v>
      </c>
      <c r="L84" t="s">
        <v>59</v>
      </c>
      <c r="M84">
        <v>5</v>
      </c>
      <c r="N84" t="str">
        <f>HYPERLINK("Gene3422-zp_tree_all.dnd", "Gene3422-tree")</f>
        <v>Gene3422-tree</v>
      </c>
      <c r="O84">
        <v>3</v>
      </c>
      <c r="P84">
        <v>2</v>
      </c>
      <c r="Q84">
        <v>3</v>
      </c>
      <c r="R84">
        <v>2</v>
      </c>
      <c r="S84">
        <v>0.4</v>
      </c>
      <c r="T84" t="s">
        <v>84</v>
      </c>
      <c r="U84" t="s">
        <v>135</v>
      </c>
      <c r="V84" t="s">
        <v>62</v>
      </c>
      <c r="W84" t="s">
        <v>62</v>
      </c>
      <c r="X84">
        <v>0</v>
      </c>
      <c r="Y84">
        <v>0</v>
      </c>
      <c r="Z84">
        <v>7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3</v>
      </c>
      <c r="AK84">
        <v>0</v>
      </c>
      <c r="AL84">
        <v>5</v>
      </c>
      <c r="AM84">
        <v>2</v>
      </c>
      <c r="AN84">
        <v>10</v>
      </c>
      <c r="AO84">
        <v>3</v>
      </c>
      <c r="AP84">
        <v>11</v>
      </c>
      <c r="AQ84">
        <v>4</v>
      </c>
      <c r="AR84" t="s">
        <v>4703</v>
      </c>
      <c r="AS84" t="s">
        <v>4704</v>
      </c>
      <c r="AT84">
        <v>0.104</v>
      </c>
      <c r="AU84" t="s">
        <v>65</v>
      </c>
      <c r="AV84">
        <v>21</v>
      </c>
      <c r="AW84">
        <v>7</v>
      </c>
      <c r="AX84" t="s">
        <v>4705</v>
      </c>
      <c r="AY84" t="s">
        <v>4706</v>
      </c>
      <c r="AZ84" t="s">
        <v>4707</v>
      </c>
      <c r="BA84">
        <v>9.2189999999999994E-2</v>
      </c>
      <c r="BB84">
        <v>1</v>
      </c>
      <c r="BC84" t="s">
        <v>69</v>
      </c>
      <c r="BD84">
        <v>0.99199999999999999</v>
      </c>
      <c r="BE84">
        <v>0.74399999999999999</v>
      </c>
    </row>
    <row r="85" spans="1:57">
      <c r="A85">
        <v>0</v>
      </c>
      <c r="B85">
        <v>0</v>
      </c>
      <c r="C85">
        <v>2</v>
      </c>
      <c r="D85">
        <v>1285</v>
      </c>
      <c r="E85" t="s">
        <v>1757</v>
      </c>
      <c r="F85" t="s">
        <v>5761</v>
      </c>
      <c r="G85" t="s">
        <v>62</v>
      </c>
      <c r="H85">
        <v>1313843</v>
      </c>
      <c r="I85">
        <v>1314304</v>
      </c>
      <c r="J85" t="s">
        <v>1758</v>
      </c>
      <c r="K85">
        <v>154</v>
      </c>
      <c r="L85" t="s">
        <v>59</v>
      </c>
      <c r="M85">
        <v>5</v>
      </c>
      <c r="N85" t="str">
        <f>HYPERLINK("Gene1285-zp_tree_all.dnd", "Gene1285-tree")</f>
        <v>Gene1285-tree</v>
      </c>
      <c r="O85">
        <v>3</v>
      </c>
      <c r="P85">
        <v>2</v>
      </c>
      <c r="Q85">
        <v>3</v>
      </c>
      <c r="R85">
        <v>2</v>
      </c>
      <c r="S85">
        <v>0.4</v>
      </c>
      <c r="T85" t="s">
        <v>84</v>
      </c>
      <c r="U85" t="s">
        <v>135</v>
      </c>
      <c r="V85" t="s">
        <v>62</v>
      </c>
      <c r="W85" t="s">
        <v>62</v>
      </c>
      <c r="X85">
        <v>1</v>
      </c>
      <c r="Y85">
        <v>2</v>
      </c>
      <c r="Z85">
        <v>7</v>
      </c>
      <c r="AA85">
        <v>0.22222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2</v>
      </c>
      <c r="AI85">
        <v>2</v>
      </c>
      <c r="AJ85">
        <v>3</v>
      </c>
      <c r="AK85">
        <v>0.4</v>
      </c>
      <c r="AL85">
        <v>4</v>
      </c>
      <c r="AM85">
        <v>2</v>
      </c>
      <c r="AN85">
        <v>12</v>
      </c>
      <c r="AO85">
        <v>5</v>
      </c>
      <c r="AP85">
        <v>10</v>
      </c>
      <c r="AQ85">
        <v>4</v>
      </c>
      <c r="AR85" t="s">
        <v>1759</v>
      </c>
      <c r="AS85" t="s">
        <v>1760</v>
      </c>
      <c r="AT85">
        <v>0.05</v>
      </c>
      <c r="AU85" t="s">
        <v>65</v>
      </c>
      <c r="AV85">
        <v>22</v>
      </c>
      <c r="AW85">
        <v>9</v>
      </c>
      <c r="AX85" t="s">
        <v>1761</v>
      </c>
      <c r="AY85" t="s">
        <v>1762</v>
      </c>
      <c r="AZ85" t="s">
        <v>1763</v>
      </c>
      <c r="BA85">
        <v>0.11404</v>
      </c>
      <c r="BB85">
        <v>1</v>
      </c>
      <c r="BC85" t="s">
        <v>69</v>
      </c>
      <c r="BD85">
        <v>0.39200000000000002</v>
      </c>
      <c r="BE85">
        <v>-0.20799999999999999</v>
      </c>
    </row>
    <row r="86" spans="1:57">
      <c r="A86">
        <v>0</v>
      </c>
      <c r="B86">
        <v>0</v>
      </c>
      <c r="C86">
        <v>0</v>
      </c>
      <c r="D86">
        <v>1458</v>
      </c>
      <c r="E86" t="s">
        <v>1929</v>
      </c>
      <c r="F86" t="s">
        <v>5761</v>
      </c>
      <c r="G86" t="s">
        <v>62</v>
      </c>
      <c r="H86">
        <v>1474563</v>
      </c>
      <c r="I86">
        <v>1475024</v>
      </c>
      <c r="J86" t="s">
        <v>1930</v>
      </c>
      <c r="K86">
        <v>154</v>
      </c>
      <c r="L86" t="s">
        <v>59</v>
      </c>
      <c r="M86">
        <v>5</v>
      </c>
      <c r="N86" t="str">
        <f>HYPERLINK("Gene1458-zp_tree_all.dnd", "Gene1458-tree")</f>
        <v>Gene1458-tree</v>
      </c>
      <c r="O86">
        <v>4</v>
      </c>
      <c r="P86">
        <v>1</v>
      </c>
      <c r="Q86">
        <v>4</v>
      </c>
      <c r="R86">
        <v>1</v>
      </c>
      <c r="S86">
        <v>0.2</v>
      </c>
      <c r="T86" t="s">
        <v>60</v>
      </c>
      <c r="U86" t="s">
        <v>61</v>
      </c>
      <c r="V86" t="s">
        <v>62</v>
      </c>
      <c r="W86" t="s">
        <v>62</v>
      </c>
      <c r="X86">
        <v>0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3</v>
      </c>
      <c r="AM86">
        <v>2</v>
      </c>
      <c r="AN86">
        <v>7</v>
      </c>
      <c r="AO86">
        <v>1</v>
      </c>
      <c r="AP86">
        <v>7</v>
      </c>
      <c r="AQ86">
        <v>0</v>
      </c>
      <c r="AR86" t="s">
        <v>1931</v>
      </c>
      <c r="AS86" t="s">
        <v>64</v>
      </c>
      <c r="AT86">
        <v>0.64800000000000002</v>
      </c>
      <c r="AU86" t="s">
        <v>65</v>
      </c>
      <c r="AV86">
        <v>14</v>
      </c>
      <c r="AW86">
        <v>1</v>
      </c>
      <c r="AX86" t="s">
        <v>1932</v>
      </c>
      <c r="AY86" t="s">
        <v>1933</v>
      </c>
      <c r="AZ86" t="s">
        <v>1934</v>
      </c>
      <c r="BA86">
        <v>1.5730000000000001E-2</v>
      </c>
      <c r="BB86">
        <v>1</v>
      </c>
      <c r="BC86" t="s">
        <v>69</v>
      </c>
      <c r="BD86">
        <v>0.20300000000000001</v>
      </c>
      <c r="BE86">
        <v>0.20300000000000001</v>
      </c>
    </row>
    <row r="87" spans="1:57">
      <c r="A87">
        <v>0</v>
      </c>
      <c r="B87">
        <v>0</v>
      </c>
      <c r="C87">
        <v>0</v>
      </c>
      <c r="D87">
        <v>1254</v>
      </c>
      <c r="E87" t="s">
        <v>1713</v>
      </c>
      <c r="F87" t="s">
        <v>5761</v>
      </c>
      <c r="G87" t="s">
        <v>62</v>
      </c>
      <c r="H87">
        <v>1282574</v>
      </c>
      <c r="I87">
        <v>1283044</v>
      </c>
      <c r="J87" t="s">
        <v>170</v>
      </c>
      <c r="K87">
        <v>157</v>
      </c>
      <c r="L87" t="s">
        <v>83</v>
      </c>
      <c r="M87">
        <v>4</v>
      </c>
      <c r="N87" t="str">
        <f>HYPERLINK("Gene1254-zp_tree_all.dnd", "Gene1254-tree")</f>
        <v>Gene1254-tree</v>
      </c>
      <c r="O87">
        <v>2</v>
      </c>
      <c r="P87">
        <v>2</v>
      </c>
      <c r="Q87">
        <v>2</v>
      </c>
      <c r="R87">
        <v>2</v>
      </c>
      <c r="S87">
        <v>0.5</v>
      </c>
      <c r="T87" t="s">
        <v>135</v>
      </c>
      <c r="U87" t="s">
        <v>135</v>
      </c>
      <c r="V87" t="s">
        <v>62</v>
      </c>
      <c r="W87" t="s">
        <v>62</v>
      </c>
      <c r="X87">
        <v>0</v>
      </c>
      <c r="Y87">
        <v>0</v>
      </c>
      <c r="Z87">
        <v>8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8</v>
      </c>
      <c r="AK87">
        <v>0</v>
      </c>
      <c r="AL87">
        <v>4</v>
      </c>
      <c r="AM87">
        <v>1</v>
      </c>
      <c r="AN87">
        <v>17</v>
      </c>
      <c r="AO87">
        <v>6</v>
      </c>
      <c r="AP87">
        <v>1</v>
      </c>
      <c r="AQ87">
        <v>2</v>
      </c>
      <c r="AR87" t="s">
        <v>1714</v>
      </c>
      <c r="AS87" t="s">
        <v>1715</v>
      </c>
      <c r="AT87">
        <v>6.5359999999999996</v>
      </c>
      <c r="AU87" t="s">
        <v>65</v>
      </c>
      <c r="AV87">
        <v>18</v>
      </c>
      <c r="AW87">
        <v>8</v>
      </c>
      <c r="AX87" t="s">
        <v>1716</v>
      </c>
      <c r="AY87" t="s">
        <v>1717</v>
      </c>
      <c r="AZ87" t="s">
        <v>1718</v>
      </c>
      <c r="BA87">
        <v>0.14599999999999999</v>
      </c>
      <c r="BB87">
        <v>1</v>
      </c>
      <c r="BC87" t="s">
        <v>69</v>
      </c>
      <c r="BD87">
        <v>-0.35499999999999998</v>
      </c>
      <c r="BE87">
        <v>-0.35499999999999998</v>
      </c>
    </row>
    <row r="88" spans="1:57">
      <c r="A88">
        <v>0</v>
      </c>
      <c r="B88">
        <v>0</v>
      </c>
      <c r="C88">
        <v>2</v>
      </c>
      <c r="D88">
        <v>3468</v>
      </c>
      <c r="E88" t="s">
        <v>4743</v>
      </c>
      <c r="F88" t="s">
        <v>5761</v>
      </c>
      <c r="G88" t="s">
        <v>57</v>
      </c>
      <c r="H88">
        <v>3427802</v>
      </c>
      <c r="I88">
        <v>3428284</v>
      </c>
      <c r="J88" t="s">
        <v>4744</v>
      </c>
      <c r="K88">
        <v>161</v>
      </c>
      <c r="L88" t="s">
        <v>83</v>
      </c>
      <c r="M88">
        <v>4</v>
      </c>
      <c r="N88" t="str">
        <f>HYPERLINK("Gene3468-zp_tree_all.dnd", "Gene3468-tree")</f>
        <v>Gene3468-tree</v>
      </c>
      <c r="O88">
        <v>2</v>
      </c>
      <c r="P88">
        <v>2</v>
      </c>
      <c r="Q88">
        <v>2</v>
      </c>
      <c r="R88">
        <v>2</v>
      </c>
      <c r="S88">
        <v>0.5</v>
      </c>
      <c r="T88" t="s">
        <v>135</v>
      </c>
      <c r="U88" t="s">
        <v>135</v>
      </c>
      <c r="V88" t="s">
        <v>62</v>
      </c>
      <c r="W88" t="s">
        <v>62</v>
      </c>
      <c r="X88">
        <v>1</v>
      </c>
      <c r="Y88">
        <v>2</v>
      </c>
      <c r="Z88">
        <v>5</v>
      </c>
      <c r="AA88">
        <v>0.28571000000000002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6</v>
      </c>
      <c r="AK88">
        <v>0</v>
      </c>
      <c r="AL88">
        <v>3</v>
      </c>
      <c r="AM88">
        <v>1</v>
      </c>
      <c r="AN88">
        <v>18</v>
      </c>
      <c r="AO88">
        <v>6</v>
      </c>
      <c r="AP88">
        <v>2</v>
      </c>
      <c r="AQ88">
        <v>1</v>
      </c>
      <c r="AR88" t="s">
        <v>4745</v>
      </c>
      <c r="AS88" t="s">
        <v>4746</v>
      </c>
      <c r="AT88">
        <v>0.622</v>
      </c>
      <c r="AU88" t="s">
        <v>65</v>
      </c>
      <c r="AV88">
        <v>20</v>
      </c>
      <c r="AW88">
        <v>7</v>
      </c>
      <c r="AX88" t="s">
        <v>4747</v>
      </c>
      <c r="AY88" t="s">
        <v>4748</v>
      </c>
      <c r="AZ88" t="s">
        <v>4749</v>
      </c>
      <c r="BA88">
        <v>8.6669999999999997E-2</v>
      </c>
      <c r="BB88">
        <v>1</v>
      </c>
      <c r="BC88" t="s">
        <v>69</v>
      </c>
      <c r="BD88">
        <v>-0.51</v>
      </c>
      <c r="BE88">
        <v>-0.51</v>
      </c>
    </row>
    <row r="89" spans="1:57">
      <c r="A89">
        <v>0</v>
      </c>
      <c r="B89">
        <v>0</v>
      </c>
      <c r="C89">
        <v>0</v>
      </c>
      <c r="D89">
        <v>3219</v>
      </c>
      <c r="E89" t="s">
        <v>4368</v>
      </c>
      <c r="F89" t="s">
        <v>5761</v>
      </c>
      <c r="G89" t="s">
        <v>57</v>
      </c>
      <c r="H89">
        <v>3182707</v>
      </c>
      <c r="I89">
        <v>3183192</v>
      </c>
      <c r="J89" t="s">
        <v>118</v>
      </c>
      <c r="K89">
        <v>162</v>
      </c>
      <c r="L89" t="s">
        <v>83</v>
      </c>
      <c r="M89">
        <v>4</v>
      </c>
      <c r="N89" t="str">
        <f>HYPERLINK("Gene3219-zp_tree_all.dnd", "Gene3219-tree")</f>
        <v>Gene3219-tree</v>
      </c>
      <c r="O89">
        <v>2</v>
      </c>
      <c r="P89">
        <v>2</v>
      </c>
      <c r="Q89">
        <v>2</v>
      </c>
      <c r="R89">
        <v>2</v>
      </c>
      <c r="S89">
        <v>0.5</v>
      </c>
      <c r="T89" t="s">
        <v>135</v>
      </c>
      <c r="U89" t="s">
        <v>135</v>
      </c>
      <c r="V89" t="s">
        <v>62</v>
      </c>
      <c r="W89" t="s">
        <v>62</v>
      </c>
      <c r="X89">
        <v>0</v>
      </c>
      <c r="Y89">
        <v>0</v>
      </c>
      <c r="Z89">
        <v>8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8</v>
      </c>
      <c r="AK89">
        <v>0</v>
      </c>
      <c r="AL89">
        <v>4</v>
      </c>
      <c r="AM89">
        <v>0</v>
      </c>
      <c r="AN89">
        <v>18</v>
      </c>
      <c r="AO89">
        <v>8</v>
      </c>
      <c r="AP89">
        <v>0</v>
      </c>
      <c r="AQ89">
        <v>0</v>
      </c>
      <c r="AR89" t="s">
        <v>4369</v>
      </c>
      <c r="AS89" t="s">
        <v>64</v>
      </c>
      <c r="AT89">
        <v>0.495</v>
      </c>
      <c r="AU89" t="s">
        <v>65</v>
      </c>
      <c r="AV89">
        <v>18</v>
      </c>
      <c r="AW89">
        <v>8</v>
      </c>
      <c r="AX89" t="s">
        <v>4370</v>
      </c>
      <c r="AY89" t="s">
        <v>4371</v>
      </c>
      <c r="AZ89" t="s">
        <v>4372</v>
      </c>
      <c r="BA89">
        <v>9.8199999999999996E-2</v>
      </c>
      <c r="BB89">
        <v>1</v>
      </c>
      <c r="BC89" t="s">
        <v>69</v>
      </c>
      <c r="BD89">
        <v>-0.85899999999999999</v>
      </c>
      <c r="BE89">
        <v>-0.85899999999999999</v>
      </c>
    </row>
    <row r="90" spans="1:57">
      <c r="A90">
        <v>0</v>
      </c>
      <c r="B90">
        <v>0</v>
      </c>
      <c r="C90">
        <v>0</v>
      </c>
      <c r="D90">
        <v>987</v>
      </c>
      <c r="E90" t="s">
        <v>1427</v>
      </c>
      <c r="F90" t="s">
        <v>5761</v>
      </c>
      <c r="G90" t="s">
        <v>62</v>
      </c>
      <c r="H90">
        <v>1029580</v>
      </c>
      <c r="I90">
        <v>1030068</v>
      </c>
      <c r="J90" t="s">
        <v>1428</v>
      </c>
      <c r="K90">
        <v>163</v>
      </c>
      <c r="L90" t="s">
        <v>59</v>
      </c>
      <c r="M90">
        <v>5</v>
      </c>
      <c r="N90" t="str">
        <f>HYPERLINK("Gene987-zp_tree_all.dnd", "Gene987-tree")</f>
        <v>Gene987-tree</v>
      </c>
      <c r="O90">
        <v>5</v>
      </c>
      <c r="P90">
        <v>0</v>
      </c>
      <c r="Q90">
        <v>4</v>
      </c>
      <c r="R90">
        <v>0</v>
      </c>
      <c r="S90">
        <v>0</v>
      </c>
      <c r="T90" t="s">
        <v>150</v>
      </c>
      <c r="U90" t="s">
        <v>62</v>
      </c>
      <c r="V90" t="s">
        <v>62</v>
      </c>
      <c r="W90" t="s">
        <v>62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4</v>
      </c>
      <c r="AM90">
        <v>1</v>
      </c>
      <c r="AN90">
        <v>6</v>
      </c>
      <c r="AO90">
        <v>0</v>
      </c>
      <c r="AP90">
        <v>7</v>
      </c>
      <c r="AQ90">
        <v>0</v>
      </c>
      <c r="AR90" t="s">
        <v>64</v>
      </c>
      <c r="AS90" t="s">
        <v>64</v>
      </c>
      <c r="AT90">
        <v>0</v>
      </c>
      <c r="AU90" t="s">
        <v>65</v>
      </c>
      <c r="AV90">
        <v>13</v>
      </c>
      <c r="AW90">
        <v>0</v>
      </c>
      <c r="AX90" t="s">
        <v>1429</v>
      </c>
      <c r="AY90" t="s">
        <v>1430</v>
      </c>
      <c r="AZ90" t="s">
        <v>64</v>
      </c>
      <c r="BA90">
        <v>0</v>
      </c>
      <c r="BB90">
        <v>1</v>
      </c>
      <c r="BC90" t="s">
        <v>69</v>
      </c>
      <c r="BD90">
        <v>0.65200000000000002</v>
      </c>
      <c r="BE90">
        <v>0.65200000000000002</v>
      </c>
    </row>
    <row r="91" spans="1:57">
      <c r="A91">
        <v>0</v>
      </c>
      <c r="B91">
        <v>2</v>
      </c>
      <c r="C91">
        <v>0</v>
      </c>
      <c r="D91">
        <v>585</v>
      </c>
      <c r="E91" t="s">
        <v>1013</v>
      </c>
      <c r="F91" t="s">
        <v>5761</v>
      </c>
      <c r="G91" t="s">
        <v>62</v>
      </c>
      <c r="H91">
        <v>612839</v>
      </c>
      <c r="I91">
        <v>613330</v>
      </c>
      <c r="J91" t="s">
        <v>1014</v>
      </c>
      <c r="K91">
        <v>164</v>
      </c>
      <c r="L91" t="s">
        <v>59</v>
      </c>
      <c r="M91">
        <v>5</v>
      </c>
      <c r="N91" t="str">
        <f>HYPERLINK("Gene585-zp_tree_all.dnd", "Gene585-tree")</f>
        <v>Gene585-tree</v>
      </c>
      <c r="O91">
        <v>0</v>
      </c>
      <c r="P91">
        <v>5</v>
      </c>
      <c r="Q91">
        <v>0</v>
      </c>
      <c r="R91">
        <v>5</v>
      </c>
      <c r="S91">
        <v>1</v>
      </c>
      <c r="T91" t="s">
        <v>62</v>
      </c>
      <c r="U91" t="s">
        <v>98</v>
      </c>
      <c r="V91" t="s">
        <v>62</v>
      </c>
      <c r="W91" t="s">
        <v>62</v>
      </c>
      <c r="X91">
        <v>1</v>
      </c>
      <c r="Y91">
        <v>2</v>
      </c>
      <c r="Z91">
        <v>11</v>
      </c>
      <c r="AA91">
        <v>0.15384999999999999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10</v>
      </c>
      <c r="AK91">
        <v>0</v>
      </c>
      <c r="AL91">
        <v>5</v>
      </c>
      <c r="AM91">
        <v>2</v>
      </c>
      <c r="AN91">
        <v>11</v>
      </c>
      <c r="AO91">
        <v>10</v>
      </c>
      <c r="AP91">
        <v>11</v>
      </c>
      <c r="AQ91">
        <v>3</v>
      </c>
      <c r="AR91" t="s">
        <v>1015</v>
      </c>
      <c r="AS91" t="s">
        <v>1016</v>
      </c>
      <c r="AT91">
        <v>1.0329999999999999</v>
      </c>
      <c r="AU91" t="s">
        <v>65</v>
      </c>
      <c r="AV91">
        <v>22</v>
      </c>
      <c r="AW91">
        <v>13</v>
      </c>
      <c r="AX91" t="s">
        <v>1017</v>
      </c>
      <c r="AY91" t="s">
        <v>1018</v>
      </c>
      <c r="AZ91" t="s">
        <v>1019</v>
      </c>
      <c r="BA91">
        <v>0.13281999999999999</v>
      </c>
      <c r="BB91">
        <v>1</v>
      </c>
      <c r="BC91" t="s">
        <v>69</v>
      </c>
      <c r="BD91">
        <v>0.123</v>
      </c>
      <c r="BE91">
        <v>-0.114</v>
      </c>
    </row>
    <row r="92" spans="1:57">
      <c r="A92">
        <v>0</v>
      </c>
      <c r="B92">
        <v>0</v>
      </c>
      <c r="C92">
        <v>0</v>
      </c>
      <c r="D92">
        <v>1460</v>
      </c>
      <c r="E92" t="s">
        <v>1935</v>
      </c>
      <c r="F92" t="s">
        <v>5761</v>
      </c>
      <c r="G92" t="s">
        <v>62</v>
      </c>
      <c r="H92">
        <v>1476521</v>
      </c>
      <c r="I92">
        <v>1477012</v>
      </c>
      <c r="J92" t="s">
        <v>1936</v>
      </c>
      <c r="K92">
        <v>164</v>
      </c>
      <c r="L92" t="s">
        <v>83</v>
      </c>
      <c r="M92">
        <v>4</v>
      </c>
      <c r="N92" t="str">
        <f>HYPERLINK("Gene1460-zp_tree_all.dnd", "Gene1460-tree")</f>
        <v>Gene1460-tree</v>
      </c>
      <c r="O92">
        <v>2</v>
      </c>
      <c r="P92">
        <v>2</v>
      </c>
      <c r="Q92">
        <v>2</v>
      </c>
      <c r="R92">
        <v>2</v>
      </c>
      <c r="S92">
        <v>0.5</v>
      </c>
      <c r="T92" t="s">
        <v>135</v>
      </c>
      <c r="U92" t="s">
        <v>135</v>
      </c>
      <c r="V92" t="s">
        <v>62</v>
      </c>
      <c r="W92" t="s">
        <v>62</v>
      </c>
      <c r="X92">
        <v>0</v>
      </c>
      <c r="Y92">
        <v>0</v>
      </c>
      <c r="Z92">
        <v>4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4</v>
      </c>
      <c r="AK92">
        <v>0</v>
      </c>
      <c r="AL92">
        <v>4</v>
      </c>
      <c r="AM92">
        <v>1</v>
      </c>
      <c r="AN92">
        <v>19</v>
      </c>
      <c r="AO92">
        <v>4</v>
      </c>
      <c r="AP92">
        <v>1</v>
      </c>
      <c r="AQ92">
        <v>0</v>
      </c>
      <c r="AR92" t="s">
        <v>1937</v>
      </c>
      <c r="AS92" t="s">
        <v>64</v>
      </c>
      <c r="AT92">
        <v>0.63800000000000001</v>
      </c>
      <c r="AU92" t="s">
        <v>65</v>
      </c>
      <c r="AV92">
        <v>20</v>
      </c>
      <c r="AW92">
        <v>4</v>
      </c>
      <c r="AX92" t="s">
        <v>1938</v>
      </c>
      <c r="AY92" t="s">
        <v>1939</v>
      </c>
      <c r="AZ92" t="s">
        <v>1940</v>
      </c>
      <c r="BA92">
        <v>6.5079999999999999E-2</v>
      </c>
      <c r="BB92">
        <v>1</v>
      </c>
      <c r="BC92" t="s">
        <v>69</v>
      </c>
      <c r="BD92">
        <v>-0.58399999999999996</v>
      </c>
      <c r="BE92">
        <v>-0.58399999999999996</v>
      </c>
    </row>
    <row r="93" spans="1:57">
      <c r="A93">
        <v>0</v>
      </c>
      <c r="B93">
        <v>0</v>
      </c>
      <c r="C93">
        <v>2</v>
      </c>
      <c r="D93">
        <v>2824</v>
      </c>
      <c r="E93" t="s">
        <v>3631</v>
      </c>
      <c r="F93" t="s">
        <v>5761</v>
      </c>
      <c r="G93" t="s">
        <v>57</v>
      </c>
      <c r="H93">
        <v>2769850</v>
      </c>
      <c r="I93">
        <v>2770347</v>
      </c>
      <c r="J93" t="s">
        <v>3632</v>
      </c>
      <c r="K93">
        <v>166</v>
      </c>
      <c r="L93" t="s">
        <v>3633</v>
      </c>
      <c r="M93">
        <v>4</v>
      </c>
      <c r="N93" t="str">
        <f>HYPERLINK("Gene2824-zp_tree_all.dnd", "Gene2824-tree")</f>
        <v>Gene2824-tree</v>
      </c>
      <c r="O93">
        <v>2</v>
      </c>
      <c r="P93">
        <v>2</v>
      </c>
      <c r="Q93">
        <v>2</v>
      </c>
      <c r="R93">
        <v>2</v>
      </c>
      <c r="S93">
        <v>0.5</v>
      </c>
      <c r="T93" t="s">
        <v>135</v>
      </c>
      <c r="U93" t="s">
        <v>135</v>
      </c>
      <c r="V93" t="s">
        <v>62</v>
      </c>
      <c r="W93" t="s">
        <v>62</v>
      </c>
      <c r="X93">
        <v>1</v>
      </c>
      <c r="Y93">
        <v>2</v>
      </c>
      <c r="Z93">
        <v>4</v>
      </c>
      <c r="AA93">
        <v>0.33333000000000002</v>
      </c>
      <c r="AB93">
        <v>0</v>
      </c>
      <c r="AC93">
        <v>0</v>
      </c>
      <c r="AD93">
        <v>0</v>
      </c>
      <c r="AE93">
        <v>2</v>
      </c>
      <c r="AF93">
        <v>0</v>
      </c>
      <c r="AG93">
        <v>0</v>
      </c>
      <c r="AH93">
        <v>2</v>
      </c>
      <c r="AI93">
        <v>2</v>
      </c>
      <c r="AJ93">
        <v>2</v>
      </c>
      <c r="AK93">
        <v>0.5</v>
      </c>
      <c r="AL93">
        <v>4</v>
      </c>
      <c r="AM93">
        <v>1</v>
      </c>
      <c r="AN93">
        <v>6</v>
      </c>
      <c r="AO93">
        <v>4</v>
      </c>
      <c r="AP93">
        <v>8</v>
      </c>
      <c r="AQ93">
        <v>2</v>
      </c>
      <c r="AR93" t="s">
        <v>3634</v>
      </c>
      <c r="AS93" t="s">
        <v>3635</v>
      </c>
      <c r="AT93">
        <v>1.151</v>
      </c>
      <c r="AU93" t="s">
        <v>65</v>
      </c>
      <c r="AV93">
        <v>14</v>
      </c>
      <c r="AW93">
        <v>6</v>
      </c>
      <c r="AX93" t="s">
        <v>3636</v>
      </c>
      <c r="AY93" t="s">
        <v>3637</v>
      </c>
      <c r="AZ93" t="s">
        <v>3638</v>
      </c>
      <c r="BA93">
        <v>9.3640000000000001E-2</v>
      </c>
      <c r="BB93">
        <v>1</v>
      </c>
      <c r="BC93" t="s">
        <v>69</v>
      </c>
      <c r="BD93">
        <v>1.123</v>
      </c>
      <c r="BE93">
        <v>0.629</v>
      </c>
    </row>
    <row r="94" spans="1:57">
      <c r="A94">
        <v>0</v>
      </c>
      <c r="B94">
        <v>0</v>
      </c>
      <c r="C94">
        <v>2</v>
      </c>
      <c r="D94">
        <v>3346</v>
      </c>
      <c r="E94" t="s">
        <v>4568</v>
      </c>
      <c r="F94" t="s">
        <v>5761</v>
      </c>
      <c r="G94" t="s">
        <v>57</v>
      </c>
      <c r="H94">
        <v>3317502</v>
      </c>
      <c r="I94">
        <v>3317999</v>
      </c>
      <c r="J94" t="s">
        <v>4569</v>
      </c>
      <c r="K94">
        <v>166</v>
      </c>
      <c r="L94" t="s">
        <v>59</v>
      </c>
      <c r="M94">
        <v>5</v>
      </c>
      <c r="N94" t="str">
        <f>HYPERLINK("Gene3346-zp_tree_all.dnd", "Gene3346-tree")</f>
        <v>Gene3346-tree</v>
      </c>
      <c r="O94">
        <v>3</v>
      </c>
      <c r="P94">
        <v>2</v>
      </c>
      <c r="Q94">
        <v>3</v>
      </c>
      <c r="R94">
        <v>2</v>
      </c>
      <c r="S94">
        <v>0.4</v>
      </c>
      <c r="T94" t="s">
        <v>84</v>
      </c>
      <c r="U94" t="s">
        <v>135</v>
      </c>
      <c r="V94" t="s">
        <v>62</v>
      </c>
      <c r="W94" t="s">
        <v>62</v>
      </c>
      <c r="X94">
        <v>1</v>
      </c>
      <c r="Y94">
        <v>2</v>
      </c>
      <c r="Z94">
        <v>5</v>
      </c>
      <c r="AA94">
        <v>0.28571000000000002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2</v>
      </c>
      <c r="AI94">
        <v>2</v>
      </c>
      <c r="AJ94">
        <v>2</v>
      </c>
      <c r="AK94">
        <v>0.5</v>
      </c>
      <c r="AL94">
        <v>4</v>
      </c>
      <c r="AM94">
        <v>2</v>
      </c>
      <c r="AN94">
        <v>11</v>
      </c>
      <c r="AO94">
        <v>4</v>
      </c>
      <c r="AP94">
        <v>15</v>
      </c>
      <c r="AQ94">
        <v>3</v>
      </c>
      <c r="AR94" t="s">
        <v>4570</v>
      </c>
      <c r="AS94" t="s">
        <v>4571</v>
      </c>
      <c r="AT94">
        <v>0.58399999999999996</v>
      </c>
      <c r="AU94" t="s">
        <v>65</v>
      </c>
      <c r="AV94">
        <v>26</v>
      </c>
      <c r="AW94">
        <v>7</v>
      </c>
      <c r="AX94" t="s">
        <v>4572</v>
      </c>
      <c r="AY94" t="s">
        <v>4573</v>
      </c>
      <c r="AZ94" t="s">
        <v>4574</v>
      </c>
      <c r="BA94">
        <v>6.9120000000000001E-2</v>
      </c>
      <c r="BB94">
        <v>1</v>
      </c>
      <c r="BC94" t="s">
        <v>69</v>
      </c>
      <c r="BD94">
        <v>0.55600000000000005</v>
      </c>
      <c r="BE94">
        <v>0.312</v>
      </c>
    </row>
    <row r="95" spans="1:57">
      <c r="A95">
        <v>0</v>
      </c>
      <c r="B95">
        <v>0</v>
      </c>
      <c r="C95">
        <v>0</v>
      </c>
      <c r="D95">
        <v>3041</v>
      </c>
      <c r="E95" t="s">
        <v>4088</v>
      </c>
      <c r="F95" t="s">
        <v>5761</v>
      </c>
      <c r="G95" t="s">
        <v>57</v>
      </c>
      <c r="H95">
        <v>2995094</v>
      </c>
      <c r="I95">
        <v>2995594</v>
      </c>
      <c r="J95" t="s">
        <v>4089</v>
      </c>
      <c r="K95">
        <v>167</v>
      </c>
      <c r="L95" t="s">
        <v>59</v>
      </c>
      <c r="M95">
        <v>5</v>
      </c>
      <c r="N95" t="str">
        <f>HYPERLINK("Gene3041-zp_tree_all.dnd", "Gene3041-tree")</f>
        <v>Gene3041-tree</v>
      </c>
      <c r="O95">
        <v>5</v>
      </c>
      <c r="P95">
        <v>0</v>
      </c>
      <c r="Q95">
        <v>5</v>
      </c>
      <c r="R95">
        <v>0</v>
      </c>
      <c r="S95">
        <v>0</v>
      </c>
      <c r="T95" t="s">
        <v>98</v>
      </c>
      <c r="U95" t="s">
        <v>62</v>
      </c>
      <c r="V95" t="s">
        <v>62</v>
      </c>
      <c r="W95" t="s">
        <v>62</v>
      </c>
      <c r="X95">
        <v>0</v>
      </c>
      <c r="Y95">
        <v>0</v>
      </c>
      <c r="Z95">
        <v>2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5</v>
      </c>
      <c r="AM95">
        <v>2</v>
      </c>
      <c r="AN95">
        <v>7</v>
      </c>
      <c r="AO95">
        <v>0</v>
      </c>
      <c r="AP95">
        <v>18</v>
      </c>
      <c r="AQ95">
        <v>2</v>
      </c>
      <c r="AR95" t="s">
        <v>64</v>
      </c>
      <c r="AS95" t="s">
        <v>4090</v>
      </c>
      <c r="AT95">
        <v>1.4139999999999999</v>
      </c>
      <c r="AU95" t="s">
        <v>65</v>
      </c>
      <c r="AV95">
        <v>25</v>
      </c>
      <c r="AW95">
        <v>2</v>
      </c>
      <c r="AX95" t="s">
        <v>4091</v>
      </c>
      <c r="AY95" t="s">
        <v>4092</v>
      </c>
      <c r="AZ95" t="s">
        <v>4093</v>
      </c>
      <c r="BA95">
        <v>1.934E-2</v>
      </c>
      <c r="BB95">
        <v>1</v>
      </c>
      <c r="BC95" t="s">
        <v>69</v>
      </c>
      <c r="BD95">
        <v>1.0589999999999999</v>
      </c>
      <c r="BE95">
        <v>1.0589999999999999</v>
      </c>
    </row>
    <row r="96" spans="1:57">
      <c r="A96">
        <v>0</v>
      </c>
      <c r="B96">
        <v>0</v>
      </c>
      <c r="C96">
        <v>0</v>
      </c>
      <c r="D96">
        <v>3168</v>
      </c>
      <c r="E96" t="s">
        <v>4297</v>
      </c>
      <c r="F96" t="s">
        <v>5761</v>
      </c>
      <c r="G96" t="s">
        <v>57</v>
      </c>
      <c r="H96">
        <v>3123490</v>
      </c>
      <c r="I96">
        <v>3124002</v>
      </c>
      <c r="J96" t="s">
        <v>4298</v>
      </c>
      <c r="K96">
        <v>171</v>
      </c>
      <c r="L96" t="s">
        <v>112</v>
      </c>
      <c r="M96">
        <v>4</v>
      </c>
      <c r="N96" t="str">
        <f>HYPERLINK("Gene3168-zp_tree_all.dnd", "Gene3168-tree")</f>
        <v>Gene3168-tree</v>
      </c>
      <c r="O96">
        <v>1</v>
      </c>
      <c r="P96">
        <v>3</v>
      </c>
      <c r="Q96">
        <v>1</v>
      </c>
      <c r="R96">
        <v>3</v>
      </c>
      <c r="S96">
        <v>0.75</v>
      </c>
      <c r="T96" t="s">
        <v>61</v>
      </c>
      <c r="U96" t="s">
        <v>84</v>
      </c>
      <c r="V96" t="s">
        <v>62</v>
      </c>
      <c r="W96" t="s">
        <v>62</v>
      </c>
      <c r="X96">
        <v>0</v>
      </c>
      <c r="Y96">
        <v>0</v>
      </c>
      <c r="Z96">
        <v>8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8</v>
      </c>
      <c r="AK96">
        <v>0</v>
      </c>
      <c r="AL96">
        <v>3</v>
      </c>
      <c r="AM96">
        <v>1</v>
      </c>
      <c r="AN96">
        <v>20</v>
      </c>
      <c r="AO96">
        <v>8</v>
      </c>
      <c r="AP96">
        <v>2</v>
      </c>
      <c r="AQ96">
        <v>0</v>
      </c>
      <c r="AR96" t="s">
        <v>4299</v>
      </c>
      <c r="AS96" t="s">
        <v>64</v>
      </c>
      <c r="AT96">
        <v>0.84599999999999997</v>
      </c>
      <c r="AU96" t="s">
        <v>65</v>
      </c>
      <c r="AV96">
        <v>22</v>
      </c>
      <c r="AW96">
        <v>8</v>
      </c>
      <c r="AX96" t="s">
        <v>4300</v>
      </c>
      <c r="AY96" t="s">
        <v>4301</v>
      </c>
      <c r="AZ96" t="s">
        <v>4302</v>
      </c>
      <c r="BA96">
        <v>0.10453999999999999</v>
      </c>
      <c r="BB96">
        <v>1</v>
      </c>
      <c r="BC96" t="s">
        <v>69</v>
      </c>
      <c r="BD96">
        <v>-0.159</v>
      </c>
      <c r="BE96">
        <v>-1.21</v>
      </c>
    </row>
    <row r="97" spans="1:57">
      <c r="A97">
        <v>0</v>
      </c>
      <c r="B97">
        <v>0</v>
      </c>
      <c r="C97">
        <v>0</v>
      </c>
      <c r="D97">
        <v>3850</v>
      </c>
      <c r="E97" t="s">
        <v>5223</v>
      </c>
      <c r="F97" t="s">
        <v>5761</v>
      </c>
      <c r="G97" t="s">
        <v>57</v>
      </c>
      <c r="H97">
        <v>3810090</v>
      </c>
      <c r="I97">
        <v>3810608</v>
      </c>
      <c r="J97" t="s">
        <v>118</v>
      </c>
      <c r="K97">
        <v>173</v>
      </c>
      <c r="L97" t="s">
        <v>112</v>
      </c>
      <c r="M97">
        <v>4</v>
      </c>
      <c r="N97" t="str">
        <f>HYPERLINK("Gene3850-zp_tree_all.dnd", "Gene3850-tree")</f>
        <v>Gene3850-tree</v>
      </c>
      <c r="O97">
        <v>0</v>
      </c>
      <c r="P97">
        <v>4</v>
      </c>
      <c r="Q97">
        <v>0</v>
      </c>
      <c r="R97">
        <v>4</v>
      </c>
      <c r="S97">
        <v>1</v>
      </c>
      <c r="T97" t="s">
        <v>62</v>
      </c>
      <c r="U97" t="s">
        <v>60</v>
      </c>
      <c r="V97" t="s">
        <v>62</v>
      </c>
      <c r="W97" t="s">
        <v>62</v>
      </c>
      <c r="X97">
        <v>0</v>
      </c>
      <c r="Y97">
        <v>0</v>
      </c>
      <c r="Z97">
        <v>8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8</v>
      </c>
      <c r="AK97">
        <v>0</v>
      </c>
      <c r="AL97">
        <v>4</v>
      </c>
      <c r="AM97">
        <v>0</v>
      </c>
      <c r="AN97">
        <v>21</v>
      </c>
      <c r="AO97">
        <v>9</v>
      </c>
      <c r="AP97">
        <v>0</v>
      </c>
      <c r="AQ97">
        <v>0</v>
      </c>
      <c r="AR97" t="s">
        <v>5224</v>
      </c>
      <c r="AS97" t="s">
        <v>64</v>
      </c>
      <c r="AT97">
        <v>1.3140000000000001</v>
      </c>
      <c r="AU97" t="s">
        <v>65</v>
      </c>
      <c r="AV97">
        <v>21</v>
      </c>
      <c r="AW97">
        <v>9</v>
      </c>
      <c r="AX97" t="s">
        <v>5225</v>
      </c>
      <c r="AY97" t="s">
        <v>5226</v>
      </c>
      <c r="AZ97" t="s">
        <v>5227</v>
      </c>
      <c r="BA97">
        <v>0.1217</v>
      </c>
      <c r="BB97">
        <v>1</v>
      </c>
      <c r="BC97" t="s">
        <v>69</v>
      </c>
      <c r="BD97">
        <v>-0.86099999999999999</v>
      </c>
      <c r="BE97">
        <v>-0.86099999999999999</v>
      </c>
    </row>
    <row r="98" spans="1:57">
      <c r="A98">
        <v>0</v>
      </c>
      <c r="B98">
        <v>0</v>
      </c>
      <c r="C98">
        <v>0</v>
      </c>
      <c r="D98">
        <v>4023</v>
      </c>
      <c r="E98" t="s">
        <v>5426</v>
      </c>
      <c r="F98" t="s">
        <v>5761</v>
      </c>
      <c r="G98" t="s">
        <v>57</v>
      </c>
      <c r="H98">
        <v>3989331</v>
      </c>
      <c r="I98">
        <v>3989870</v>
      </c>
      <c r="J98" t="s">
        <v>118</v>
      </c>
      <c r="K98">
        <v>180</v>
      </c>
      <c r="L98" t="s">
        <v>3633</v>
      </c>
      <c r="M98">
        <v>4</v>
      </c>
      <c r="N98" t="str">
        <f>HYPERLINK("Gene4023-zp_tree_all.dnd", "Gene4023-tree")</f>
        <v>Gene4023-tree</v>
      </c>
      <c r="O98">
        <v>3</v>
      </c>
      <c r="P98">
        <v>1</v>
      </c>
      <c r="Q98">
        <v>3</v>
      </c>
      <c r="R98">
        <v>1</v>
      </c>
      <c r="S98">
        <v>0.25</v>
      </c>
      <c r="T98" t="s">
        <v>84</v>
      </c>
      <c r="U98" t="s">
        <v>61</v>
      </c>
      <c r="V98" t="s">
        <v>62</v>
      </c>
      <c r="W98" t="s">
        <v>62</v>
      </c>
      <c r="X98">
        <v>0</v>
      </c>
      <c r="Y98">
        <v>0</v>
      </c>
      <c r="Z98">
        <v>2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3</v>
      </c>
      <c r="AM98">
        <v>1</v>
      </c>
      <c r="AN98">
        <v>15</v>
      </c>
      <c r="AO98">
        <v>1</v>
      </c>
      <c r="AP98">
        <v>8</v>
      </c>
      <c r="AQ98">
        <v>1</v>
      </c>
      <c r="AR98" t="s">
        <v>5427</v>
      </c>
      <c r="AS98" t="s">
        <v>5428</v>
      </c>
      <c r="AT98">
        <v>0.63100000000000001</v>
      </c>
      <c r="AU98" t="s">
        <v>65</v>
      </c>
      <c r="AV98">
        <v>23</v>
      </c>
      <c r="AW98">
        <v>2</v>
      </c>
      <c r="AX98" t="s">
        <v>5429</v>
      </c>
      <c r="AY98" t="s">
        <v>5430</v>
      </c>
      <c r="AZ98" t="s">
        <v>5431</v>
      </c>
      <c r="BA98">
        <v>2.632E-2</v>
      </c>
      <c r="BB98">
        <v>1</v>
      </c>
      <c r="BC98" t="s">
        <v>69</v>
      </c>
      <c r="BD98">
        <v>0.91800000000000004</v>
      </c>
      <c r="BE98">
        <v>2.3E-2</v>
      </c>
    </row>
    <row r="99" spans="1:57">
      <c r="A99">
        <v>0</v>
      </c>
      <c r="B99">
        <v>0</v>
      </c>
      <c r="C99">
        <v>0</v>
      </c>
      <c r="D99">
        <v>1513</v>
      </c>
      <c r="E99" t="s">
        <v>2009</v>
      </c>
      <c r="F99" t="s">
        <v>5761</v>
      </c>
      <c r="G99" t="s">
        <v>62</v>
      </c>
      <c r="H99">
        <v>1526198</v>
      </c>
      <c r="I99">
        <v>1526749</v>
      </c>
      <c r="J99" t="s">
        <v>2010</v>
      </c>
      <c r="K99">
        <v>184</v>
      </c>
      <c r="L99" t="s">
        <v>59</v>
      </c>
      <c r="M99">
        <v>5</v>
      </c>
      <c r="N99" t="str">
        <f>HYPERLINK("Gene1513-zp_tree_all.dnd", "Gene1513-tree")</f>
        <v>Gene1513-tree</v>
      </c>
      <c r="O99">
        <v>2</v>
      </c>
      <c r="P99">
        <v>3</v>
      </c>
      <c r="Q99">
        <v>2</v>
      </c>
      <c r="R99">
        <v>3</v>
      </c>
      <c r="S99">
        <v>0.6</v>
      </c>
      <c r="T99" t="s">
        <v>135</v>
      </c>
      <c r="U99" t="s">
        <v>84</v>
      </c>
      <c r="V99" t="s">
        <v>62</v>
      </c>
      <c r="W99" t="s">
        <v>62</v>
      </c>
      <c r="X99">
        <v>0</v>
      </c>
      <c r="Y99">
        <v>0</v>
      </c>
      <c r="Z99">
        <v>5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5</v>
      </c>
      <c r="AK99">
        <v>0</v>
      </c>
      <c r="AL99">
        <v>5</v>
      </c>
      <c r="AM99">
        <v>1</v>
      </c>
      <c r="AN99">
        <v>12</v>
      </c>
      <c r="AO99">
        <v>5</v>
      </c>
      <c r="AP99">
        <v>18</v>
      </c>
      <c r="AQ99">
        <v>0</v>
      </c>
      <c r="AR99" t="s">
        <v>2011</v>
      </c>
      <c r="AS99" t="s">
        <v>64</v>
      </c>
      <c r="AT99">
        <v>1.2270000000000001</v>
      </c>
      <c r="AU99" t="s">
        <v>65</v>
      </c>
      <c r="AV99">
        <v>30</v>
      </c>
      <c r="AW99">
        <v>5</v>
      </c>
      <c r="AX99" t="s">
        <v>2012</v>
      </c>
      <c r="AY99" t="s">
        <v>2013</v>
      </c>
      <c r="AZ99" t="s">
        <v>2014</v>
      </c>
      <c r="BA99">
        <v>3.3840000000000002E-2</v>
      </c>
      <c r="BB99">
        <v>1</v>
      </c>
      <c r="BC99" t="s">
        <v>69</v>
      </c>
      <c r="BD99">
        <v>0.69099999999999995</v>
      </c>
      <c r="BE99">
        <v>0.45400000000000001</v>
      </c>
    </row>
    <row r="100" spans="1:57">
      <c r="A100">
        <v>0</v>
      </c>
      <c r="B100">
        <v>0</v>
      </c>
      <c r="C100">
        <v>0</v>
      </c>
      <c r="D100">
        <v>3511</v>
      </c>
      <c r="E100" t="s">
        <v>4807</v>
      </c>
      <c r="F100" t="s">
        <v>5761</v>
      </c>
      <c r="G100" t="s">
        <v>57</v>
      </c>
      <c r="H100">
        <v>3471266</v>
      </c>
      <c r="I100">
        <v>3471820</v>
      </c>
      <c r="J100" t="s">
        <v>4808</v>
      </c>
      <c r="K100">
        <v>185</v>
      </c>
      <c r="L100" t="s">
        <v>83</v>
      </c>
      <c r="M100">
        <v>4</v>
      </c>
      <c r="N100" t="str">
        <f>HYPERLINK("Gene3511-zp_tree_all.dnd", "Gene3511-tree")</f>
        <v>Gene3511-tree</v>
      </c>
      <c r="O100">
        <v>2</v>
      </c>
      <c r="P100">
        <v>2</v>
      </c>
      <c r="Q100">
        <v>2</v>
      </c>
      <c r="R100">
        <v>2</v>
      </c>
      <c r="S100">
        <v>0.5</v>
      </c>
      <c r="T100" t="s">
        <v>135</v>
      </c>
      <c r="U100" t="s">
        <v>135</v>
      </c>
      <c r="V100" t="s">
        <v>62</v>
      </c>
      <c r="W100" t="s">
        <v>62</v>
      </c>
      <c r="X100">
        <v>0</v>
      </c>
      <c r="Y100">
        <v>0</v>
      </c>
      <c r="Z100">
        <v>6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6</v>
      </c>
      <c r="AK100">
        <v>0</v>
      </c>
      <c r="AL100">
        <v>4</v>
      </c>
      <c r="AM100">
        <v>1</v>
      </c>
      <c r="AN100">
        <v>18</v>
      </c>
      <c r="AO100">
        <v>6</v>
      </c>
      <c r="AP100">
        <v>1</v>
      </c>
      <c r="AQ100">
        <v>0</v>
      </c>
      <c r="AR100" t="s">
        <v>4809</v>
      </c>
      <c r="AS100" t="s">
        <v>64</v>
      </c>
      <c r="AT100">
        <v>0.68899999999999995</v>
      </c>
      <c r="AU100" t="s">
        <v>65</v>
      </c>
      <c r="AV100">
        <v>19</v>
      </c>
      <c r="AW100">
        <v>6</v>
      </c>
      <c r="AX100" t="s">
        <v>4810</v>
      </c>
      <c r="AY100" t="s">
        <v>4811</v>
      </c>
      <c r="AZ100" t="s">
        <v>4812</v>
      </c>
      <c r="BA100">
        <v>7.671E-2</v>
      </c>
      <c r="BB100">
        <v>1</v>
      </c>
      <c r="BC100" t="s">
        <v>69</v>
      </c>
      <c r="BD100">
        <v>-0.73299999999999998</v>
      </c>
      <c r="BE100">
        <v>-0.73299999999999998</v>
      </c>
    </row>
    <row r="101" spans="1:57">
      <c r="A101">
        <v>0</v>
      </c>
      <c r="B101">
        <v>0</v>
      </c>
      <c r="C101">
        <v>0</v>
      </c>
      <c r="D101">
        <v>156</v>
      </c>
      <c r="E101" t="s">
        <v>592</v>
      </c>
      <c r="F101" t="s">
        <v>5761</v>
      </c>
      <c r="G101" t="s">
        <v>62</v>
      </c>
      <c r="H101">
        <v>158518</v>
      </c>
      <c r="I101">
        <v>159072</v>
      </c>
      <c r="J101" t="s">
        <v>593</v>
      </c>
      <c r="K101">
        <v>185</v>
      </c>
      <c r="L101" t="s">
        <v>59</v>
      </c>
      <c r="M101">
        <v>5</v>
      </c>
      <c r="N101" t="str">
        <f>HYPERLINK("Gene156-zp_tree_all.dnd", "Gene156-tree")</f>
        <v>Gene156-tree</v>
      </c>
      <c r="O101">
        <v>4</v>
      </c>
      <c r="P101">
        <v>1</v>
      </c>
      <c r="Q101">
        <v>3</v>
      </c>
      <c r="R101">
        <v>1</v>
      </c>
      <c r="S101">
        <v>0.25</v>
      </c>
      <c r="T101" t="s">
        <v>119</v>
      </c>
      <c r="U101" t="s">
        <v>61</v>
      </c>
      <c r="V101" t="s">
        <v>62</v>
      </c>
      <c r="W101" t="s">
        <v>62</v>
      </c>
      <c r="X101">
        <v>0</v>
      </c>
      <c r="Y101">
        <v>0</v>
      </c>
      <c r="Z101">
        <v>6</v>
      </c>
      <c r="AA101">
        <v>0</v>
      </c>
      <c r="AB101">
        <v>0</v>
      </c>
      <c r="AC101">
        <v>0</v>
      </c>
      <c r="AD101">
        <v>0</v>
      </c>
      <c r="AE101">
        <v>5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0</v>
      </c>
      <c r="AL101">
        <v>3</v>
      </c>
      <c r="AM101">
        <v>1</v>
      </c>
      <c r="AN101">
        <v>5</v>
      </c>
      <c r="AO101">
        <v>1</v>
      </c>
      <c r="AP101">
        <v>14</v>
      </c>
      <c r="AQ101">
        <v>5</v>
      </c>
      <c r="AR101" t="s">
        <v>594</v>
      </c>
      <c r="AS101" t="s">
        <v>595</v>
      </c>
      <c r="AT101">
        <v>0.54400000000000004</v>
      </c>
      <c r="AU101" t="s">
        <v>65</v>
      </c>
      <c r="AV101">
        <v>19</v>
      </c>
      <c r="AW101">
        <v>6</v>
      </c>
      <c r="AX101" t="s">
        <v>596</v>
      </c>
      <c r="AY101" t="s">
        <v>597</v>
      </c>
      <c r="AZ101" t="s">
        <v>598</v>
      </c>
      <c r="BA101">
        <v>6.9940000000000002E-2</v>
      </c>
      <c r="BB101">
        <v>1</v>
      </c>
      <c r="BC101" t="s">
        <v>69</v>
      </c>
      <c r="BD101">
        <v>1.24</v>
      </c>
      <c r="BE101">
        <v>1.24</v>
      </c>
    </row>
    <row r="102" spans="1:57">
      <c r="A102">
        <v>0</v>
      </c>
      <c r="B102">
        <v>0</v>
      </c>
      <c r="C102">
        <v>0</v>
      </c>
      <c r="D102">
        <v>4151</v>
      </c>
      <c r="E102" t="s">
        <v>5608</v>
      </c>
      <c r="F102" t="s">
        <v>5761</v>
      </c>
      <c r="G102" t="s">
        <v>57</v>
      </c>
      <c r="H102">
        <v>4118950</v>
      </c>
      <c r="I102">
        <v>4119510</v>
      </c>
      <c r="J102" t="s">
        <v>5609</v>
      </c>
      <c r="K102">
        <v>187</v>
      </c>
      <c r="L102" t="s">
        <v>59</v>
      </c>
      <c r="M102">
        <v>5</v>
      </c>
      <c r="N102" t="str">
        <f>HYPERLINK("Gene4151-zp_tree_all.dnd", "Gene4151-tree")</f>
        <v>Gene4151-tree</v>
      </c>
      <c r="O102">
        <v>3</v>
      </c>
      <c r="P102">
        <v>2</v>
      </c>
      <c r="Q102">
        <v>3</v>
      </c>
      <c r="R102">
        <v>2</v>
      </c>
      <c r="S102">
        <v>0.4</v>
      </c>
      <c r="T102" t="s">
        <v>84</v>
      </c>
      <c r="U102" t="s">
        <v>135</v>
      </c>
      <c r="V102" t="s">
        <v>62</v>
      </c>
      <c r="W102" t="s">
        <v>62</v>
      </c>
      <c r="X102">
        <v>0</v>
      </c>
      <c r="Y102">
        <v>0</v>
      </c>
      <c r="Z102">
        <v>6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2</v>
      </c>
      <c r="AK102">
        <v>0</v>
      </c>
      <c r="AL102">
        <v>5</v>
      </c>
      <c r="AM102">
        <v>2</v>
      </c>
      <c r="AN102">
        <v>11</v>
      </c>
      <c r="AO102">
        <v>2</v>
      </c>
      <c r="AP102">
        <v>8</v>
      </c>
      <c r="AQ102">
        <v>4</v>
      </c>
      <c r="AR102" t="s">
        <v>5610</v>
      </c>
      <c r="AS102" t="s">
        <v>5611</v>
      </c>
      <c r="AT102">
        <v>0.54500000000000004</v>
      </c>
      <c r="AU102" t="s">
        <v>65</v>
      </c>
      <c r="AV102">
        <v>19</v>
      </c>
      <c r="AW102">
        <v>6</v>
      </c>
      <c r="AX102" t="s">
        <v>5612</v>
      </c>
      <c r="AY102" t="s">
        <v>5613</v>
      </c>
      <c r="AZ102" t="s">
        <v>5614</v>
      </c>
      <c r="BA102">
        <v>9.9260000000000001E-2</v>
      </c>
      <c r="BB102">
        <v>1</v>
      </c>
      <c r="BC102" t="s">
        <v>69</v>
      </c>
      <c r="BD102">
        <v>0.64600000000000002</v>
      </c>
      <c r="BE102">
        <v>0.377</v>
      </c>
    </row>
    <row r="103" spans="1:57">
      <c r="A103">
        <v>0</v>
      </c>
      <c r="B103">
        <v>0</v>
      </c>
      <c r="C103">
        <v>2</v>
      </c>
      <c r="D103">
        <v>538</v>
      </c>
      <c r="E103" t="s">
        <v>993</v>
      </c>
      <c r="F103" t="s">
        <v>5761</v>
      </c>
      <c r="G103" t="s">
        <v>62</v>
      </c>
      <c r="H103">
        <v>573455</v>
      </c>
      <c r="I103">
        <v>574024</v>
      </c>
      <c r="J103" t="s">
        <v>994</v>
      </c>
      <c r="K103">
        <v>190</v>
      </c>
      <c r="L103" t="s">
        <v>83</v>
      </c>
      <c r="M103">
        <v>4</v>
      </c>
      <c r="N103" t="str">
        <f>HYPERLINK("Gene538-zp_tree_all.dnd", "Gene538-tree")</f>
        <v>Gene538-tree</v>
      </c>
      <c r="O103">
        <v>0</v>
      </c>
      <c r="P103">
        <v>4</v>
      </c>
      <c r="Q103">
        <v>0</v>
      </c>
      <c r="R103">
        <v>4</v>
      </c>
      <c r="S103">
        <v>1</v>
      </c>
      <c r="T103" t="s">
        <v>62</v>
      </c>
      <c r="U103" t="s">
        <v>60</v>
      </c>
      <c r="V103" t="s">
        <v>62</v>
      </c>
      <c r="W103" t="s">
        <v>62</v>
      </c>
      <c r="X103">
        <v>1</v>
      </c>
      <c r="Y103">
        <v>2</v>
      </c>
      <c r="Z103">
        <v>14</v>
      </c>
      <c r="AA103">
        <v>0.125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14</v>
      </c>
      <c r="AK103">
        <v>0</v>
      </c>
      <c r="AL103">
        <v>4</v>
      </c>
      <c r="AM103">
        <v>1</v>
      </c>
      <c r="AN103">
        <v>16</v>
      </c>
      <c r="AO103">
        <v>14</v>
      </c>
      <c r="AP103">
        <v>4</v>
      </c>
      <c r="AQ103">
        <v>3</v>
      </c>
      <c r="AR103" t="s">
        <v>995</v>
      </c>
      <c r="AS103" t="s">
        <v>996</v>
      </c>
      <c r="AT103">
        <v>0.34100000000000003</v>
      </c>
      <c r="AU103" t="s">
        <v>65</v>
      </c>
      <c r="AV103">
        <v>20</v>
      </c>
      <c r="AW103">
        <v>17</v>
      </c>
      <c r="AX103" t="s">
        <v>997</v>
      </c>
      <c r="AY103" t="s">
        <v>998</v>
      </c>
      <c r="AZ103" t="s">
        <v>999</v>
      </c>
      <c r="BA103">
        <v>0.24989</v>
      </c>
      <c r="BB103">
        <v>1</v>
      </c>
      <c r="BC103" t="s">
        <v>69</v>
      </c>
      <c r="BD103">
        <v>-4.9000000000000002E-2</v>
      </c>
      <c r="BE103">
        <v>-4.9000000000000002E-2</v>
      </c>
    </row>
    <row r="104" spans="1:57">
      <c r="A104">
        <v>0</v>
      </c>
      <c r="B104">
        <v>0</v>
      </c>
      <c r="C104">
        <v>0</v>
      </c>
      <c r="D104">
        <v>1874</v>
      </c>
      <c r="E104" t="s">
        <v>2807</v>
      </c>
      <c r="F104" t="s">
        <v>5761</v>
      </c>
      <c r="G104" t="s">
        <v>62</v>
      </c>
      <c r="H104">
        <v>1931923</v>
      </c>
      <c r="I104">
        <v>1932501</v>
      </c>
      <c r="J104" t="s">
        <v>2808</v>
      </c>
      <c r="K104">
        <v>193</v>
      </c>
      <c r="L104" t="s">
        <v>112</v>
      </c>
      <c r="M104">
        <v>4</v>
      </c>
      <c r="N104" t="str">
        <f>HYPERLINK("Gene1874-zp_tree_all.dnd", "Gene1874-tree")</f>
        <v>Gene1874-tree</v>
      </c>
      <c r="O104">
        <v>3</v>
      </c>
      <c r="P104">
        <v>1</v>
      </c>
      <c r="Q104">
        <v>3</v>
      </c>
      <c r="R104">
        <v>1</v>
      </c>
      <c r="S104">
        <v>0.25</v>
      </c>
      <c r="T104" t="s">
        <v>84</v>
      </c>
      <c r="U104" t="s">
        <v>61</v>
      </c>
      <c r="V104" t="s">
        <v>62</v>
      </c>
      <c r="W104" t="s">
        <v>62</v>
      </c>
      <c r="X104">
        <v>0</v>
      </c>
      <c r="Y104">
        <v>0</v>
      </c>
      <c r="Z104">
        <v>4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4</v>
      </c>
      <c r="AK104">
        <v>0</v>
      </c>
      <c r="AL104">
        <v>3</v>
      </c>
      <c r="AM104">
        <v>1</v>
      </c>
      <c r="AN104">
        <v>26</v>
      </c>
      <c r="AO104">
        <v>4</v>
      </c>
      <c r="AP104">
        <v>1</v>
      </c>
      <c r="AQ104">
        <v>0</v>
      </c>
      <c r="AR104" t="s">
        <v>2809</v>
      </c>
      <c r="AS104" t="s">
        <v>64</v>
      </c>
      <c r="AT104">
        <v>0.50600000000000001</v>
      </c>
      <c r="AU104" t="s">
        <v>65</v>
      </c>
      <c r="AV104">
        <v>27</v>
      </c>
      <c r="AW104">
        <v>4</v>
      </c>
      <c r="AX104" t="s">
        <v>2810</v>
      </c>
      <c r="AY104" t="s">
        <v>2811</v>
      </c>
      <c r="AZ104" t="s">
        <v>2812</v>
      </c>
      <c r="BA104">
        <v>4.367E-2</v>
      </c>
      <c r="BB104">
        <v>1</v>
      </c>
      <c r="BC104" t="s">
        <v>69</v>
      </c>
      <c r="BD104">
        <v>-0.76</v>
      </c>
      <c r="BE104">
        <v>-0.76</v>
      </c>
    </row>
    <row r="105" spans="1:57">
      <c r="A105">
        <v>0</v>
      </c>
      <c r="B105">
        <v>0</v>
      </c>
      <c r="C105">
        <v>0</v>
      </c>
      <c r="D105">
        <v>3084</v>
      </c>
      <c r="E105" t="s">
        <v>4162</v>
      </c>
      <c r="F105" t="s">
        <v>5761</v>
      </c>
      <c r="G105" t="s">
        <v>57</v>
      </c>
      <c r="H105">
        <v>3035730</v>
      </c>
      <c r="I105">
        <v>3036329</v>
      </c>
      <c r="J105" t="s">
        <v>4163</v>
      </c>
      <c r="K105">
        <v>200</v>
      </c>
      <c r="L105" t="s">
        <v>59</v>
      </c>
      <c r="M105">
        <v>5</v>
      </c>
      <c r="N105" t="str">
        <f>HYPERLINK("Gene3084-zp_tree_all.dnd", "Gene3084-tree")</f>
        <v>Gene3084-tree</v>
      </c>
      <c r="O105">
        <v>5</v>
      </c>
      <c r="P105">
        <v>0</v>
      </c>
      <c r="Q105">
        <v>5</v>
      </c>
      <c r="R105">
        <v>0</v>
      </c>
      <c r="S105">
        <v>0</v>
      </c>
      <c r="T105" t="s">
        <v>98</v>
      </c>
      <c r="U105" t="s">
        <v>62</v>
      </c>
      <c r="V105" t="s">
        <v>62</v>
      </c>
      <c r="W105" t="s">
        <v>62</v>
      </c>
      <c r="X105">
        <v>0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4</v>
      </c>
      <c r="AM105">
        <v>2</v>
      </c>
      <c r="AN105">
        <v>4</v>
      </c>
      <c r="AO105">
        <v>0</v>
      </c>
      <c r="AP105">
        <v>3</v>
      </c>
      <c r="AQ105">
        <v>1</v>
      </c>
      <c r="AR105" t="s">
        <v>64</v>
      </c>
      <c r="AS105" t="s">
        <v>4164</v>
      </c>
      <c r="AT105">
        <v>1.2709999999999999</v>
      </c>
      <c r="AU105" t="s">
        <v>65</v>
      </c>
      <c r="AV105">
        <v>7</v>
      </c>
      <c r="AW105">
        <v>1</v>
      </c>
      <c r="AX105" t="s">
        <v>4165</v>
      </c>
      <c r="AY105" t="s">
        <v>4166</v>
      </c>
      <c r="AZ105" t="s">
        <v>4167</v>
      </c>
      <c r="BA105">
        <v>5.5750000000000001E-2</v>
      </c>
      <c r="BB105">
        <v>1</v>
      </c>
      <c r="BC105" t="s">
        <v>69</v>
      </c>
      <c r="BD105">
        <v>0.29399999999999998</v>
      </c>
      <c r="BE105">
        <v>0.29399999999999998</v>
      </c>
    </row>
    <row r="106" spans="1:57">
      <c r="A106">
        <v>0</v>
      </c>
      <c r="B106">
        <v>0</v>
      </c>
      <c r="C106">
        <v>4</v>
      </c>
      <c r="D106">
        <v>2035</v>
      </c>
      <c r="E106" t="s">
        <v>2874</v>
      </c>
      <c r="F106" t="s">
        <v>5761</v>
      </c>
      <c r="G106" t="s">
        <v>57</v>
      </c>
      <c r="H106">
        <v>2127813</v>
      </c>
      <c r="I106">
        <v>2128418</v>
      </c>
      <c r="J106" t="s">
        <v>2875</v>
      </c>
      <c r="K106">
        <v>202</v>
      </c>
      <c r="L106" t="s">
        <v>59</v>
      </c>
      <c r="M106">
        <v>5</v>
      </c>
      <c r="N106" t="str">
        <f>HYPERLINK("Gene2035-zp_tree_all.dnd", "Gene2035-tree")</f>
        <v>Gene2035-tree</v>
      </c>
      <c r="O106">
        <v>3</v>
      </c>
      <c r="P106">
        <v>2</v>
      </c>
      <c r="Q106">
        <v>3</v>
      </c>
      <c r="R106">
        <v>2</v>
      </c>
      <c r="S106">
        <v>0.4</v>
      </c>
      <c r="T106" t="s">
        <v>84</v>
      </c>
      <c r="U106" t="s">
        <v>135</v>
      </c>
      <c r="V106" t="s">
        <v>62</v>
      </c>
      <c r="W106" t="s">
        <v>62</v>
      </c>
      <c r="X106">
        <v>2</v>
      </c>
      <c r="Y106">
        <v>4</v>
      </c>
      <c r="Z106">
        <v>4</v>
      </c>
      <c r="AA106">
        <v>0.5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4</v>
      </c>
      <c r="AK106">
        <v>0</v>
      </c>
      <c r="AL106">
        <v>5</v>
      </c>
      <c r="AM106">
        <v>2</v>
      </c>
      <c r="AN106">
        <v>18</v>
      </c>
      <c r="AO106">
        <v>4</v>
      </c>
      <c r="AP106">
        <v>16</v>
      </c>
      <c r="AQ106">
        <v>4</v>
      </c>
      <c r="AR106" t="s">
        <v>2876</v>
      </c>
      <c r="AS106" t="s">
        <v>2877</v>
      </c>
      <c r="AT106">
        <v>5.1999999999999998E-2</v>
      </c>
      <c r="AU106" t="s">
        <v>65</v>
      </c>
      <c r="AV106">
        <v>34</v>
      </c>
      <c r="AW106">
        <v>8</v>
      </c>
      <c r="AX106" t="s">
        <v>2878</v>
      </c>
      <c r="AY106" t="s">
        <v>2879</v>
      </c>
      <c r="AZ106" t="s">
        <v>2880</v>
      </c>
      <c r="BA106">
        <v>6.7890000000000006E-2</v>
      </c>
      <c r="BB106">
        <v>1</v>
      </c>
      <c r="BC106" t="s">
        <v>69</v>
      </c>
      <c r="BD106">
        <v>0.77800000000000002</v>
      </c>
      <c r="BE106">
        <v>0.44</v>
      </c>
    </row>
    <row r="107" spans="1:57">
      <c r="A107">
        <v>0</v>
      </c>
      <c r="B107">
        <v>0</v>
      </c>
      <c r="C107">
        <v>0</v>
      </c>
      <c r="D107">
        <v>1034</v>
      </c>
      <c r="E107" t="s">
        <v>1483</v>
      </c>
      <c r="F107" t="s">
        <v>5761</v>
      </c>
      <c r="G107" t="s">
        <v>62</v>
      </c>
      <c r="H107">
        <v>1073109</v>
      </c>
      <c r="I107">
        <v>1073717</v>
      </c>
      <c r="J107" t="s">
        <v>1484</v>
      </c>
      <c r="K107">
        <v>203</v>
      </c>
      <c r="L107" t="s">
        <v>59</v>
      </c>
      <c r="M107">
        <v>5</v>
      </c>
      <c r="N107" t="str">
        <f>HYPERLINK("Gene1034-zp_tree_all.dnd", "Gene1034-tree")</f>
        <v>Gene1034-tree</v>
      </c>
      <c r="O107">
        <v>4</v>
      </c>
      <c r="P107">
        <v>1</v>
      </c>
      <c r="Q107">
        <v>4</v>
      </c>
      <c r="R107">
        <v>1</v>
      </c>
      <c r="S107">
        <v>0.2</v>
      </c>
      <c r="T107" t="s">
        <v>60</v>
      </c>
      <c r="U107" t="s">
        <v>61</v>
      </c>
      <c r="V107" t="s">
        <v>62</v>
      </c>
      <c r="W107" t="s">
        <v>62</v>
      </c>
      <c r="X107">
        <v>0</v>
      </c>
      <c r="Y107">
        <v>0</v>
      </c>
      <c r="Z107">
        <v>2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0</v>
      </c>
      <c r="AL107">
        <v>5</v>
      </c>
      <c r="AM107">
        <v>2</v>
      </c>
      <c r="AN107">
        <v>13</v>
      </c>
      <c r="AO107">
        <v>1</v>
      </c>
      <c r="AP107">
        <v>11</v>
      </c>
      <c r="AQ107">
        <v>1</v>
      </c>
      <c r="AR107" t="s">
        <v>1485</v>
      </c>
      <c r="AS107" t="s">
        <v>1486</v>
      </c>
      <c r="AT107">
        <v>0.06</v>
      </c>
      <c r="AU107" t="s">
        <v>65</v>
      </c>
      <c r="AV107">
        <v>24</v>
      </c>
      <c r="AW107">
        <v>2</v>
      </c>
      <c r="AX107" t="s">
        <v>1487</v>
      </c>
      <c r="AY107" t="s">
        <v>1488</v>
      </c>
      <c r="AZ107" t="s">
        <v>1489</v>
      </c>
      <c r="BA107">
        <v>2.0480000000000002E-2</v>
      </c>
      <c r="BB107">
        <v>1</v>
      </c>
      <c r="BC107" t="s">
        <v>69</v>
      </c>
      <c r="BD107">
        <v>0.372</v>
      </c>
      <c r="BE107">
        <v>0.372</v>
      </c>
    </row>
    <row r="108" spans="1:57">
      <c r="A108">
        <v>0</v>
      </c>
      <c r="B108">
        <v>0</v>
      </c>
      <c r="C108">
        <v>0</v>
      </c>
      <c r="D108">
        <v>1105</v>
      </c>
      <c r="E108" t="s">
        <v>1582</v>
      </c>
      <c r="F108" t="s">
        <v>5761</v>
      </c>
      <c r="G108" t="s">
        <v>62</v>
      </c>
      <c r="H108">
        <v>1149321</v>
      </c>
      <c r="I108">
        <v>1149935</v>
      </c>
      <c r="J108" t="s">
        <v>1581</v>
      </c>
      <c r="K108">
        <v>205</v>
      </c>
      <c r="L108" t="s">
        <v>112</v>
      </c>
      <c r="M108">
        <v>4</v>
      </c>
      <c r="N108" t="str">
        <f>HYPERLINK("Gene1105-zp_tree_all.dnd", "Gene1105-tree")</f>
        <v>Gene1105-tree</v>
      </c>
      <c r="O108">
        <v>1</v>
      </c>
      <c r="P108">
        <v>3</v>
      </c>
      <c r="Q108">
        <v>1</v>
      </c>
      <c r="R108">
        <v>3</v>
      </c>
      <c r="S108">
        <v>0.75</v>
      </c>
      <c r="T108" t="s">
        <v>61</v>
      </c>
      <c r="U108" t="s">
        <v>84</v>
      </c>
      <c r="V108" t="s">
        <v>62</v>
      </c>
      <c r="W108" t="s">
        <v>62</v>
      </c>
      <c r="X108">
        <v>0</v>
      </c>
      <c r="Y108">
        <v>0</v>
      </c>
      <c r="Z108">
        <v>8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8</v>
      </c>
      <c r="AK108">
        <v>0</v>
      </c>
      <c r="AL108">
        <v>4</v>
      </c>
      <c r="AM108">
        <v>1</v>
      </c>
      <c r="AN108">
        <v>26</v>
      </c>
      <c r="AO108">
        <v>8</v>
      </c>
      <c r="AP108">
        <v>1</v>
      </c>
      <c r="AQ108">
        <v>0</v>
      </c>
      <c r="AR108" t="s">
        <v>1583</v>
      </c>
      <c r="AS108" t="s">
        <v>64</v>
      </c>
      <c r="AT108">
        <v>1.0620000000000001</v>
      </c>
      <c r="AU108" t="s">
        <v>65</v>
      </c>
      <c r="AV108">
        <v>27</v>
      </c>
      <c r="AW108">
        <v>8</v>
      </c>
      <c r="AX108" t="s">
        <v>1584</v>
      </c>
      <c r="AY108" t="s">
        <v>1585</v>
      </c>
      <c r="AZ108" t="s">
        <v>1586</v>
      </c>
      <c r="BA108">
        <v>6.6650000000000001E-2</v>
      </c>
      <c r="BB108">
        <v>1</v>
      </c>
      <c r="BC108" t="s">
        <v>69</v>
      </c>
      <c r="BD108">
        <v>-0.77300000000000002</v>
      </c>
      <c r="BE108">
        <v>-0.77300000000000002</v>
      </c>
    </row>
    <row r="109" spans="1:57">
      <c r="A109">
        <v>0</v>
      </c>
      <c r="B109">
        <v>0</v>
      </c>
      <c r="C109">
        <v>0</v>
      </c>
      <c r="D109">
        <v>1335</v>
      </c>
      <c r="E109" t="s">
        <v>1794</v>
      </c>
      <c r="F109" t="s">
        <v>5761</v>
      </c>
      <c r="G109" t="s">
        <v>62</v>
      </c>
      <c r="H109">
        <v>1350485</v>
      </c>
      <c r="I109">
        <v>1351099</v>
      </c>
      <c r="J109" t="s">
        <v>1795</v>
      </c>
      <c r="K109">
        <v>205</v>
      </c>
      <c r="L109" t="s">
        <v>112</v>
      </c>
      <c r="M109">
        <v>4</v>
      </c>
      <c r="N109" t="str">
        <f>HYPERLINK("Gene1335-zp_tree_all.dnd", "Gene1335-tree")</f>
        <v>Gene1335-tree</v>
      </c>
      <c r="O109">
        <v>4</v>
      </c>
      <c r="P109">
        <v>0</v>
      </c>
      <c r="Q109">
        <v>4</v>
      </c>
      <c r="R109">
        <v>0</v>
      </c>
      <c r="S109">
        <v>0</v>
      </c>
      <c r="T109" t="s">
        <v>60</v>
      </c>
      <c r="U109" t="s">
        <v>62</v>
      </c>
      <c r="V109" t="s">
        <v>62</v>
      </c>
      <c r="W109" t="s">
        <v>62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4</v>
      </c>
      <c r="AM109">
        <v>1</v>
      </c>
      <c r="AN109">
        <v>31</v>
      </c>
      <c r="AO109">
        <v>0</v>
      </c>
      <c r="AP109">
        <v>1</v>
      </c>
      <c r="AQ109">
        <v>0</v>
      </c>
      <c r="AR109" t="s">
        <v>64</v>
      </c>
      <c r="AS109" t="s">
        <v>64</v>
      </c>
      <c r="AT109">
        <v>0</v>
      </c>
      <c r="AU109" t="s">
        <v>65</v>
      </c>
      <c r="AV109">
        <v>32</v>
      </c>
      <c r="AW109">
        <v>0</v>
      </c>
      <c r="AX109" t="s">
        <v>1796</v>
      </c>
      <c r="AY109" t="s">
        <v>1797</v>
      </c>
      <c r="AZ109" t="s">
        <v>64</v>
      </c>
      <c r="BA109">
        <v>0</v>
      </c>
      <c r="BB109">
        <v>1</v>
      </c>
      <c r="BC109" t="s">
        <v>69</v>
      </c>
      <c r="BD109">
        <v>-0.65800000000000003</v>
      </c>
      <c r="BE109">
        <v>-0.65800000000000003</v>
      </c>
    </row>
    <row r="110" spans="1:57">
      <c r="A110">
        <v>0</v>
      </c>
      <c r="B110">
        <v>0</v>
      </c>
      <c r="C110">
        <v>0</v>
      </c>
      <c r="D110">
        <v>2325</v>
      </c>
      <c r="E110" t="s">
        <v>2984</v>
      </c>
      <c r="F110" t="s">
        <v>5761</v>
      </c>
      <c r="G110" t="s">
        <v>57</v>
      </c>
      <c r="H110">
        <v>2340802</v>
      </c>
      <c r="I110">
        <v>2341419</v>
      </c>
      <c r="J110" t="s">
        <v>2985</v>
      </c>
      <c r="K110">
        <v>206</v>
      </c>
      <c r="L110" t="s">
        <v>59</v>
      </c>
      <c r="M110">
        <v>5</v>
      </c>
      <c r="N110" t="str">
        <f>HYPERLINK("Gene2325-zp_tree_all.dnd", "Gene2325-tree")</f>
        <v>Gene2325-tree</v>
      </c>
      <c r="O110">
        <v>2</v>
      </c>
      <c r="P110">
        <v>3</v>
      </c>
      <c r="Q110">
        <v>2</v>
      </c>
      <c r="R110">
        <v>3</v>
      </c>
      <c r="S110">
        <v>0.6</v>
      </c>
      <c r="T110" t="s">
        <v>135</v>
      </c>
      <c r="U110" t="s">
        <v>84</v>
      </c>
      <c r="V110" t="s">
        <v>62</v>
      </c>
      <c r="W110" t="s">
        <v>62</v>
      </c>
      <c r="X110">
        <v>0</v>
      </c>
      <c r="Y110">
        <v>0</v>
      </c>
      <c r="Z110">
        <v>5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3</v>
      </c>
      <c r="AK110">
        <v>0</v>
      </c>
      <c r="AL110">
        <v>4</v>
      </c>
      <c r="AM110">
        <v>2</v>
      </c>
      <c r="AN110">
        <v>9</v>
      </c>
      <c r="AO110">
        <v>3</v>
      </c>
      <c r="AP110">
        <v>12</v>
      </c>
      <c r="AQ110">
        <v>2</v>
      </c>
      <c r="AR110" t="s">
        <v>2986</v>
      </c>
      <c r="AS110" t="s">
        <v>2987</v>
      </c>
      <c r="AT110">
        <v>0.65</v>
      </c>
      <c r="AU110" t="s">
        <v>65</v>
      </c>
      <c r="AV110">
        <v>21</v>
      </c>
      <c r="AW110">
        <v>5</v>
      </c>
      <c r="AX110" t="s">
        <v>2988</v>
      </c>
      <c r="AY110" t="s">
        <v>2989</v>
      </c>
      <c r="AZ110" t="s">
        <v>2990</v>
      </c>
      <c r="BA110">
        <v>5.8250000000000003E-2</v>
      </c>
      <c r="BB110">
        <v>1</v>
      </c>
      <c r="BC110" t="s">
        <v>69</v>
      </c>
      <c r="BD110">
        <v>0.43</v>
      </c>
      <c r="BE110">
        <v>0.43</v>
      </c>
    </row>
    <row r="111" spans="1:57">
      <c r="A111">
        <v>0</v>
      </c>
      <c r="B111">
        <v>0</v>
      </c>
      <c r="C111">
        <v>0</v>
      </c>
      <c r="D111">
        <v>584</v>
      </c>
      <c r="E111" t="s">
        <v>1006</v>
      </c>
      <c r="F111" t="s">
        <v>5761</v>
      </c>
      <c r="G111" t="s">
        <v>62</v>
      </c>
      <c r="H111">
        <v>612194</v>
      </c>
      <c r="I111">
        <v>612820</v>
      </c>
      <c r="J111" t="s">
        <v>1007</v>
      </c>
      <c r="K111">
        <v>209</v>
      </c>
      <c r="L111" t="s">
        <v>83</v>
      </c>
      <c r="M111">
        <v>4</v>
      </c>
      <c r="N111" t="str">
        <f>HYPERLINK("Gene584-zp_tree_all.dnd", "Gene584-tree")</f>
        <v>Gene584-tree</v>
      </c>
      <c r="O111">
        <v>3</v>
      </c>
      <c r="P111">
        <v>1</v>
      </c>
      <c r="Q111">
        <v>3</v>
      </c>
      <c r="R111">
        <v>1</v>
      </c>
      <c r="S111">
        <v>0.25</v>
      </c>
      <c r="T111" t="s">
        <v>84</v>
      </c>
      <c r="U111" t="s">
        <v>61</v>
      </c>
      <c r="V111" t="s">
        <v>62</v>
      </c>
      <c r="W111" t="s">
        <v>62</v>
      </c>
      <c r="X111">
        <v>0</v>
      </c>
      <c r="Y111">
        <v>0</v>
      </c>
      <c r="Z111">
        <v>2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0</v>
      </c>
      <c r="AL111">
        <v>4</v>
      </c>
      <c r="AM111">
        <v>1</v>
      </c>
      <c r="AN111">
        <v>29</v>
      </c>
      <c r="AO111">
        <v>1</v>
      </c>
      <c r="AP111">
        <v>1</v>
      </c>
      <c r="AQ111">
        <v>1</v>
      </c>
      <c r="AR111" t="s">
        <v>1008</v>
      </c>
      <c r="AS111" t="s">
        <v>1009</v>
      </c>
      <c r="AT111">
        <v>14.411</v>
      </c>
      <c r="AU111" t="s">
        <v>65</v>
      </c>
      <c r="AV111">
        <v>30</v>
      </c>
      <c r="AW111">
        <v>2</v>
      </c>
      <c r="AX111" t="s">
        <v>1010</v>
      </c>
      <c r="AY111" t="s">
        <v>1011</v>
      </c>
      <c r="AZ111" t="s">
        <v>1012</v>
      </c>
      <c r="BA111">
        <v>2.2450000000000001E-2</v>
      </c>
      <c r="BB111">
        <v>1</v>
      </c>
      <c r="BC111" t="s">
        <v>69</v>
      </c>
      <c r="BD111">
        <v>-0.20799999999999999</v>
      </c>
      <c r="BE111">
        <v>-0.53400000000000003</v>
      </c>
    </row>
    <row r="112" spans="1:57">
      <c r="A112">
        <v>0</v>
      </c>
      <c r="B112">
        <v>0</v>
      </c>
      <c r="C112">
        <v>0</v>
      </c>
      <c r="D112">
        <v>3087</v>
      </c>
      <c r="E112" t="s">
        <v>4168</v>
      </c>
      <c r="F112" t="s">
        <v>5761</v>
      </c>
      <c r="G112" t="s">
        <v>57</v>
      </c>
      <c r="H112">
        <v>3040092</v>
      </c>
      <c r="I112">
        <v>3040721</v>
      </c>
      <c r="J112" t="s">
        <v>4169</v>
      </c>
      <c r="K112">
        <v>210</v>
      </c>
      <c r="L112" t="s">
        <v>59</v>
      </c>
      <c r="M112">
        <v>5</v>
      </c>
      <c r="N112" t="str">
        <f>HYPERLINK("Gene3087-zp_tree_all.dnd", "Gene3087-tree")</f>
        <v>Gene3087-tree</v>
      </c>
      <c r="O112">
        <v>2</v>
      </c>
      <c r="P112">
        <v>3</v>
      </c>
      <c r="Q112">
        <v>2</v>
      </c>
      <c r="R112">
        <v>3</v>
      </c>
      <c r="S112">
        <v>0.6</v>
      </c>
      <c r="T112" t="s">
        <v>135</v>
      </c>
      <c r="U112" t="s">
        <v>84</v>
      </c>
      <c r="V112" t="s">
        <v>62</v>
      </c>
      <c r="W112" t="s">
        <v>62</v>
      </c>
      <c r="X112">
        <v>0</v>
      </c>
      <c r="Y112">
        <v>0</v>
      </c>
      <c r="Z112">
        <v>8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4</v>
      </c>
      <c r="AK112">
        <v>0</v>
      </c>
      <c r="AL112">
        <v>5</v>
      </c>
      <c r="AM112">
        <v>2</v>
      </c>
      <c r="AN112">
        <v>20</v>
      </c>
      <c r="AO112">
        <v>4</v>
      </c>
      <c r="AP112">
        <v>13</v>
      </c>
      <c r="AQ112">
        <v>4</v>
      </c>
      <c r="AR112" t="s">
        <v>4170</v>
      </c>
      <c r="AS112" t="s">
        <v>4171</v>
      </c>
      <c r="AT112">
        <v>0.25600000000000001</v>
      </c>
      <c r="AU112" t="s">
        <v>65</v>
      </c>
      <c r="AV112">
        <v>33</v>
      </c>
      <c r="AW112">
        <v>8</v>
      </c>
      <c r="AX112" t="s">
        <v>4172</v>
      </c>
      <c r="AY112" t="s">
        <v>4173</v>
      </c>
      <c r="AZ112" t="s">
        <v>4174</v>
      </c>
      <c r="BA112">
        <v>6.8669999999999995E-2</v>
      </c>
      <c r="BB112">
        <v>1</v>
      </c>
      <c r="BC112" t="s">
        <v>69</v>
      </c>
      <c r="BD112">
        <v>0.35399999999999998</v>
      </c>
      <c r="BE112">
        <v>0.14799999999999999</v>
      </c>
    </row>
    <row r="113" spans="1:57">
      <c r="A113">
        <v>0</v>
      </c>
      <c r="B113">
        <v>0</v>
      </c>
      <c r="C113">
        <v>0</v>
      </c>
      <c r="D113">
        <v>3088</v>
      </c>
      <c r="E113" t="s">
        <v>4175</v>
      </c>
      <c r="F113" t="s">
        <v>5761</v>
      </c>
      <c r="G113" t="s">
        <v>57</v>
      </c>
      <c r="H113">
        <v>3040751</v>
      </c>
      <c r="I113">
        <v>3041392</v>
      </c>
      <c r="J113" t="s">
        <v>4176</v>
      </c>
      <c r="K113">
        <v>214</v>
      </c>
      <c r="L113" t="s">
        <v>59</v>
      </c>
      <c r="M113">
        <v>5</v>
      </c>
      <c r="N113" t="str">
        <f>HYPERLINK("Gene3088-zp_tree_all.dnd", "Gene3088-tree")</f>
        <v>Gene3088-tree</v>
      </c>
      <c r="O113">
        <v>2</v>
      </c>
      <c r="P113">
        <v>3</v>
      </c>
      <c r="Q113">
        <v>2</v>
      </c>
      <c r="R113">
        <v>3</v>
      </c>
      <c r="S113">
        <v>0.6</v>
      </c>
      <c r="T113" t="s">
        <v>135</v>
      </c>
      <c r="U113" t="s">
        <v>84</v>
      </c>
      <c r="V113" t="s">
        <v>62</v>
      </c>
      <c r="W113" t="s">
        <v>62</v>
      </c>
      <c r="X113">
        <v>0</v>
      </c>
      <c r="Y113">
        <v>0</v>
      </c>
      <c r="Z113">
        <v>10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4</v>
      </c>
      <c r="AK113">
        <v>0</v>
      </c>
      <c r="AL113">
        <v>5</v>
      </c>
      <c r="AM113">
        <v>2</v>
      </c>
      <c r="AN113">
        <v>13</v>
      </c>
      <c r="AO113">
        <v>4</v>
      </c>
      <c r="AP113">
        <v>18</v>
      </c>
      <c r="AQ113">
        <v>6</v>
      </c>
      <c r="AR113" t="s">
        <v>4177</v>
      </c>
      <c r="AS113" t="s">
        <v>4178</v>
      </c>
      <c r="AT113">
        <v>1.4E-2</v>
      </c>
      <c r="AU113" t="s">
        <v>65</v>
      </c>
      <c r="AV113">
        <v>31</v>
      </c>
      <c r="AW113">
        <v>10</v>
      </c>
      <c r="AX113" t="s">
        <v>4179</v>
      </c>
      <c r="AY113" t="s">
        <v>4180</v>
      </c>
      <c r="AZ113" t="s">
        <v>4181</v>
      </c>
      <c r="BA113">
        <v>8.3690000000000001E-2</v>
      </c>
      <c r="BB113">
        <v>1</v>
      </c>
      <c r="BC113" t="s">
        <v>69</v>
      </c>
      <c r="BD113">
        <v>0.83499999999999996</v>
      </c>
      <c r="BE113">
        <v>0.67500000000000004</v>
      </c>
    </row>
    <row r="114" spans="1:57">
      <c r="A114">
        <v>0</v>
      </c>
      <c r="B114">
        <v>0</v>
      </c>
      <c r="C114">
        <v>0</v>
      </c>
      <c r="D114">
        <v>361</v>
      </c>
      <c r="E114" t="s">
        <v>794</v>
      </c>
      <c r="F114" t="s">
        <v>5761</v>
      </c>
      <c r="G114" t="s">
        <v>62</v>
      </c>
      <c r="H114">
        <v>408243</v>
      </c>
      <c r="I114">
        <v>408887</v>
      </c>
      <c r="J114" t="s">
        <v>795</v>
      </c>
      <c r="K114">
        <v>215</v>
      </c>
      <c r="L114" t="s">
        <v>83</v>
      </c>
      <c r="M114">
        <v>4</v>
      </c>
      <c r="N114" t="str">
        <f>HYPERLINK("Gene361-zp_tree_all.dnd", "Gene361-tree")</f>
        <v>Gene361-tree</v>
      </c>
      <c r="O114">
        <v>2</v>
      </c>
      <c r="P114">
        <v>2</v>
      </c>
      <c r="Q114">
        <v>2</v>
      </c>
      <c r="R114">
        <v>2</v>
      </c>
      <c r="S114">
        <v>0.5</v>
      </c>
      <c r="T114" t="s">
        <v>135</v>
      </c>
      <c r="U114" t="s">
        <v>135</v>
      </c>
      <c r="V114" t="s">
        <v>62</v>
      </c>
      <c r="W114" t="s">
        <v>62</v>
      </c>
      <c r="X114">
        <v>0</v>
      </c>
      <c r="Y114">
        <v>0</v>
      </c>
      <c r="Z114">
        <v>8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8</v>
      </c>
      <c r="AK114">
        <v>0</v>
      </c>
      <c r="AL114">
        <v>4</v>
      </c>
      <c r="AM114">
        <v>1</v>
      </c>
      <c r="AN114">
        <v>25</v>
      </c>
      <c r="AO114">
        <v>8</v>
      </c>
      <c r="AP114">
        <v>1</v>
      </c>
      <c r="AQ114">
        <v>0</v>
      </c>
      <c r="AR114" t="s">
        <v>796</v>
      </c>
      <c r="AS114" t="s">
        <v>64</v>
      </c>
      <c r="AT114">
        <v>0.94499999999999995</v>
      </c>
      <c r="AU114" t="s">
        <v>65</v>
      </c>
      <c r="AV114">
        <v>26</v>
      </c>
      <c r="AW114">
        <v>8</v>
      </c>
      <c r="AX114" t="s">
        <v>797</v>
      </c>
      <c r="AY114" t="s">
        <v>798</v>
      </c>
      <c r="AZ114" t="s">
        <v>799</v>
      </c>
      <c r="BA114">
        <v>0.10077</v>
      </c>
      <c r="BB114">
        <v>1</v>
      </c>
      <c r="BC114" t="s">
        <v>69</v>
      </c>
      <c r="BD114">
        <v>-0.57499999999999996</v>
      </c>
      <c r="BE114">
        <v>-0.86299999999999999</v>
      </c>
    </row>
    <row r="115" spans="1:57">
      <c r="A115">
        <v>0</v>
      </c>
      <c r="B115">
        <v>0</v>
      </c>
      <c r="C115">
        <v>0</v>
      </c>
      <c r="D115">
        <v>3679</v>
      </c>
      <c r="E115" t="s">
        <v>4990</v>
      </c>
      <c r="F115" t="s">
        <v>5761</v>
      </c>
      <c r="G115" t="s">
        <v>57</v>
      </c>
      <c r="H115">
        <v>3646753</v>
      </c>
      <c r="I115">
        <v>3647403</v>
      </c>
      <c r="J115" t="s">
        <v>4991</v>
      </c>
      <c r="K115">
        <v>217</v>
      </c>
      <c r="L115" t="s">
        <v>112</v>
      </c>
      <c r="M115">
        <v>4</v>
      </c>
      <c r="N115" t="str">
        <f>HYPERLINK("Gene3679-zp_tree_all.dnd", "Gene3679-tree")</f>
        <v>Gene3679-tree</v>
      </c>
      <c r="O115">
        <v>2</v>
      </c>
      <c r="P115">
        <v>2</v>
      </c>
      <c r="Q115">
        <v>2</v>
      </c>
      <c r="R115">
        <v>2</v>
      </c>
      <c r="S115">
        <v>0.5</v>
      </c>
      <c r="T115" t="s">
        <v>135</v>
      </c>
      <c r="U115" t="s">
        <v>135</v>
      </c>
      <c r="V115" t="s">
        <v>62</v>
      </c>
      <c r="W115" t="s">
        <v>62</v>
      </c>
      <c r="X115">
        <v>0</v>
      </c>
      <c r="Y115">
        <v>0</v>
      </c>
      <c r="Z115">
        <v>6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6</v>
      </c>
      <c r="AK115">
        <v>0</v>
      </c>
      <c r="AL115">
        <v>4</v>
      </c>
      <c r="AM115">
        <v>1</v>
      </c>
      <c r="AN115">
        <v>28</v>
      </c>
      <c r="AO115">
        <v>6</v>
      </c>
      <c r="AP115">
        <v>4</v>
      </c>
      <c r="AQ115">
        <v>0</v>
      </c>
      <c r="AR115" t="s">
        <v>4992</v>
      </c>
      <c r="AS115" t="s">
        <v>64</v>
      </c>
      <c r="AT115">
        <v>0.63600000000000001</v>
      </c>
      <c r="AU115" t="s">
        <v>65</v>
      </c>
      <c r="AV115">
        <v>32</v>
      </c>
      <c r="AW115">
        <v>6</v>
      </c>
      <c r="AX115" t="s">
        <v>4993</v>
      </c>
      <c r="AY115" t="s">
        <v>4994</v>
      </c>
      <c r="AZ115" t="s">
        <v>4995</v>
      </c>
      <c r="BA115">
        <v>4.6120000000000001E-2</v>
      </c>
      <c r="BB115">
        <v>1</v>
      </c>
      <c r="BC115" t="s">
        <v>69</v>
      </c>
      <c r="BD115">
        <v>-0.33600000000000002</v>
      </c>
      <c r="BE115">
        <v>-0.86399999999999999</v>
      </c>
    </row>
    <row r="116" spans="1:57">
      <c r="A116">
        <v>0</v>
      </c>
      <c r="B116">
        <v>0</v>
      </c>
      <c r="C116">
        <v>2</v>
      </c>
      <c r="D116">
        <v>1992</v>
      </c>
      <c r="E116" t="s">
        <v>2840</v>
      </c>
      <c r="F116" t="s">
        <v>5761</v>
      </c>
      <c r="G116" t="s">
        <v>57</v>
      </c>
      <c r="H116">
        <v>2085303</v>
      </c>
      <c r="I116">
        <v>2085977</v>
      </c>
      <c r="J116" t="s">
        <v>2841</v>
      </c>
      <c r="K116">
        <v>225</v>
      </c>
      <c r="L116" t="s">
        <v>59</v>
      </c>
      <c r="M116">
        <v>5</v>
      </c>
      <c r="N116" t="str">
        <f>HYPERLINK("Gene1992-zp_tree_all.dnd", "Gene1992-tree")</f>
        <v>Gene1992-tree</v>
      </c>
      <c r="O116">
        <v>3</v>
      </c>
      <c r="P116">
        <v>2</v>
      </c>
      <c r="Q116">
        <v>3</v>
      </c>
      <c r="R116">
        <v>2</v>
      </c>
      <c r="S116">
        <v>0.4</v>
      </c>
      <c r="T116" t="s">
        <v>84</v>
      </c>
      <c r="U116" t="s">
        <v>135</v>
      </c>
      <c r="V116" t="s">
        <v>62</v>
      </c>
      <c r="W116" t="s">
        <v>62</v>
      </c>
      <c r="X116">
        <v>1</v>
      </c>
      <c r="Y116">
        <v>2</v>
      </c>
      <c r="Z116">
        <v>9</v>
      </c>
      <c r="AA116">
        <v>0.18182000000000001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6</v>
      </c>
      <c r="AK116">
        <v>0</v>
      </c>
      <c r="AL116">
        <v>4</v>
      </c>
      <c r="AM116">
        <v>2</v>
      </c>
      <c r="AN116">
        <v>11</v>
      </c>
      <c r="AO116">
        <v>6</v>
      </c>
      <c r="AP116">
        <v>10</v>
      </c>
      <c r="AQ116">
        <v>5</v>
      </c>
      <c r="AR116" t="s">
        <v>2842</v>
      </c>
      <c r="AS116" t="s">
        <v>2843</v>
      </c>
      <c r="AT116">
        <v>6.3E-2</v>
      </c>
      <c r="AU116" t="s">
        <v>65</v>
      </c>
      <c r="AV116">
        <v>21</v>
      </c>
      <c r="AW116">
        <v>11</v>
      </c>
      <c r="AX116" t="s">
        <v>2844</v>
      </c>
      <c r="AY116" t="s">
        <v>2845</v>
      </c>
      <c r="AZ116" t="s">
        <v>2846</v>
      </c>
      <c r="BA116">
        <v>0.15673999999999999</v>
      </c>
      <c r="BB116">
        <v>1</v>
      </c>
      <c r="BC116" t="s">
        <v>69</v>
      </c>
      <c r="BD116">
        <v>0.312</v>
      </c>
      <c r="BE116">
        <v>0.06</v>
      </c>
    </row>
    <row r="117" spans="1:57">
      <c r="A117">
        <v>0</v>
      </c>
      <c r="B117">
        <v>3</v>
      </c>
      <c r="C117">
        <v>0</v>
      </c>
      <c r="D117">
        <v>3970</v>
      </c>
      <c r="E117" t="s">
        <v>5347</v>
      </c>
      <c r="F117" t="s">
        <v>5761</v>
      </c>
      <c r="G117" t="s">
        <v>57</v>
      </c>
      <c r="H117">
        <v>3933577</v>
      </c>
      <c r="I117">
        <v>3934251</v>
      </c>
      <c r="J117" t="s">
        <v>5348</v>
      </c>
      <c r="K117">
        <v>225</v>
      </c>
      <c r="L117" t="s">
        <v>59</v>
      </c>
      <c r="M117">
        <v>5</v>
      </c>
      <c r="N117" t="str">
        <f>HYPERLINK("Gene3970-zp_tree_all.dnd", "Gene3970-tree")</f>
        <v>Gene3970-tree</v>
      </c>
      <c r="O117">
        <v>1</v>
      </c>
      <c r="P117">
        <v>4</v>
      </c>
      <c r="Q117">
        <v>1</v>
      </c>
      <c r="R117">
        <v>4</v>
      </c>
      <c r="S117">
        <v>0.8</v>
      </c>
      <c r="T117" t="s">
        <v>61</v>
      </c>
      <c r="U117" t="s">
        <v>60</v>
      </c>
      <c r="V117" t="s">
        <v>62</v>
      </c>
      <c r="W117" t="s">
        <v>62</v>
      </c>
      <c r="X117">
        <v>1</v>
      </c>
      <c r="Y117">
        <v>3</v>
      </c>
      <c r="Z117">
        <v>3</v>
      </c>
      <c r="AA117">
        <v>0.5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3</v>
      </c>
      <c r="AH117">
        <v>0</v>
      </c>
      <c r="AI117">
        <v>3</v>
      </c>
      <c r="AJ117">
        <v>3</v>
      </c>
      <c r="AK117">
        <v>0.5</v>
      </c>
      <c r="AL117">
        <v>5</v>
      </c>
      <c r="AM117">
        <v>2</v>
      </c>
      <c r="AN117">
        <v>29</v>
      </c>
      <c r="AO117">
        <v>6</v>
      </c>
      <c r="AP117">
        <v>16</v>
      </c>
      <c r="AQ117">
        <v>1</v>
      </c>
      <c r="AR117" t="s">
        <v>5349</v>
      </c>
      <c r="AS117" t="s">
        <v>5350</v>
      </c>
      <c r="AT117">
        <v>1.5660000000000001</v>
      </c>
      <c r="AU117" t="s">
        <v>65</v>
      </c>
      <c r="AV117">
        <v>45</v>
      </c>
      <c r="AW117">
        <v>7</v>
      </c>
      <c r="AX117" t="s">
        <v>5351</v>
      </c>
      <c r="AY117" t="s">
        <v>5352</v>
      </c>
      <c r="AZ117" t="s">
        <v>5353</v>
      </c>
      <c r="BA117">
        <v>4.2869999999999998E-2</v>
      </c>
      <c r="BB117">
        <v>1</v>
      </c>
      <c r="BC117" t="s">
        <v>69</v>
      </c>
      <c r="BD117">
        <v>0.246</v>
      </c>
      <c r="BE117">
        <v>-9.6000000000000002E-2</v>
      </c>
    </row>
    <row r="118" spans="1:57">
      <c r="A118">
        <v>0</v>
      </c>
      <c r="B118">
        <v>0</v>
      </c>
      <c r="C118">
        <v>0</v>
      </c>
      <c r="D118">
        <v>3424</v>
      </c>
      <c r="E118" t="s">
        <v>4708</v>
      </c>
      <c r="F118" t="s">
        <v>5761</v>
      </c>
      <c r="G118" t="s">
        <v>57</v>
      </c>
      <c r="H118">
        <v>3385724</v>
      </c>
      <c r="I118">
        <v>3386398</v>
      </c>
      <c r="J118" t="s">
        <v>4709</v>
      </c>
      <c r="K118">
        <v>225</v>
      </c>
      <c r="L118" t="s">
        <v>112</v>
      </c>
      <c r="M118">
        <v>4</v>
      </c>
      <c r="N118" t="str">
        <f>HYPERLINK("Gene3424-zp_tree_all.dnd", "Gene3424-tree")</f>
        <v>Gene3424-tree</v>
      </c>
      <c r="O118">
        <v>3</v>
      </c>
      <c r="P118">
        <v>1</v>
      </c>
      <c r="Q118">
        <v>3</v>
      </c>
      <c r="R118">
        <v>1</v>
      </c>
      <c r="S118">
        <v>0.25</v>
      </c>
      <c r="T118" t="s">
        <v>84</v>
      </c>
      <c r="U118" t="s">
        <v>61</v>
      </c>
      <c r="V118" t="s">
        <v>62</v>
      </c>
      <c r="W118" t="s">
        <v>62</v>
      </c>
      <c r="X118">
        <v>0</v>
      </c>
      <c r="Y118">
        <v>0</v>
      </c>
      <c r="Z118">
        <v>3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3</v>
      </c>
      <c r="AK118">
        <v>0</v>
      </c>
      <c r="AL118">
        <v>4</v>
      </c>
      <c r="AM118">
        <v>1</v>
      </c>
      <c r="AN118">
        <v>26</v>
      </c>
      <c r="AO118">
        <v>3</v>
      </c>
      <c r="AP118">
        <v>3</v>
      </c>
      <c r="AQ118">
        <v>0</v>
      </c>
      <c r="AR118" t="s">
        <v>4710</v>
      </c>
      <c r="AS118" t="s">
        <v>64</v>
      </c>
      <c r="AT118">
        <v>0.42199999999999999</v>
      </c>
      <c r="AU118" t="s">
        <v>65</v>
      </c>
      <c r="AV118">
        <v>29</v>
      </c>
      <c r="AW118">
        <v>3</v>
      </c>
      <c r="AX118" t="s">
        <v>4711</v>
      </c>
      <c r="AY118" t="s">
        <v>4712</v>
      </c>
      <c r="AZ118" t="s">
        <v>4713</v>
      </c>
      <c r="BA118">
        <v>2.8740000000000002E-2</v>
      </c>
      <c r="BB118">
        <v>1</v>
      </c>
      <c r="BC118" t="s">
        <v>69</v>
      </c>
      <c r="BD118">
        <v>-0.45400000000000001</v>
      </c>
      <c r="BE118">
        <v>-0.76</v>
      </c>
    </row>
    <row r="119" spans="1:57">
      <c r="A119">
        <v>0</v>
      </c>
      <c r="B119">
        <v>2</v>
      </c>
      <c r="C119">
        <v>0</v>
      </c>
      <c r="D119">
        <v>2289</v>
      </c>
      <c r="E119" t="s">
        <v>2960</v>
      </c>
      <c r="F119" t="s">
        <v>5761</v>
      </c>
      <c r="G119" t="s">
        <v>57</v>
      </c>
      <c r="H119">
        <v>2309730</v>
      </c>
      <c r="I119">
        <v>2310416</v>
      </c>
      <c r="J119" t="s">
        <v>2961</v>
      </c>
      <c r="K119">
        <v>229</v>
      </c>
      <c r="L119" t="s">
        <v>59</v>
      </c>
      <c r="M119">
        <v>5</v>
      </c>
      <c r="N119" t="str">
        <f>HYPERLINK("Gene2289-zp_tree_all.dnd", "Gene2289-tree")</f>
        <v>Gene2289-tree</v>
      </c>
      <c r="O119">
        <v>4</v>
      </c>
      <c r="P119">
        <v>1</v>
      </c>
      <c r="Q119">
        <v>4</v>
      </c>
      <c r="R119">
        <v>1</v>
      </c>
      <c r="S119">
        <v>0.2</v>
      </c>
      <c r="T119" t="s">
        <v>60</v>
      </c>
      <c r="U119" t="s">
        <v>61</v>
      </c>
      <c r="V119" t="s">
        <v>62</v>
      </c>
      <c r="W119" t="s">
        <v>62</v>
      </c>
      <c r="X119">
        <v>1</v>
      </c>
      <c r="Y119">
        <v>2</v>
      </c>
      <c r="Z119">
        <v>5</v>
      </c>
      <c r="AA119">
        <v>0.28571000000000002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2</v>
      </c>
      <c r="AK119">
        <v>0</v>
      </c>
      <c r="AL119">
        <v>5</v>
      </c>
      <c r="AM119">
        <v>2</v>
      </c>
      <c r="AN119">
        <v>13</v>
      </c>
      <c r="AO119">
        <v>2</v>
      </c>
      <c r="AP119">
        <v>20</v>
      </c>
      <c r="AQ119">
        <v>5</v>
      </c>
      <c r="AR119" t="s">
        <v>2962</v>
      </c>
      <c r="AS119" t="s">
        <v>2963</v>
      </c>
      <c r="AT119">
        <v>0.20399999999999999</v>
      </c>
      <c r="AU119" t="s">
        <v>65</v>
      </c>
      <c r="AV119">
        <v>33</v>
      </c>
      <c r="AW119">
        <v>7</v>
      </c>
      <c r="AX119" t="s">
        <v>2964</v>
      </c>
      <c r="AY119" t="s">
        <v>2965</v>
      </c>
      <c r="AZ119" t="s">
        <v>2966</v>
      </c>
      <c r="BA119">
        <v>6.0290000000000003E-2</v>
      </c>
      <c r="BB119">
        <v>1</v>
      </c>
      <c r="BC119" t="s">
        <v>69</v>
      </c>
      <c r="BD119">
        <v>1.181</v>
      </c>
      <c r="BE119">
        <v>0.747</v>
      </c>
    </row>
    <row r="120" spans="1:57">
      <c r="A120">
        <v>0</v>
      </c>
      <c r="B120">
        <v>0</v>
      </c>
      <c r="C120">
        <v>0</v>
      </c>
      <c r="D120">
        <v>1399</v>
      </c>
      <c r="E120" t="s">
        <v>1846</v>
      </c>
      <c r="F120" t="s">
        <v>5761</v>
      </c>
      <c r="G120" t="s">
        <v>62</v>
      </c>
      <c r="H120">
        <v>1414128</v>
      </c>
      <c r="I120">
        <v>1414826</v>
      </c>
      <c r="J120" t="s">
        <v>1847</v>
      </c>
      <c r="K120">
        <v>233</v>
      </c>
      <c r="L120" t="s">
        <v>83</v>
      </c>
      <c r="M120">
        <v>4</v>
      </c>
      <c r="N120" t="str">
        <f>HYPERLINK("Gene1399-zp_tree_all.dnd", "Gene1399-tree")</f>
        <v>Gene1399-tree</v>
      </c>
      <c r="O120">
        <v>2</v>
      </c>
      <c r="P120">
        <v>2</v>
      </c>
      <c r="Q120">
        <v>2</v>
      </c>
      <c r="R120">
        <v>2</v>
      </c>
      <c r="S120">
        <v>0.5</v>
      </c>
      <c r="T120" t="s">
        <v>135</v>
      </c>
      <c r="U120" t="s">
        <v>135</v>
      </c>
      <c r="V120" t="s">
        <v>62</v>
      </c>
      <c r="W120" t="s">
        <v>62</v>
      </c>
      <c r="X120">
        <v>0</v>
      </c>
      <c r="Y120">
        <v>0</v>
      </c>
      <c r="Z120">
        <v>9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8</v>
      </c>
      <c r="AK120">
        <v>0</v>
      </c>
      <c r="AL120">
        <v>4</v>
      </c>
      <c r="AM120">
        <v>1</v>
      </c>
      <c r="AN120">
        <v>26</v>
      </c>
      <c r="AO120">
        <v>9</v>
      </c>
      <c r="AP120">
        <v>2</v>
      </c>
      <c r="AQ120">
        <v>1</v>
      </c>
      <c r="AR120" t="s">
        <v>1848</v>
      </c>
      <c r="AS120" t="s">
        <v>1849</v>
      </c>
      <c r="AT120">
        <v>0.27300000000000002</v>
      </c>
      <c r="AU120" t="s">
        <v>65</v>
      </c>
      <c r="AV120">
        <v>28</v>
      </c>
      <c r="AW120">
        <v>10</v>
      </c>
      <c r="AX120" t="s">
        <v>1850</v>
      </c>
      <c r="AY120" t="s">
        <v>1851</v>
      </c>
      <c r="AZ120" t="s">
        <v>1852</v>
      </c>
      <c r="BA120">
        <v>9.6710000000000004E-2</v>
      </c>
      <c r="BB120">
        <v>1</v>
      </c>
      <c r="BC120" t="s">
        <v>69</v>
      </c>
      <c r="BD120">
        <v>-0.436</v>
      </c>
      <c r="BE120">
        <v>-0.69299999999999995</v>
      </c>
    </row>
    <row r="121" spans="1:57">
      <c r="A121">
        <v>0</v>
      </c>
      <c r="B121">
        <v>2</v>
      </c>
      <c r="C121">
        <v>0</v>
      </c>
      <c r="D121">
        <v>363</v>
      </c>
      <c r="E121" t="s">
        <v>807</v>
      </c>
      <c r="F121" t="s">
        <v>5761</v>
      </c>
      <c r="G121" t="s">
        <v>62</v>
      </c>
      <c r="H121">
        <v>409968</v>
      </c>
      <c r="I121">
        <v>410669</v>
      </c>
      <c r="J121" t="s">
        <v>808</v>
      </c>
      <c r="K121">
        <v>234</v>
      </c>
      <c r="L121" t="s">
        <v>59</v>
      </c>
      <c r="M121">
        <v>5</v>
      </c>
      <c r="N121" t="str">
        <f>HYPERLINK("Gene363-zp_tree_all.dnd", "Gene363-tree")</f>
        <v>Gene363-tree</v>
      </c>
      <c r="O121">
        <v>3</v>
      </c>
      <c r="P121">
        <v>2</v>
      </c>
      <c r="Q121">
        <v>3</v>
      </c>
      <c r="R121">
        <v>2</v>
      </c>
      <c r="S121">
        <v>0.4</v>
      </c>
      <c r="T121" t="s">
        <v>84</v>
      </c>
      <c r="U121" t="s">
        <v>135</v>
      </c>
      <c r="V121" t="s">
        <v>62</v>
      </c>
      <c r="W121" t="s">
        <v>62</v>
      </c>
      <c r="X121">
        <v>1</v>
      </c>
      <c r="Y121">
        <v>2</v>
      </c>
      <c r="Z121">
        <v>3</v>
      </c>
      <c r="AA121">
        <v>0.4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3</v>
      </c>
      <c r="AK121">
        <v>0</v>
      </c>
      <c r="AL121">
        <v>4</v>
      </c>
      <c r="AM121">
        <v>2</v>
      </c>
      <c r="AN121">
        <v>9</v>
      </c>
      <c r="AO121">
        <v>3</v>
      </c>
      <c r="AP121">
        <v>10</v>
      </c>
      <c r="AQ121">
        <v>2</v>
      </c>
      <c r="AR121" t="s">
        <v>809</v>
      </c>
      <c r="AS121" t="s">
        <v>810</v>
      </c>
      <c r="AT121">
        <v>0.56499999999999995</v>
      </c>
      <c r="AU121" t="s">
        <v>65</v>
      </c>
      <c r="AV121">
        <v>19</v>
      </c>
      <c r="AW121">
        <v>5</v>
      </c>
      <c r="AX121" t="s">
        <v>811</v>
      </c>
      <c r="AY121" t="s">
        <v>812</v>
      </c>
      <c r="AZ121" t="s">
        <v>813</v>
      </c>
      <c r="BA121">
        <v>6.9269999999999998E-2</v>
      </c>
      <c r="BB121">
        <v>1</v>
      </c>
      <c r="BC121" t="s">
        <v>69</v>
      </c>
      <c r="BD121">
        <v>0.52</v>
      </c>
      <c r="BE121">
        <v>0.16900000000000001</v>
      </c>
    </row>
    <row r="122" spans="1:57">
      <c r="A122">
        <v>0</v>
      </c>
      <c r="B122">
        <v>0</v>
      </c>
      <c r="C122">
        <v>0</v>
      </c>
      <c r="D122">
        <v>362</v>
      </c>
      <c r="E122" t="s">
        <v>800</v>
      </c>
      <c r="F122" t="s">
        <v>5761</v>
      </c>
      <c r="G122" t="s">
        <v>62</v>
      </c>
      <c r="H122">
        <v>409211</v>
      </c>
      <c r="I122">
        <v>409951</v>
      </c>
      <c r="J122" t="s">
        <v>801</v>
      </c>
      <c r="K122">
        <v>247</v>
      </c>
      <c r="L122" t="s">
        <v>59</v>
      </c>
      <c r="M122">
        <v>5</v>
      </c>
      <c r="N122" t="str">
        <f>HYPERLINK("Gene362-zp_tree_all.dnd", "Gene362-tree")</f>
        <v>Gene362-tree</v>
      </c>
      <c r="O122">
        <v>2</v>
      </c>
      <c r="P122">
        <v>3</v>
      </c>
      <c r="Q122">
        <v>2</v>
      </c>
      <c r="R122">
        <v>3</v>
      </c>
      <c r="S122">
        <v>0.6</v>
      </c>
      <c r="T122" t="s">
        <v>135</v>
      </c>
      <c r="U122" t="s">
        <v>84</v>
      </c>
      <c r="V122" t="s">
        <v>62</v>
      </c>
      <c r="W122" t="s">
        <v>62</v>
      </c>
      <c r="X122">
        <v>0</v>
      </c>
      <c r="Y122">
        <v>0</v>
      </c>
      <c r="Z122">
        <v>8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6</v>
      </c>
      <c r="AK122">
        <v>0</v>
      </c>
      <c r="AL122">
        <v>5</v>
      </c>
      <c r="AM122">
        <v>2</v>
      </c>
      <c r="AN122">
        <v>26</v>
      </c>
      <c r="AO122">
        <v>6</v>
      </c>
      <c r="AP122">
        <v>20</v>
      </c>
      <c r="AQ122">
        <v>2</v>
      </c>
      <c r="AR122" t="s">
        <v>802</v>
      </c>
      <c r="AS122" t="s">
        <v>803</v>
      </c>
      <c r="AT122">
        <v>0.77900000000000003</v>
      </c>
      <c r="AU122" t="s">
        <v>65</v>
      </c>
      <c r="AV122">
        <v>46</v>
      </c>
      <c r="AW122">
        <v>8</v>
      </c>
      <c r="AX122" t="s">
        <v>804</v>
      </c>
      <c r="AY122" t="s">
        <v>805</v>
      </c>
      <c r="AZ122" t="s">
        <v>806</v>
      </c>
      <c r="BA122">
        <v>4.3389999999999998E-2</v>
      </c>
      <c r="BB122">
        <v>1</v>
      </c>
      <c r="BC122" t="s">
        <v>69</v>
      </c>
      <c r="BD122">
        <v>0.13300000000000001</v>
      </c>
      <c r="BE122">
        <v>1.2E-2</v>
      </c>
    </row>
    <row r="123" spans="1:57">
      <c r="A123">
        <v>0</v>
      </c>
      <c r="B123">
        <v>0</v>
      </c>
      <c r="C123">
        <v>0</v>
      </c>
      <c r="D123">
        <v>804</v>
      </c>
      <c r="E123" t="s">
        <v>1264</v>
      </c>
      <c r="F123" t="s">
        <v>5761</v>
      </c>
      <c r="G123" t="s">
        <v>62</v>
      </c>
      <c r="H123">
        <v>839738</v>
      </c>
      <c r="I123">
        <v>840484</v>
      </c>
      <c r="J123" t="s">
        <v>1265</v>
      </c>
      <c r="K123">
        <v>249</v>
      </c>
      <c r="L123" t="s">
        <v>59</v>
      </c>
      <c r="M123">
        <v>5</v>
      </c>
      <c r="N123" t="str">
        <f>HYPERLINK("Gene804-zp_tree_all.dnd", "Gene804-tree")</f>
        <v>Gene804-tree</v>
      </c>
      <c r="O123">
        <v>5</v>
      </c>
      <c r="P123">
        <v>0</v>
      </c>
      <c r="Q123">
        <v>5</v>
      </c>
      <c r="R123">
        <v>0</v>
      </c>
      <c r="S123">
        <v>0</v>
      </c>
      <c r="T123" t="s">
        <v>98</v>
      </c>
      <c r="U123" t="s">
        <v>62</v>
      </c>
      <c r="V123" t="s">
        <v>62</v>
      </c>
      <c r="W123" t="s">
        <v>62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5</v>
      </c>
      <c r="AM123">
        <v>2</v>
      </c>
      <c r="AN123">
        <v>30</v>
      </c>
      <c r="AO123">
        <v>0</v>
      </c>
      <c r="AP123">
        <v>24</v>
      </c>
      <c r="AQ123">
        <v>1</v>
      </c>
      <c r="AR123" t="s">
        <v>64</v>
      </c>
      <c r="AS123" t="s">
        <v>1266</v>
      </c>
      <c r="AT123">
        <v>0.76300000000000001</v>
      </c>
      <c r="AU123" t="s">
        <v>65</v>
      </c>
      <c r="AV123">
        <v>54</v>
      </c>
      <c r="AW123">
        <v>1</v>
      </c>
      <c r="AX123" t="s">
        <v>1267</v>
      </c>
      <c r="AY123" t="s">
        <v>1268</v>
      </c>
      <c r="AZ123" t="s">
        <v>1269</v>
      </c>
      <c r="BA123">
        <v>6.1000000000000004E-3</v>
      </c>
      <c r="BB123">
        <v>1</v>
      </c>
      <c r="BC123" t="s">
        <v>69</v>
      </c>
      <c r="BD123">
        <v>0.438</v>
      </c>
      <c r="BE123">
        <v>0.28399999999999997</v>
      </c>
    </row>
    <row r="124" spans="1:57">
      <c r="A124">
        <v>0</v>
      </c>
      <c r="B124">
        <v>0</v>
      </c>
      <c r="C124">
        <v>0</v>
      </c>
      <c r="D124">
        <v>4118</v>
      </c>
      <c r="E124" t="s">
        <v>5584</v>
      </c>
      <c r="F124" t="s">
        <v>5761</v>
      </c>
      <c r="G124" t="s">
        <v>57</v>
      </c>
      <c r="H124">
        <v>4084799</v>
      </c>
      <c r="I124">
        <v>4085551</v>
      </c>
      <c r="J124" t="s">
        <v>5585</v>
      </c>
      <c r="K124">
        <v>251</v>
      </c>
      <c r="L124" t="s">
        <v>83</v>
      </c>
      <c r="M124">
        <v>4</v>
      </c>
      <c r="N124" t="str">
        <f>HYPERLINK("Gene4118-zp_tree_all.dnd", "Gene4118-tree")</f>
        <v>Gene4118-tree</v>
      </c>
      <c r="O124">
        <v>3</v>
      </c>
      <c r="P124">
        <v>1</v>
      </c>
      <c r="Q124">
        <v>3</v>
      </c>
      <c r="R124">
        <v>1</v>
      </c>
      <c r="S124">
        <v>0.25</v>
      </c>
      <c r="T124" t="s">
        <v>84</v>
      </c>
      <c r="U124" t="s">
        <v>61</v>
      </c>
      <c r="V124" t="s">
        <v>62</v>
      </c>
      <c r="W124" t="s">
        <v>62</v>
      </c>
      <c r="X124">
        <v>0</v>
      </c>
      <c r="Y124">
        <v>0</v>
      </c>
      <c r="Z124">
        <v>3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3</v>
      </c>
      <c r="AK124">
        <v>0</v>
      </c>
      <c r="AL124">
        <v>4</v>
      </c>
      <c r="AM124">
        <v>1</v>
      </c>
      <c r="AN124">
        <v>36</v>
      </c>
      <c r="AO124">
        <v>3</v>
      </c>
      <c r="AP124">
        <v>2</v>
      </c>
      <c r="AQ124">
        <v>0</v>
      </c>
      <c r="AR124" t="s">
        <v>5586</v>
      </c>
      <c r="AS124" t="s">
        <v>64</v>
      </c>
      <c r="AT124">
        <v>0.434</v>
      </c>
      <c r="AU124" t="s">
        <v>65</v>
      </c>
      <c r="AV124">
        <v>38</v>
      </c>
      <c r="AW124">
        <v>3</v>
      </c>
      <c r="AX124" t="s">
        <v>5587</v>
      </c>
      <c r="AY124" t="s">
        <v>5588</v>
      </c>
      <c r="AZ124" t="s">
        <v>5589</v>
      </c>
      <c r="BA124">
        <v>2.0539999999999999E-2</v>
      </c>
      <c r="BB124">
        <v>1</v>
      </c>
      <c r="BC124" t="s">
        <v>69</v>
      </c>
      <c r="BD124">
        <v>-0.627</v>
      </c>
      <c r="BE124">
        <v>-0.627</v>
      </c>
    </row>
    <row r="125" spans="1:57">
      <c r="A125">
        <v>0</v>
      </c>
      <c r="B125">
        <v>0</v>
      </c>
      <c r="C125">
        <v>0</v>
      </c>
      <c r="D125">
        <v>3992</v>
      </c>
      <c r="E125" t="s">
        <v>5382</v>
      </c>
      <c r="F125" t="s">
        <v>5761</v>
      </c>
      <c r="G125" t="s">
        <v>57</v>
      </c>
      <c r="H125">
        <v>3956492</v>
      </c>
      <c r="I125">
        <v>3957247</v>
      </c>
      <c r="J125" t="s">
        <v>4763</v>
      </c>
      <c r="K125">
        <v>252</v>
      </c>
      <c r="L125" t="s">
        <v>83</v>
      </c>
      <c r="M125">
        <v>4</v>
      </c>
      <c r="N125" t="str">
        <f>HYPERLINK("Gene3992-zp_tree_all.dnd", "Gene3992-tree")</f>
        <v>Gene3992-tree</v>
      </c>
      <c r="O125">
        <v>0</v>
      </c>
      <c r="P125">
        <v>4</v>
      </c>
      <c r="Q125">
        <v>0</v>
      </c>
      <c r="R125">
        <v>4</v>
      </c>
      <c r="S125">
        <v>1</v>
      </c>
      <c r="T125" t="s">
        <v>62</v>
      </c>
      <c r="U125" t="s">
        <v>60</v>
      </c>
      <c r="V125" t="s">
        <v>62</v>
      </c>
      <c r="W125" t="s">
        <v>62</v>
      </c>
      <c r="X125">
        <v>0</v>
      </c>
      <c r="Y125">
        <v>0</v>
      </c>
      <c r="Z125">
        <v>10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10</v>
      </c>
      <c r="AK125">
        <v>0</v>
      </c>
      <c r="AL125">
        <v>4</v>
      </c>
      <c r="AM125">
        <v>1</v>
      </c>
      <c r="AN125">
        <v>32</v>
      </c>
      <c r="AO125">
        <v>11</v>
      </c>
      <c r="AP125">
        <v>3</v>
      </c>
      <c r="AQ125">
        <v>0</v>
      </c>
      <c r="AR125" t="s">
        <v>5383</v>
      </c>
      <c r="AS125" t="s">
        <v>64</v>
      </c>
      <c r="AT125">
        <v>0.95199999999999996</v>
      </c>
      <c r="AU125" t="s">
        <v>65</v>
      </c>
      <c r="AV125">
        <v>35</v>
      </c>
      <c r="AW125">
        <v>11</v>
      </c>
      <c r="AX125" t="s">
        <v>5384</v>
      </c>
      <c r="AY125" t="s">
        <v>5385</v>
      </c>
      <c r="AZ125" t="s">
        <v>5386</v>
      </c>
      <c r="BA125">
        <v>8.3320000000000005E-2</v>
      </c>
      <c r="BB125">
        <v>1</v>
      </c>
      <c r="BC125" t="s">
        <v>69</v>
      </c>
      <c r="BD125">
        <v>-0.51300000000000001</v>
      </c>
      <c r="BE125">
        <v>-0.72499999999999998</v>
      </c>
    </row>
    <row r="126" spans="1:57">
      <c r="A126">
        <v>0</v>
      </c>
      <c r="B126">
        <v>0</v>
      </c>
      <c r="C126">
        <v>0</v>
      </c>
      <c r="D126">
        <v>1284</v>
      </c>
      <c r="E126" t="s">
        <v>1751</v>
      </c>
      <c r="F126" t="s">
        <v>5761</v>
      </c>
      <c r="G126" t="s">
        <v>62</v>
      </c>
      <c r="H126">
        <v>1312854</v>
      </c>
      <c r="I126">
        <v>1313615</v>
      </c>
      <c r="J126" t="s">
        <v>1752</v>
      </c>
      <c r="K126">
        <v>254</v>
      </c>
      <c r="L126" t="s">
        <v>83</v>
      </c>
      <c r="M126">
        <v>4</v>
      </c>
      <c r="N126" t="str">
        <f>HYPERLINK("Gene1284-zp_tree_all.dnd", "Gene1284-tree")</f>
        <v>Gene1284-tree</v>
      </c>
      <c r="O126">
        <v>2</v>
      </c>
      <c r="P126">
        <v>2</v>
      </c>
      <c r="Q126">
        <v>2</v>
      </c>
      <c r="R126">
        <v>2</v>
      </c>
      <c r="S126">
        <v>0.5</v>
      </c>
      <c r="T126" t="s">
        <v>135</v>
      </c>
      <c r="U126" t="s">
        <v>135</v>
      </c>
      <c r="V126" t="s">
        <v>62</v>
      </c>
      <c r="W126" t="s">
        <v>62</v>
      </c>
      <c r="X126">
        <v>0</v>
      </c>
      <c r="Y126">
        <v>0</v>
      </c>
      <c r="Z126">
        <v>2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2</v>
      </c>
      <c r="AK126">
        <v>0</v>
      </c>
      <c r="AL126">
        <v>4</v>
      </c>
      <c r="AM126">
        <v>1</v>
      </c>
      <c r="AN126">
        <v>42</v>
      </c>
      <c r="AO126">
        <v>2</v>
      </c>
      <c r="AP126">
        <v>2</v>
      </c>
      <c r="AQ126">
        <v>0</v>
      </c>
      <c r="AR126" t="s">
        <v>1753</v>
      </c>
      <c r="AS126" t="s">
        <v>64</v>
      </c>
      <c r="AT126">
        <v>0.75700000000000001</v>
      </c>
      <c r="AU126" t="s">
        <v>65</v>
      </c>
      <c r="AV126">
        <v>44</v>
      </c>
      <c r="AW126">
        <v>2</v>
      </c>
      <c r="AX126" t="s">
        <v>1754</v>
      </c>
      <c r="AY126" t="s">
        <v>1755</v>
      </c>
      <c r="AZ126" t="s">
        <v>1756</v>
      </c>
      <c r="BA126">
        <v>1.359E-2</v>
      </c>
      <c r="BB126">
        <v>1</v>
      </c>
      <c r="BC126" t="s">
        <v>69</v>
      </c>
      <c r="BD126">
        <v>-0.57699999999999996</v>
      </c>
      <c r="BE126">
        <v>-0.57699999999999996</v>
      </c>
    </row>
    <row r="127" spans="1:57">
      <c r="A127">
        <v>0</v>
      </c>
      <c r="B127">
        <v>0</v>
      </c>
      <c r="C127">
        <v>0</v>
      </c>
      <c r="D127">
        <v>1420</v>
      </c>
      <c r="E127" t="s">
        <v>1869</v>
      </c>
      <c r="F127" t="s">
        <v>5761</v>
      </c>
      <c r="G127" t="s">
        <v>62</v>
      </c>
      <c r="H127">
        <v>1433679</v>
      </c>
      <c r="I127">
        <v>1434461</v>
      </c>
      <c r="J127" t="s">
        <v>1870</v>
      </c>
      <c r="K127">
        <v>261</v>
      </c>
      <c r="L127" t="s">
        <v>59</v>
      </c>
      <c r="M127">
        <v>5</v>
      </c>
      <c r="N127" t="str">
        <f>HYPERLINK("Gene1420-zp_tree_all.dnd", "Gene1420-tree")</f>
        <v>Gene1420-tree</v>
      </c>
      <c r="O127">
        <v>4</v>
      </c>
      <c r="P127">
        <v>1</v>
      </c>
      <c r="Q127">
        <v>4</v>
      </c>
      <c r="R127">
        <v>1</v>
      </c>
      <c r="S127">
        <v>0.2</v>
      </c>
      <c r="T127" t="s">
        <v>60</v>
      </c>
      <c r="U127" t="s">
        <v>61</v>
      </c>
      <c r="V127" t="s">
        <v>62</v>
      </c>
      <c r="W127" t="s">
        <v>62</v>
      </c>
      <c r="X127">
        <v>0</v>
      </c>
      <c r="Y127">
        <v>0</v>
      </c>
      <c r="Z127">
        <v>4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1</v>
      </c>
      <c r="AK127">
        <v>0</v>
      </c>
      <c r="AL127">
        <v>5</v>
      </c>
      <c r="AM127">
        <v>2</v>
      </c>
      <c r="AN127">
        <v>14</v>
      </c>
      <c r="AO127">
        <v>1</v>
      </c>
      <c r="AP127">
        <v>27</v>
      </c>
      <c r="AQ127">
        <v>4</v>
      </c>
      <c r="AR127" t="s">
        <v>1871</v>
      </c>
      <c r="AS127" t="s">
        <v>1872</v>
      </c>
      <c r="AT127">
        <v>0.28499999999999998</v>
      </c>
      <c r="AU127" t="s">
        <v>65</v>
      </c>
      <c r="AV127">
        <v>41</v>
      </c>
      <c r="AW127">
        <v>5</v>
      </c>
      <c r="AX127" t="s">
        <v>1873</v>
      </c>
      <c r="AY127" t="s">
        <v>1874</v>
      </c>
      <c r="AZ127" t="s">
        <v>1875</v>
      </c>
      <c r="BA127">
        <v>3.0669999999999999E-2</v>
      </c>
      <c r="BB127">
        <v>1</v>
      </c>
      <c r="BC127" t="s">
        <v>69</v>
      </c>
      <c r="BD127">
        <v>0.94199999999999995</v>
      </c>
      <c r="BE127">
        <v>0.76700000000000002</v>
      </c>
    </row>
    <row r="128" spans="1:57">
      <c r="A128">
        <v>0</v>
      </c>
      <c r="B128">
        <v>0</v>
      </c>
      <c r="C128">
        <v>0</v>
      </c>
      <c r="D128">
        <v>1421</v>
      </c>
      <c r="E128" t="s">
        <v>1876</v>
      </c>
      <c r="F128" t="s">
        <v>5761</v>
      </c>
      <c r="G128" t="s">
        <v>62</v>
      </c>
      <c r="H128">
        <v>1434436</v>
      </c>
      <c r="I128">
        <v>1435245</v>
      </c>
      <c r="J128" t="s">
        <v>1877</v>
      </c>
      <c r="K128">
        <v>270</v>
      </c>
      <c r="L128" t="s">
        <v>83</v>
      </c>
      <c r="M128">
        <v>4</v>
      </c>
      <c r="N128" t="str">
        <f>HYPERLINK("Gene1421-zp_tree_all.dnd", "Gene1421-tree")</f>
        <v>Gene1421-tree</v>
      </c>
      <c r="O128">
        <v>1</v>
      </c>
      <c r="P128">
        <v>3</v>
      </c>
      <c r="Q128">
        <v>1</v>
      </c>
      <c r="R128">
        <v>3</v>
      </c>
      <c r="S128">
        <v>0.75</v>
      </c>
      <c r="T128" t="s">
        <v>61</v>
      </c>
      <c r="U128" t="s">
        <v>84</v>
      </c>
      <c r="V128" t="s">
        <v>62</v>
      </c>
      <c r="W128" t="s">
        <v>62</v>
      </c>
      <c r="X128">
        <v>0</v>
      </c>
      <c r="Y128">
        <v>0</v>
      </c>
      <c r="Z128">
        <v>3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3</v>
      </c>
      <c r="AK128">
        <v>0</v>
      </c>
      <c r="AL128">
        <v>4</v>
      </c>
      <c r="AM128">
        <v>1</v>
      </c>
      <c r="AN128">
        <v>40</v>
      </c>
      <c r="AO128">
        <v>3</v>
      </c>
      <c r="AP128">
        <v>3</v>
      </c>
      <c r="AQ128">
        <v>0</v>
      </c>
      <c r="AR128" t="s">
        <v>1878</v>
      </c>
      <c r="AS128" t="s">
        <v>64</v>
      </c>
      <c r="AT128">
        <v>0.97</v>
      </c>
      <c r="AU128" t="s">
        <v>65</v>
      </c>
      <c r="AV128">
        <v>43</v>
      </c>
      <c r="AW128">
        <v>3</v>
      </c>
      <c r="AX128" t="s">
        <v>1879</v>
      </c>
      <c r="AY128" t="s">
        <v>1880</v>
      </c>
      <c r="AZ128" t="s">
        <v>1881</v>
      </c>
      <c r="BA128">
        <v>1.8700000000000001E-2</v>
      </c>
      <c r="BB128">
        <v>1</v>
      </c>
      <c r="BC128" t="s">
        <v>69</v>
      </c>
      <c r="BD128">
        <v>-0.34899999999999998</v>
      </c>
      <c r="BE128">
        <v>-0.79200000000000004</v>
      </c>
    </row>
    <row r="129" spans="1:57">
      <c r="A129">
        <v>0</v>
      </c>
      <c r="B129">
        <v>0</v>
      </c>
      <c r="C129">
        <v>0</v>
      </c>
      <c r="D129">
        <v>3938</v>
      </c>
      <c r="E129" t="s">
        <v>5292</v>
      </c>
      <c r="F129" t="s">
        <v>5761</v>
      </c>
      <c r="G129" t="s">
        <v>57</v>
      </c>
      <c r="H129">
        <v>3900963</v>
      </c>
      <c r="I129">
        <v>3901775</v>
      </c>
      <c r="J129" t="s">
        <v>5293</v>
      </c>
      <c r="K129">
        <v>271</v>
      </c>
      <c r="L129" t="s">
        <v>59</v>
      </c>
      <c r="M129">
        <v>5</v>
      </c>
      <c r="N129" t="str">
        <f>HYPERLINK("Gene3938-zp_tree_all.dnd", "Gene3938-tree")</f>
        <v>Gene3938-tree</v>
      </c>
      <c r="O129">
        <v>1</v>
      </c>
      <c r="P129">
        <v>4</v>
      </c>
      <c r="Q129">
        <v>1</v>
      </c>
      <c r="R129">
        <v>3</v>
      </c>
      <c r="S129">
        <v>0.75</v>
      </c>
      <c r="T129" t="s">
        <v>61</v>
      </c>
      <c r="U129" t="s">
        <v>119</v>
      </c>
      <c r="V129">
        <v>5</v>
      </c>
      <c r="W129" t="s">
        <v>286</v>
      </c>
      <c r="X129">
        <v>0</v>
      </c>
      <c r="Y129">
        <v>0</v>
      </c>
      <c r="Z129">
        <v>4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4</v>
      </c>
      <c r="AK129">
        <v>0</v>
      </c>
      <c r="AL129">
        <v>4</v>
      </c>
      <c r="AM129">
        <v>1</v>
      </c>
      <c r="AN129">
        <v>34</v>
      </c>
      <c r="AO129">
        <v>3</v>
      </c>
      <c r="AP129">
        <v>21</v>
      </c>
      <c r="AQ129">
        <v>1</v>
      </c>
      <c r="AR129" t="s">
        <v>5294</v>
      </c>
      <c r="AS129" t="s">
        <v>5295</v>
      </c>
      <c r="AT129">
        <v>1.5980000000000001</v>
      </c>
      <c r="AU129" t="s">
        <v>65</v>
      </c>
      <c r="AV129">
        <v>55</v>
      </c>
      <c r="AW129">
        <v>4</v>
      </c>
      <c r="AX129" t="s">
        <v>5296</v>
      </c>
      <c r="AY129" t="s">
        <v>5297</v>
      </c>
      <c r="AZ129" t="s">
        <v>5298</v>
      </c>
      <c r="BA129">
        <v>1.968E-2</v>
      </c>
      <c r="BB129">
        <v>1</v>
      </c>
      <c r="BC129" t="s">
        <v>69</v>
      </c>
      <c r="BD129">
        <v>0.372</v>
      </c>
      <c r="BE129">
        <v>0.114</v>
      </c>
    </row>
    <row r="130" spans="1:57">
      <c r="A130">
        <v>0</v>
      </c>
      <c r="B130">
        <v>0</v>
      </c>
      <c r="C130">
        <v>0</v>
      </c>
      <c r="D130">
        <v>2664</v>
      </c>
      <c r="E130" t="s">
        <v>3585</v>
      </c>
      <c r="F130" t="s">
        <v>5761</v>
      </c>
      <c r="G130" t="s">
        <v>57</v>
      </c>
      <c r="H130">
        <v>2641214</v>
      </c>
      <c r="I130">
        <v>2642032</v>
      </c>
      <c r="J130" t="s">
        <v>3586</v>
      </c>
      <c r="K130">
        <v>273</v>
      </c>
      <c r="L130" t="s">
        <v>83</v>
      </c>
      <c r="M130">
        <v>4</v>
      </c>
      <c r="N130" t="str">
        <f>HYPERLINK("Gene2664-zp_tree_all.dnd", "Gene2664-tree")</f>
        <v>Gene2664-tree</v>
      </c>
      <c r="O130">
        <v>1</v>
      </c>
      <c r="P130">
        <v>3</v>
      </c>
      <c r="Q130">
        <v>1</v>
      </c>
      <c r="R130">
        <v>3</v>
      </c>
      <c r="S130">
        <v>0.75</v>
      </c>
      <c r="T130" t="s">
        <v>61</v>
      </c>
      <c r="U130" t="s">
        <v>84</v>
      </c>
      <c r="V130" t="s">
        <v>62</v>
      </c>
      <c r="W130" t="s">
        <v>62</v>
      </c>
      <c r="X130">
        <v>0</v>
      </c>
      <c r="Y130">
        <v>0</v>
      </c>
      <c r="Z130">
        <v>7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7</v>
      </c>
      <c r="AK130">
        <v>0</v>
      </c>
      <c r="AL130">
        <v>3</v>
      </c>
      <c r="AM130">
        <v>1</v>
      </c>
      <c r="AN130">
        <v>47</v>
      </c>
      <c r="AO130">
        <v>7</v>
      </c>
      <c r="AP130">
        <v>1</v>
      </c>
      <c r="AQ130">
        <v>0</v>
      </c>
      <c r="AR130" t="s">
        <v>3587</v>
      </c>
      <c r="AS130" t="s">
        <v>64</v>
      </c>
      <c r="AT130">
        <v>1.5069999999999999</v>
      </c>
      <c r="AU130" t="s">
        <v>65</v>
      </c>
      <c r="AV130">
        <v>48</v>
      </c>
      <c r="AW130">
        <v>7</v>
      </c>
      <c r="AX130" t="s">
        <v>3588</v>
      </c>
      <c r="AY130" t="s">
        <v>3589</v>
      </c>
      <c r="AZ130" t="s">
        <v>3590</v>
      </c>
      <c r="BA130">
        <v>3.7139999999999999E-2</v>
      </c>
      <c r="BB130">
        <v>1</v>
      </c>
      <c r="BC130" t="s">
        <v>69</v>
      </c>
      <c r="BD130">
        <v>-0.69099999999999995</v>
      </c>
      <c r="BE130">
        <v>-0.86799999999999999</v>
      </c>
    </row>
    <row r="131" spans="1:57">
      <c r="A131">
        <v>0</v>
      </c>
      <c r="B131">
        <v>0</v>
      </c>
      <c r="C131">
        <v>0</v>
      </c>
      <c r="D131">
        <v>3979</v>
      </c>
      <c r="E131" t="s">
        <v>5354</v>
      </c>
      <c r="F131" t="s">
        <v>5761</v>
      </c>
      <c r="G131" t="s">
        <v>57</v>
      </c>
      <c r="H131">
        <v>3943667</v>
      </c>
      <c r="I131">
        <v>3944506</v>
      </c>
      <c r="J131" t="s">
        <v>5355</v>
      </c>
      <c r="K131">
        <v>280</v>
      </c>
      <c r="L131" t="s">
        <v>59</v>
      </c>
      <c r="M131">
        <v>5</v>
      </c>
      <c r="N131" t="str">
        <f>HYPERLINK("Gene3979-zp_tree_all.dnd", "Gene3979-tree")</f>
        <v>Gene3979-tree</v>
      </c>
      <c r="O131">
        <v>2</v>
      </c>
      <c r="P131">
        <v>3</v>
      </c>
      <c r="Q131">
        <v>2</v>
      </c>
      <c r="R131">
        <v>3</v>
      </c>
      <c r="S131">
        <v>0.6</v>
      </c>
      <c r="T131" t="s">
        <v>135</v>
      </c>
      <c r="U131" t="s">
        <v>84</v>
      </c>
      <c r="V131" t="s">
        <v>62</v>
      </c>
      <c r="W131" t="s">
        <v>62</v>
      </c>
      <c r="X131">
        <v>0</v>
      </c>
      <c r="Y131">
        <v>0</v>
      </c>
      <c r="Z131">
        <v>11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6</v>
      </c>
      <c r="AK131">
        <v>0</v>
      </c>
      <c r="AL131">
        <v>5</v>
      </c>
      <c r="AM131">
        <v>2</v>
      </c>
      <c r="AN131">
        <v>21</v>
      </c>
      <c r="AO131">
        <v>6</v>
      </c>
      <c r="AP131">
        <v>28</v>
      </c>
      <c r="AQ131">
        <v>5</v>
      </c>
      <c r="AR131" t="s">
        <v>5356</v>
      </c>
      <c r="AS131" t="s">
        <v>5357</v>
      </c>
      <c r="AT131">
        <v>0.55100000000000005</v>
      </c>
      <c r="AU131" t="s">
        <v>65</v>
      </c>
      <c r="AV131">
        <v>49</v>
      </c>
      <c r="AW131">
        <v>11</v>
      </c>
      <c r="AX131" t="s">
        <v>5358</v>
      </c>
      <c r="AY131" t="s">
        <v>5359</v>
      </c>
      <c r="AZ131" t="s">
        <v>5360</v>
      </c>
      <c r="BA131">
        <v>5.1180000000000003E-2</v>
      </c>
      <c r="BB131">
        <v>1</v>
      </c>
      <c r="BC131" t="s">
        <v>69</v>
      </c>
      <c r="BD131">
        <v>0.61399999999999999</v>
      </c>
      <c r="BE131">
        <v>0.36899999999999999</v>
      </c>
    </row>
    <row r="132" spans="1:57">
      <c r="A132">
        <v>0</v>
      </c>
      <c r="B132">
        <v>2</v>
      </c>
      <c r="C132">
        <v>0</v>
      </c>
      <c r="D132">
        <v>325</v>
      </c>
      <c r="E132" t="s">
        <v>761</v>
      </c>
      <c r="F132" t="s">
        <v>5761</v>
      </c>
      <c r="G132" t="s">
        <v>62</v>
      </c>
      <c r="H132">
        <v>349999</v>
      </c>
      <c r="I132">
        <v>350853</v>
      </c>
      <c r="J132" t="s">
        <v>118</v>
      </c>
      <c r="K132">
        <v>285</v>
      </c>
      <c r="L132" t="s">
        <v>59</v>
      </c>
      <c r="M132">
        <v>5</v>
      </c>
      <c r="N132" t="str">
        <f>HYPERLINK("Gene325-zp_tree_all.dnd", "Gene325-tree")</f>
        <v>Gene325-tree</v>
      </c>
      <c r="O132">
        <v>2</v>
      </c>
      <c r="P132">
        <v>3</v>
      </c>
      <c r="Q132">
        <v>2</v>
      </c>
      <c r="R132">
        <v>3</v>
      </c>
      <c r="S132">
        <v>0.6</v>
      </c>
      <c r="T132" t="s">
        <v>135</v>
      </c>
      <c r="U132" t="s">
        <v>84</v>
      </c>
      <c r="V132" t="s">
        <v>62</v>
      </c>
      <c r="W132" t="s">
        <v>62</v>
      </c>
      <c r="X132">
        <v>1</v>
      </c>
      <c r="Y132">
        <v>2</v>
      </c>
      <c r="Z132">
        <v>10</v>
      </c>
      <c r="AA132">
        <v>0.16667000000000001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7</v>
      </c>
      <c r="AK132">
        <v>0</v>
      </c>
      <c r="AL132">
        <v>5</v>
      </c>
      <c r="AM132">
        <v>2</v>
      </c>
      <c r="AN132">
        <v>38</v>
      </c>
      <c r="AO132">
        <v>7</v>
      </c>
      <c r="AP132">
        <v>22</v>
      </c>
      <c r="AQ132">
        <v>5</v>
      </c>
      <c r="AR132" t="s">
        <v>762</v>
      </c>
      <c r="AS132" t="s">
        <v>763</v>
      </c>
      <c r="AT132">
        <v>0.14199999999999999</v>
      </c>
      <c r="AU132" t="s">
        <v>65</v>
      </c>
      <c r="AV132">
        <v>60</v>
      </c>
      <c r="AW132">
        <v>12</v>
      </c>
      <c r="AX132" t="s">
        <v>764</v>
      </c>
      <c r="AY132" t="s">
        <v>765</v>
      </c>
      <c r="AZ132" t="s">
        <v>766</v>
      </c>
      <c r="BA132">
        <v>5.0689999999999999E-2</v>
      </c>
      <c r="BB132">
        <v>1</v>
      </c>
      <c r="BC132" t="s">
        <v>69</v>
      </c>
      <c r="BD132">
        <v>0.19600000000000001</v>
      </c>
      <c r="BE132">
        <v>7.5999999999999998E-2</v>
      </c>
    </row>
    <row r="133" spans="1:57">
      <c r="A133">
        <v>0</v>
      </c>
      <c r="B133">
        <v>2</v>
      </c>
      <c r="C133">
        <v>4</v>
      </c>
      <c r="D133">
        <v>3717</v>
      </c>
      <c r="E133" t="s">
        <v>4996</v>
      </c>
      <c r="F133" t="s">
        <v>5761</v>
      </c>
      <c r="G133" t="s">
        <v>57</v>
      </c>
      <c r="H133">
        <v>3695363</v>
      </c>
      <c r="I133">
        <v>3696220</v>
      </c>
      <c r="J133" t="s">
        <v>4997</v>
      </c>
      <c r="K133">
        <v>286</v>
      </c>
      <c r="L133" t="s">
        <v>83</v>
      </c>
      <c r="M133">
        <v>4</v>
      </c>
      <c r="N133" t="str">
        <f>HYPERLINK("Gene3717-zp_tree_all.dnd", "Gene3717-tree")</f>
        <v>Gene3717-tree</v>
      </c>
      <c r="O133">
        <v>0</v>
      </c>
      <c r="P133">
        <v>4</v>
      </c>
      <c r="Q133">
        <v>0</v>
      </c>
      <c r="R133">
        <v>4</v>
      </c>
      <c r="S133">
        <v>1</v>
      </c>
      <c r="T133" t="s">
        <v>62</v>
      </c>
      <c r="U133" t="s">
        <v>60</v>
      </c>
      <c r="V133" t="s">
        <v>62</v>
      </c>
      <c r="W133" t="s">
        <v>62</v>
      </c>
      <c r="X133">
        <v>3</v>
      </c>
      <c r="Y133">
        <v>6</v>
      </c>
      <c r="Z133">
        <v>9</v>
      </c>
      <c r="AA133">
        <v>0.4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2</v>
      </c>
      <c r="AH133">
        <v>4</v>
      </c>
      <c r="AI133">
        <v>6</v>
      </c>
      <c r="AJ133">
        <v>9</v>
      </c>
      <c r="AK133">
        <v>0.4</v>
      </c>
      <c r="AL133">
        <v>4</v>
      </c>
      <c r="AM133">
        <v>1</v>
      </c>
      <c r="AN133">
        <v>43</v>
      </c>
      <c r="AO133">
        <v>16</v>
      </c>
      <c r="AP133">
        <v>3</v>
      </c>
      <c r="AQ133">
        <v>0</v>
      </c>
      <c r="AR133" t="s">
        <v>4998</v>
      </c>
      <c r="AS133" t="s">
        <v>64</v>
      </c>
      <c r="AT133">
        <v>1.1259999999999999</v>
      </c>
      <c r="AU133" t="s">
        <v>65</v>
      </c>
      <c r="AV133">
        <v>46</v>
      </c>
      <c r="AW133">
        <v>16</v>
      </c>
      <c r="AX133" t="s">
        <v>4999</v>
      </c>
      <c r="AY133" t="s">
        <v>5000</v>
      </c>
      <c r="AZ133" t="s">
        <v>5001</v>
      </c>
      <c r="BA133">
        <v>9.128E-2</v>
      </c>
      <c r="BB133">
        <v>1</v>
      </c>
      <c r="BC133" t="s">
        <v>69</v>
      </c>
      <c r="BD133">
        <v>-0.17399999999999999</v>
      </c>
      <c r="BE133">
        <v>-1.042</v>
      </c>
    </row>
    <row r="134" spans="1:57">
      <c r="A134">
        <v>0</v>
      </c>
      <c r="B134">
        <v>0</v>
      </c>
      <c r="C134">
        <v>2</v>
      </c>
      <c r="D134">
        <v>529</v>
      </c>
      <c r="E134" t="s">
        <v>986</v>
      </c>
      <c r="F134" t="s">
        <v>5761</v>
      </c>
      <c r="G134" t="s">
        <v>62</v>
      </c>
      <c r="H134">
        <v>563617</v>
      </c>
      <c r="I134">
        <v>564486</v>
      </c>
      <c r="J134" t="s">
        <v>987</v>
      </c>
      <c r="K134">
        <v>290</v>
      </c>
      <c r="L134" t="s">
        <v>83</v>
      </c>
      <c r="M134">
        <v>4</v>
      </c>
      <c r="N134" t="str">
        <f>HYPERLINK("Gene529-zp_tree_all.dnd", "Gene529-tree")</f>
        <v>Gene529-tree</v>
      </c>
      <c r="O134">
        <v>0</v>
      </c>
      <c r="P134">
        <v>4</v>
      </c>
      <c r="Q134">
        <v>0</v>
      </c>
      <c r="R134">
        <v>4</v>
      </c>
      <c r="S134">
        <v>1</v>
      </c>
      <c r="T134" t="s">
        <v>62</v>
      </c>
      <c r="U134" t="s">
        <v>60</v>
      </c>
      <c r="V134" t="s">
        <v>62</v>
      </c>
      <c r="W134" t="s">
        <v>62</v>
      </c>
      <c r="X134">
        <v>1</v>
      </c>
      <c r="Y134">
        <v>2</v>
      </c>
      <c r="Z134">
        <v>24</v>
      </c>
      <c r="AA134">
        <v>7.6920000000000002E-2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2</v>
      </c>
      <c r="AI134">
        <v>2</v>
      </c>
      <c r="AJ134">
        <v>23</v>
      </c>
      <c r="AK134">
        <v>0.08</v>
      </c>
      <c r="AL134">
        <v>4</v>
      </c>
      <c r="AM134">
        <v>1</v>
      </c>
      <c r="AN134">
        <v>36</v>
      </c>
      <c r="AO134">
        <v>25</v>
      </c>
      <c r="AP134">
        <v>2</v>
      </c>
      <c r="AQ134">
        <v>1</v>
      </c>
      <c r="AR134" t="s">
        <v>988</v>
      </c>
      <c r="AS134" t="s">
        <v>989</v>
      </c>
      <c r="AT134">
        <v>0.48899999999999999</v>
      </c>
      <c r="AU134" t="s">
        <v>65</v>
      </c>
      <c r="AV134">
        <v>38</v>
      </c>
      <c r="AW134">
        <v>26</v>
      </c>
      <c r="AX134" t="s">
        <v>990</v>
      </c>
      <c r="AY134" t="s">
        <v>991</v>
      </c>
      <c r="AZ134" t="s">
        <v>992</v>
      </c>
      <c r="BA134">
        <v>0.18897</v>
      </c>
      <c r="BB134">
        <v>1</v>
      </c>
      <c r="BC134" t="s">
        <v>69</v>
      </c>
      <c r="BD134">
        <v>-0.503</v>
      </c>
      <c r="BE134">
        <v>-0.66</v>
      </c>
    </row>
    <row r="135" spans="1:57">
      <c r="A135">
        <v>0</v>
      </c>
      <c r="B135">
        <v>0</v>
      </c>
      <c r="C135">
        <v>0</v>
      </c>
      <c r="D135">
        <v>3427</v>
      </c>
      <c r="E135" t="s">
        <v>4716</v>
      </c>
      <c r="F135" t="s">
        <v>5761</v>
      </c>
      <c r="G135" t="s">
        <v>57</v>
      </c>
      <c r="H135">
        <v>3388113</v>
      </c>
      <c r="I135">
        <v>3388985</v>
      </c>
      <c r="J135" t="s">
        <v>291</v>
      </c>
      <c r="K135">
        <v>291</v>
      </c>
      <c r="L135" t="s">
        <v>59</v>
      </c>
      <c r="M135">
        <v>5</v>
      </c>
      <c r="N135" t="str">
        <f>HYPERLINK("Gene3427-zp_tree_all.dnd", "Gene3427-tree")</f>
        <v>Gene3427-tree</v>
      </c>
      <c r="O135">
        <v>2</v>
      </c>
      <c r="P135">
        <v>3</v>
      </c>
      <c r="Q135">
        <v>2</v>
      </c>
      <c r="R135">
        <v>3</v>
      </c>
      <c r="S135">
        <v>0.6</v>
      </c>
      <c r="T135" t="s">
        <v>135</v>
      </c>
      <c r="U135" t="s">
        <v>84</v>
      </c>
      <c r="V135" t="s">
        <v>62</v>
      </c>
      <c r="W135" t="s">
        <v>62</v>
      </c>
      <c r="X135">
        <v>0</v>
      </c>
      <c r="Y135">
        <v>0</v>
      </c>
      <c r="Z135">
        <v>10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4</v>
      </c>
      <c r="AK135">
        <v>0</v>
      </c>
      <c r="AL135">
        <v>5</v>
      </c>
      <c r="AM135">
        <v>2</v>
      </c>
      <c r="AN135">
        <v>9</v>
      </c>
      <c r="AO135">
        <v>4</v>
      </c>
      <c r="AP135">
        <v>24</v>
      </c>
      <c r="AQ135">
        <v>7</v>
      </c>
      <c r="AR135" t="s">
        <v>4717</v>
      </c>
      <c r="AS135" t="s">
        <v>4718</v>
      </c>
      <c r="AT135">
        <v>0.48699999999999999</v>
      </c>
      <c r="AU135" t="s">
        <v>65</v>
      </c>
      <c r="AV135">
        <v>33</v>
      </c>
      <c r="AW135">
        <v>11</v>
      </c>
      <c r="AX135" t="s">
        <v>4719</v>
      </c>
      <c r="AY135" t="s">
        <v>4720</v>
      </c>
      <c r="AZ135" t="s">
        <v>4721</v>
      </c>
      <c r="BA135">
        <v>8.3309999999999995E-2</v>
      </c>
      <c r="BB135">
        <v>1</v>
      </c>
      <c r="BC135" t="s">
        <v>69</v>
      </c>
      <c r="BD135">
        <v>0.95599999999999996</v>
      </c>
      <c r="BE135">
        <v>0.95599999999999996</v>
      </c>
    </row>
    <row r="136" spans="1:57">
      <c r="A136">
        <v>0</v>
      </c>
      <c r="B136">
        <v>4</v>
      </c>
      <c r="C136">
        <v>2</v>
      </c>
      <c r="D136">
        <v>391</v>
      </c>
      <c r="E136" t="s">
        <v>849</v>
      </c>
      <c r="F136" t="s">
        <v>5761</v>
      </c>
      <c r="G136" t="s">
        <v>62</v>
      </c>
      <c r="H136">
        <v>437477</v>
      </c>
      <c r="I136">
        <v>438352</v>
      </c>
      <c r="J136" t="s">
        <v>850</v>
      </c>
      <c r="K136">
        <v>292</v>
      </c>
      <c r="L136" t="s">
        <v>59</v>
      </c>
      <c r="M136">
        <v>5</v>
      </c>
      <c r="N136" t="str">
        <f>HYPERLINK("Gene391-zp_tree_all.dnd", "Gene391-tree")</f>
        <v>Gene391-tree</v>
      </c>
      <c r="O136">
        <v>0</v>
      </c>
      <c r="P136">
        <v>5</v>
      </c>
      <c r="Q136">
        <v>0</v>
      </c>
      <c r="R136">
        <v>5</v>
      </c>
      <c r="S136">
        <v>1</v>
      </c>
      <c r="T136" t="s">
        <v>62</v>
      </c>
      <c r="U136" t="s">
        <v>98</v>
      </c>
      <c r="V136" t="s">
        <v>62</v>
      </c>
      <c r="W136" t="s">
        <v>62</v>
      </c>
      <c r="X136">
        <v>3</v>
      </c>
      <c r="Y136">
        <v>6</v>
      </c>
      <c r="Z136">
        <v>10</v>
      </c>
      <c r="AA136">
        <v>0.375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0</v>
      </c>
      <c r="AI136">
        <v>2</v>
      </c>
      <c r="AJ136">
        <v>10</v>
      </c>
      <c r="AK136">
        <v>0.16667000000000001</v>
      </c>
      <c r="AL136">
        <v>5</v>
      </c>
      <c r="AM136">
        <v>2</v>
      </c>
      <c r="AN136">
        <v>30</v>
      </c>
      <c r="AO136">
        <v>12</v>
      </c>
      <c r="AP136">
        <v>22</v>
      </c>
      <c r="AQ136">
        <v>4</v>
      </c>
      <c r="AR136" t="s">
        <v>851</v>
      </c>
      <c r="AS136" t="s">
        <v>852</v>
      </c>
      <c r="AT136">
        <v>1.339</v>
      </c>
      <c r="AU136" t="s">
        <v>65</v>
      </c>
      <c r="AV136">
        <v>52</v>
      </c>
      <c r="AW136">
        <v>16</v>
      </c>
      <c r="AX136" t="s">
        <v>853</v>
      </c>
      <c r="AY136" t="s">
        <v>854</v>
      </c>
      <c r="AZ136" t="s">
        <v>855</v>
      </c>
      <c r="BA136">
        <v>7.0449999999999999E-2</v>
      </c>
      <c r="BB136">
        <v>1</v>
      </c>
      <c r="BC136" t="s">
        <v>69</v>
      </c>
      <c r="BD136">
        <v>0.315</v>
      </c>
      <c r="BE136">
        <v>-0.315</v>
      </c>
    </row>
    <row r="137" spans="1:57">
      <c r="A137">
        <v>0</v>
      </c>
      <c r="B137">
        <v>0</v>
      </c>
      <c r="C137">
        <v>0</v>
      </c>
      <c r="D137">
        <v>1917</v>
      </c>
      <c r="E137" t="s">
        <v>2827</v>
      </c>
      <c r="F137" t="s">
        <v>5761</v>
      </c>
      <c r="G137" t="s">
        <v>62</v>
      </c>
      <c r="H137">
        <v>2016848</v>
      </c>
      <c r="I137">
        <v>2017738</v>
      </c>
      <c r="J137" t="s">
        <v>2828</v>
      </c>
      <c r="K137">
        <v>297</v>
      </c>
      <c r="L137" t="s">
        <v>112</v>
      </c>
      <c r="M137">
        <v>4</v>
      </c>
      <c r="N137" t="str">
        <f>HYPERLINK("Gene1917-zp_tree_all.dnd", "Gene1917-tree")</f>
        <v>Gene1917-tree</v>
      </c>
      <c r="O137">
        <v>2</v>
      </c>
      <c r="P137">
        <v>2</v>
      </c>
      <c r="Q137">
        <v>2</v>
      </c>
      <c r="R137">
        <v>2</v>
      </c>
      <c r="S137">
        <v>0.5</v>
      </c>
      <c r="T137" t="s">
        <v>135</v>
      </c>
      <c r="U137" t="s">
        <v>135</v>
      </c>
      <c r="V137" t="s">
        <v>62</v>
      </c>
      <c r="W137" t="s">
        <v>62</v>
      </c>
      <c r="X137">
        <v>0</v>
      </c>
      <c r="Y137">
        <v>0</v>
      </c>
      <c r="Z137">
        <v>11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11</v>
      </c>
      <c r="AK137">
        <v>0</v>
      </c>
      <c r="AL137">
        <v>4</v>
      </c>
      <c r="AM137">
        <v>1</v>
      </c>
      <c r="AN137">
        <v>38</v>
      </c>
      <c r="AO137">
        <v>11</v>
      </c>
      <c r="AP137">
        <v>1</v>
      </c>
      <c r="AQ137">
        <v>0</v>
      </c>
      <c r="AR137" t="s">
        <v>2829</v>
      </c>
      <c r="AS137" t="s">
        <v>64</v>
      </c>
      <c r="AT137">
        <v>0.53900000000000003</v>
      </c>
      <c r="AU137" t="s">
        <v>65</v>
      </c>
      <c r="AV137">
        <v>39</v>
      </c>
      <c r="AW137">
        <v>11</v>
      </c>
      <c r="AX137" t="s">
        <v>2830</v>
      </c>
      <c r="AY137" t="s">
        <v>2831</v>
      </c>
      <c r="AZ137" t="s">
        <v>2832</v>
      </c>
      <c r="BA137">
        <v>7.8159999999999993E-2</v>
      </c>
      <c r="BB137">
        <v>1</v>
      </c>
      <c r="BC137" t="s">
        <v>69</v>
      </c>
      <c r="BD137">
        <v>-0.73699999999999999</v>
      </c>
      <c r="BE137">
        <v>-0.73699999999999999</v>
      </c>
    </row>
    <row r="138" spans="1:57">
      <c r="A138">
        <v>0</v>
      </c>
      <c r="B138">
        <v>0</v>
      </c>
      <c r="C138">
        <v>0</v>
      </c>
      <c r="D138">
        <v>2282</v>
      </c>
      <c r="E138" t="s">
        <v>2941</v>
      </c>
      <c r="F138" t="s">
        <v>5761</v>
      </c>
      <c r="G138" t="s">
        <v>57</v>
      </c>
      <c r="H138">
        <v>2305378</v>
      </c>
      <c r="I138">
        <v>2306280</v>
      </c>
      <c r="J138" t="s">
        <v>2942</v>
      </c>
      <c r="K138">
        <v>301</v>
      </c>
      <c r="L138" t="s">
        <v>59</v>
      </c>
      <c r="M138">
        <v>5</v>
      </c>
      <c r="N138" t="str">
        <f>HYPERLINK("Gene2282-zp_tree_all.dnd", "Gene2282-tree")</f>
        <v>Gene2282-tree</v>
      </c>
      <c r="O138">
        <v>1</v>
      </c>
      <c r="P138">
        <v>4</v>
      </c>
      <c r="Q138">
        <v>1</v>
      </c>
      <c r="R138">
        <v>4</v>
      </c>
      <c r="S138">
        <v>0.8</v>
      </c>
      <c r="T138" t="s">
        <v>61</v>
      </c>
      <c r="U138" t="s">
        <v>60</v>
      </c>
      <c r="V138" t="s">
        <v>62</v>
      </c>
      <c r="W138" t="s">
        <v>62</v>
      </c>
      <c r="X138">
        <v>0</v>
      </c>
      <c r="Y138">
        <v>0</v>
      </c>
      <c r="Z138">
        <v>11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6</v>
      </c>
      <c r="AK138">
        <v>0</v>
      </c>
      <c r="AL138">
        <v>5</v>
      </c>
      <c r="AM138">
        <v>1</v>
      </c>
      <c r="AN138">
        <v>15</v>
      </c>
      <c r="AO138">
        <v>6</v>
      </c>
      <c r="AP138">
        <v>18</v>
      </c>
      <c r="AQ138">
        <v>6</v>
      </c>
      <c r="AR138" t="s">
        <v>2943</v>
      </c>
      <c r="AS138" t="s">
        <v>2944</v>
      </c>
      <c r="AT138">
        <v>0.51100000000000001</v>
      </c>
      <c r="AU138" t="s">
        <v>65</v>
      </c>
      <c r="AV138">
        <v>33</v>
      </c>
      <c r="AW138">
        <v>12</v>
      </c>
      <c r="AX138" t="s">
        <v>2945</v>
      </c>
      <c r="AY138" t="s">
        <v>2946</v>
      </c>
      <c r="AZ138" t="s">
        <v>2947</v>
      </c>
      <c r="BA138">
        <v>9.375E-2</v>
      </c>
      <c r="BB138">
        <v>1</v>
      </c>
      <c r="BC138" t="s">
        <v>69</v>
      </c>
      <c r="BD138">
        <v>0.56899999999999995</v>
      </c>
      <c r="BE138">
        <v>0.20399999999999999</v>
      </c>
    </row>
    <row r="139" spans="1:57">
      <c r="A139">
        <v>0</v>
      </c>
      <c r="B139">
        <v>0</v>
      </c>
      <c r="C139">
        <v>0</v>
      </c>
      <c r="D139">
        <v>4202</v>
      </c>
      <c r="E139" t="s">
        <v>5687</v>
      </c>
      <c r="F139" t="s">
        <v>5761</v>
      </c>
      <c r="G139" t="s">
        <v>57</v>
      </c>
      <c r="H139">
        <v>4168204</v>
      </c>
      <c r="I139">
        <v>4169130</v>
      </c>
      <c r="J139" t="s">
        <v>5688</v>
      </c>
      <c r="K139">
        <v>309</v>
      </c>
      <c r="L139" t="s">
        <v>83</v>
      </c>
      <c r="M139">
        <v>4</v>
      </c>
      <c r="N139" t="str">
        <f>HYPERLINK("Gene4202-zp_tree_all.dnd", "Gene4202-tree")</f>
        <v>Gene4202-tree</v>
      </c>
      <c r="O139">
        <v>3</v>
      </c>
      <c r="P139">
        <v>1</v>
      </c>
      <c r="Q139">
        <v>3</v>
      </c>
      <c r="R139">
        <v>1</v>
      </c>
      <c r="S139">
        <v>0.25</v>
      </c>
      <c r="T139" t="s">
        <v>84</v>
      </c>
      <c r="U139" t="s">
        <v>61</v>
      </c>
      <c r="V139" t="s">
        <v>62</v>
      </c>
      <c r="W139" t="s">
        <v>62</v>
      </c>
      <c r="X139">
        <v>0</v>
      </c>
      <c r="Y139">
        <v>0</v>
      </c>
      <c r="Z139">
        <v>3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3</v>
      </c>
      <c r="AK139">
        <v>0</v>
      </c>
      <c r="AL139">
        <v>4</v>
      </c>
      <c r="AM139">
        <v>1</v>
      </c>
      <c r="AN139">
        <v>46</v>
      </c>
      <c r="AO139">
        <v>3</v>
      </c>
      <c r="AP139">
        <v>1</v>
      </c>
      <c r="AQ139">
        <v>0</v>
      </c>
      <c r="AR139" t="s">
        <v>5689</v>
      </c>
      <c r="AS139" t="s">
        <v>64</v>
      </c>
      <c r="AT139">
        <v>0.38900000000000001</v>
      </c>
      <c r="AU139" t="s">
        <v>65</v>
      </c>
      <c r="AV139">
        <v>47</v>
      </c>
      <c r="AW139">
        <v>3</v>
      </c>
      <c r="AX139" t="s">
        <v>5690</v>
      </c>
      <c r="AY139" t="s">
        <v>5691</v>
      </c>
      <c r="AZ139" t="s">
        <v>5692</v>
      </c>
      <c r="BA139">
        <v>1.618E-2</v>
      </c>
      <c r="BB139">
        <v>1</v>
      </c>
      <c r="BC139" t="s">
        <v>69</v>
      </c>
      <c r="BD139">
        <v>-0.80400000000000005</v>
      </c>
      <c r="BE139">
        <v>-0.80400000000000005</v>
      </c>
    </row>
    <row r="140" spans="1:57">
      <c r="A140">
        <v>0</v>
      </c>
      <c r="B140">
        <v>0</v>
      </c>
      <c r="C140">
        <v>0</v>
      </c>
      <c r="D140">
        <v>4119</v>
      </c>
      <c r="E140" t="s">
        <v>5590</v>
      </c>
      <c r="F140" t="s">
        <v>5761</v>
      </c>
      <c r="G140" t="s">
        <v>57</v>
      </c>
      <c r="H140">
        <v>4085608</v>
      </c>
      <c r="I140">
        <v>4086537</v>
      </c>
      <c r="J140" t="s">
        <v>3613</v>
      </c>
      <c r="K140">
        <v>310</v>
      </c>
      <c r="L140" t="s">
        <v>83</v>
      </c>
      <c r="M140">
        <v>4</v>
      </c>
      <c r="N140" t="str">
        <f>HYPERLINK("Gene4119-zp_tree_all.dnd", "Gene4119-tree")</f>
        <v>Gene4119-tree</v>
      </c>
      <c r="O140">
        <v>2</v>
      </c>
      <c r="P140">
        <v>2</v>
      </c>
      <c r="Q140">
        <v>2</v>
      </c>
      <c r="R140">
        <v>2</v>
      </c>
      <c r="S140">
        <v>0.5</v>
      </c>
      <c r="T140" t="s">
        <v>135</v>
      </c>
      <c r="U140" t="s">
        <v>135</v>
      </c>
      <c r="V140" t="s">
        <v>62</v>
      </c>
      <c r="W140" t="s">
        <v>62</v>
      </c>
      <c r="X140">
        <v>0</v>
      </c>
      <c r="Y140">
        <v>0</v>
      </c>
      <c r="Z140">
        <v>4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4</v>
      </c>
      <c r="AK140">
        <v>0</v>
      </c>
      <c r="AL140">
        <v>4</v>
      </c>
      <c r="AM140">
        <v>1</v>
      </c>
      <c r="AN140">
        <v>48</v>
      </c>
      <c r="AO140">
        <v>4</v>
      </c>
      <c r="AP140">
        <v>2</v>
      </c>
      <c r="AQ140">
        <v>0</v>
      </c>
      <c r="AR140" t="s">
        <v>5591</v>
      </c>
      <c r="AS140" t="s">
        <v>64</v>
      </c>
      <c r="AT140">
        <v>0.76100000000000001</v>
      </c>
      <c r="AU140" t="s">
        <v>65</v>
      </c>
      <c r="AV140">
        <v>50</v>
      </c>
      <c r="AW140">
        <v>4</v>
      </c>
      <c r="AX140" t="s">
        <v>5592</v>
      </c>
      <c r="AY140" t="s">
        <v>5593</v>
      </c>
      <c r="AZ140" t="s">
        <v>5594</v>
      </c>
      <c r="BA140">
        <v>2.1489999999999999E-2</v>
      </c>
      <c r="BB140">
        <v>1</v>
      </c>
      <c r="BC140" t="s">
        <v>69</v>
      </c>
      <c r="BD140">
        <v>-0.20499999999999999</v>
      </c>
      <c r="BE140">
        <v>-0.80100000000000005</v>
      </c>
    </row>
    <row r="141" spans="1:57">
      <c r="A141">
        <v>0</v>
      </c>
      <c r="B141">
        <v>2</v>
      </c>
      <c r="C141">
        <v>0</v>
      </c>
      <c r="D141">
        <v>788</v>
      </c>
      <c r="E141" t="s">
        <v>1241</v>
      </c>
      <c r="F141" t="s">
        <v>5761</v>
      </c>
      <c r="G141" t="s">
        <v>62</v>
      </c>
      <c r="H141">
        <v>825790</v>
      </c>
      <c r="I141">
        <v>826734</v>
      </c>
      <c r="J141" t="s">
        <v>1242</v>
      </c>
      <c r="K141">
        <v>315</v>
      </c>
      <c r="L141" t="s">
        <v>83</v>
      </c>
      <c r="M141">
        <v>4</v>
      </c>
      <c r="N141" t="str">
        <f>HYPERLINK("Gene788-zp_tree_all.dnd", "Gene788-tree")</f>
        <v>Gene788-tree</v>
      </c>
      <c r="O141">
        <v>0</v>
      </c>
      <c r="P141">
        <v>4</v>
      </c>
      <c r="Q141">
        <v>0</v>
      </c>
      <c r="R141">
        <v>4</v>
      </c>
      <c r="S141">
        <v>1</v>
      </c>
      <c r="T141" t="s">
        <v>62</v>
      </c>
      <c r="U141" t="s">
        <v>60</v>
      </c>
      <c r="V141" t="s">
        <v>62</v>
      </c>
      <c r="W141" t="s">
        <v>62</v>
      </c>
      <c r="X141">
        <v>1</v>
      </c>
      <c r="Y141">
        <v>2</v>
      </c>
      <c r="Z141">
        <v>11</v>
      </c>
      <c r="AA141">
        <v>0.15384999999999999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2</v>
      </c>
      <c r="AH141">
        <v>0</v>
      </c>
      <c r="AI141">
        <v>2</v>
      </c>
      <c r="AJ141">
        <v>9</v>
      </c>
      <c r="AK141">
        <v>0.18182000000000001</v>
      </c>
      <c r="AL141">
        <v>4</v>
      </c>
      <c r="AM141">
        <v>1</v>
      </c>
      <c r="AN141">
        <v>35</v>
      </c>
      <c r="AO141">
        <v>11</v>
      </c>
      <c r="AP141">
        <v>2</v>
      </c>
      <c r="AQ141">
        <v>2</v>
      </c>
      <c r="AR141" t="s">
        <v>1243</v>
      </c>
      <c r="AS141" t="s">
        <v>1244</v>
      </c>
      <c r="AT141">
        <v>2.1629999999999998</v>
      </c>
      <c r="AU141" t="s">
        <v>65</v>
      </c>
      <c r="AV141">
        <v>37</v>
      </c>
      <c r="AW141">
        <v>13</v>
      </c>
      <c r="AX141" t="s">
        <v>1245</v>
      </c>
      <c r="AY141" t="s">
        <v>1246</v>
      </c>
      <c r="AZ141" t="s">
        <v>1247</v>
      </c>
      <c r="BA141">
        <v>9.0929999999999997E-2</v>
      </c>
      <c r="BB141">
        <v>1</v>
      </c>
      <c r="BC141" t="s">
        <v>69</v>
      </c>
      <c r="BD141">
        <v>-0.32600000000000001</v>
      </c>
      <c r="BE141">
        <v>-0.52900000000000003</v>
      </c>
    </row>
    <row r="142" spans="1:57">
      <c r="A142">
        <v>0</v>
      </c>
      <c r="B142">
        <v>0</v>
      </c>
      <c r="C142">
        <v>0</v>
      </c>
      <c r="D142">
        <v>164</v>
      </c>
      <c r="E142" t="s">
        <v>606</v>
      </c>
      <c r="F142" t="s">
        <v>5761</v>
      </c>
      <c r="G142" t="s">
        <v>62</v>
      </c>
      <c r="H142">
        <v>182373</v>
      </c>
      <c r="I142">
        <v>183323</v>
      </c>
      <c r="J142" t="s">
        <v>607</v>
      </c>
      <c r="K142">
        <v>317</v>
      </c>
      <c r="L142" t="s">
        <v>83</v>
      </c>
      <c r="M142">
        <v>4</v>
      </c>
      <c r="N142" t="str">
        <f>HYPERLINK("Gene164-zp_tree_all.dnd", "Gene164-tree")</f>
        <v>Gene164-tree</v>
      </c>
      <c r="O142">
        <v>2</v>
      </c>
      <c r="P142">
        <v>2</v>
      </c>
      <c r="Q142">
        <v>2</v>
      </c>
      <c r="R142">
        <v>2</v>
      </c>
      <c r="S142">
        <v>0.5</v>
      </c>
      <c r="T142" t="s">
        <v>135</v>
      </c>
      <c r="U142" t="s">
        <v>135</v>
      </c>
      <c r="V142" t="s">
        <v>62</v>
      </c>
      <c r="W142" t="s">
        <v>62</v>
      </c>
      <c r="X142">
        <v>0</v>
      </c>
      <c r="Y142">
        <v>0</v>
      </c>
      <c r="Z142">
        <v>7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7</v>
      </c>
      <c r="AK142">
        <v>0</v>
      </c>
      <c r="AL142">
        <v>4</v>
      </c>
      <c r="AM142">
        <v>1</v>
      </c>
      <c r="AN142">
        <v>40</v>
      </c>
      <c r="AO142">
        <v>7</v>
      </c>
      <c r="AP142">
        <v>2</v>
      </c>
      <c r="AQ142">
        <v>0</v>
      </c>
      <c r="AR142" t="s">
        <v>608</v>
      </c>
      <c r="AS142" t="s">
        <v>64</v>
      </c>
      <c r="AT142">
        <v>0.86399999999999999</v>
      </c>
      <c r="AU142" t="s">
        <v>65</v>
      </c>
      <c r="AV142">
        <v>42</v>
      </c>
      <c r="AW142">
        <v>7</v>
      </c>
      <c r="AX142" t="s">
        <v>609</v>
      </c>
      <c r="AY142" t="s">
        <v>610</v>
      </c>
      <c r="AZ142" t="s">
        <v>611</v>
      </c>
      <c r="BA142">
        <v>4.1939999999999998E-2</v>
      </c>
      <c r="BB142">
        <v>1</v>
      </c>
      <c r="BC142" t="s">
        <v>69</v>
      </c>
      <c r="BD142">
        <v>-0.73699999999999999</v>
      </c>
      <c r="BE142">
        <v>-0.73699999999999999</v>
      </c>
    </row>
    <row r="143" spans="1:57">
      <c r="A143">
        <v>0</v>
      </c>
      <c r="B143">
        <v>0</v>
      </c>
      <c r="C143">
        <v>0</v>
      </c>
      <c r="D143">
        <v>4102</v>
      </c>
      <c r="E143" t="s">
        <v>5517</v>
      </c>
      <c r="F143" t="s">
        <v>5761</v>
      </c>
      <c r="G143" t="s">
        <v>57</v>
      </c>
      <c r="H143">
        <v>4067183</v>
      </c>
      <c r="I143">
        <v>4068145</v>
      </c>
      <c r="J143" t="s">
        <v>5518</v>
      </c>
      <c r="K143">
        <v>321</v>
      </c>
      <c r="L143" t="s">
        <v>83</v>
      </c>
      <c r="M143">
        <v>4</v>
      </c>
      <c r="N143" t="str">
        <f>HYPERLINK("Gene4102-zp_tree_all.dnd", "Gene4102-tree")</f>
        <v>Gene4102-tree</v>
      </c>
      <c r="O143">
        <v>1</v>
      </c>
      <c r="P143">
        <v>3</v>
      </c>
      <c r="Q143">
        <v>1</v>
      </c>
      <c r="R143">
        <v>3</v>
      </c>
      <c r="S143">
        <v>0.75</v>
      </c>
      <c r="T143" t="s">
        <v>61</v>
      </c>
      <c r="U143" t="s">
        <v>84</v>
      </c>
      <c r="V143" t="s">
        <v>62</v>
      </c>
      <c r="W143" t="s">
        <v>62</v>
      </c>
      <c r="X143">
        <v>0</v>
      </c>
      <c r="Y143">
        <v>0</v>
      </c>
      <c r="Z143">
        <v>9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9</v>
      </c>
      <c r="AK143">
        <v>0</v>
      </c>
      <c r="AL143">
        <v>3</v>
      </c>
      <c r="AM143">
        <v>1</v>
      </c>
      <c r="AN143">
        <v>32</v>
      </c>
      <c r="AO143">
        <v>9</v>
      </c>
      <c r="AP143">
        <v>5</v>
      </c>
      <c r="AQ143">
        <v>0</v>
      </c>
      <c r="AR143" t="s">
        <v>5519</v>
      </c>
      <c r="AS143" t="s">
        <v>64</v>
      </c>
      <c r="AT143">
        <v>1.075</v>
      </c>
      <c r="AU143" t="s">
        <v>65</v>
      </c>
      <c r="AV143">
        <v>37</v>
      </c>
      <c r="AW143">
        <v>9</v>
      </c>
      <c r="AX143" t="s">
        <v>5520</v>
      </c>
      <c r="AY143" t="s">
        <v>5521</v>
      </c>
      <c r="AZ143" t="s">
        <v>5522</v>
      </c>
      <c r="BA143">
        <v>5.8889999999999998E-2</v>
      </c>
      <c r="BB143">
        <v>1</v>
      </c>
      <c r="BC143" t="s">
        <v>69</v>
      </c>
      <c r="BD143">
        <v>-0.52100000000000002</v>
      </c>
      <c r="BE143">
        <v>-0.52100000000000002</v>
      </c>
    </row>
    <row r="144" spans="1:57">
      <c r="A144">
        <v>0</v>
      </c>
      <c r="B144">
        <v>0</v>
      </c>
      <c r="C144">
        <v>0</v>
      </c>
      <c r="D144">
        <v>2796</v>
      </c>
      <c r="E144" t="s">
        <v>3612</v>
      </c>
      <c r="F144" t="s">
        <v>5761</v>
      </c>
      <c r="G144" t="s">
        <v>57</v>
      </c>
      <c r="H144">
        <v>2742909</v>
      </c>
      <c r="I144">
        <v>2743886</v>
      </c>
      <c r="J144" t="s">
        <v>3613</v>
      </c>
      <c r="K144">
        <v>326</v>
      </c>
      <c r="L144" t="s">
        <v>83</v>
      </c>
      <c r="M144">
        <v>4</v>
      </c>
      <c r="N144" t="str">
        <f>HYPERLINK("Gene2796-zp_tree_all.dnd", "Gene2796-tree")</f>
        <v>Gene2796-tree</v>
      </c>
      <c r="O144">
        <v>1</v>
      </c>
      <c r="P144">
        <v>3</v>
      </c>
      <c r="Q144">
        <v>1</v>
      </c>
      <c r="R144">
        <v>3</v>
      </c>
      <c r="S144">
        <v>0.75</v>
      </c>
      <c r="T144" t="s">
        <v>61</v>
      </c>
      <c r="U144" t="s">
        <v>84</v>
      </c>
      <c r="V144" t="s">
        <v>62</v>
      </c>
      <c r="W144" t="s">
        <v>62</v>
      </c>
      <c r="X144">
        <v>0</v>
      </c>
      <c r="Y144">
        <v>0</v>
      </c>
      <c r="Z144">
        <v>12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12</v>
      </c>
      <c r="AK144">
        <v>0</v>
      </c>
      <c r="AL144">
        <v>4</v>
      </c>
      <c r="AM144">
        <v>1</v>
      </c>
      <c r="AN144">
        <v>44</v>
      </c>
      <c r="AO144">
        <v>12</v>
      </c>
      <c r="AP144">
        <v>1</v>
      </c>
      <c r="AQ144">
        <v>0</v>
      </c>
      <c r="AR144" t="s">
        <v>3614</v>
      </c>
      <c r="AS144" t="s">
        <v>64</v>
      </c>
      <c r="AT144">
        <v>0.74299999999999999</v>
      </c>
      <c r="AU144" t="s">
        <v>65</v>
      </c>
      <c r="AV144">
        <v>45</v>
      </c>
      <c r="AW144">
        <v>12</v>
      </c>
      <c r="AX144" t="s">
        <v>3615</v>
      </c>
      <c r="AY144" t="s">
        <v>3616</v>
      </c>
      <c r="AZ144" t="s">
        <v>3617</v>
      </c>
      <c r="BA144">
        <v>7.2510000000000005E-2</v>
      </c>
      <c r="BB144">
        <v>1</v>
      </c>
      <c r="BC144" t="s">
        <v>69</v>
      </c>
      <c r="BD144">
        <v>-0.755</v>
      </c>
      <c r="BE144">
        <v>-0.755</v>
      </c>
    </row>
    <row r="145" spans="1:57">
      <c r="A145">
        <v>0</v>
      </c>
      <c r="B145">
        <v>2</v>
      </c>
      <c r="C145">
        <v>2</v>
      </c>
      <c r="D145">
        <v>3331</v>
      </c>
      <c r="E145" t="s">
        <v>4527</v>
      </c>
      <c r="F145" t="s">
        <v>5761</v>
      </c>
      <c r="G145" t="s">
        <v>57</v>
      </c>
      <c r="H145">
        <v>3303042</v>
      </c>
      <c r="I145">
        <v>3304019</v>
      </c>
      <c r="J145" t="s">
        <v>4528</v>
      </c>
      <c r="K145">
        <v>326</v>
      </c>
      <c r="L145" t="s">
        <v>83</v>
      </c>
      <c r="M145">
        <v>4</v>
      </c>
      <c r="N145" t="str">
        <f>HYPERLINK("Gene3331-zp_tree_all.dnd", "Gene3331-tree")</f>
        <v>Gene3331-tree</v>
      </c>
      <c r="O145">
        <v>1</v>
      </c>
      <c r="P145">
        <v>3</v>
      </c>
      <c r="Q145">
        <v>1</v>
      </c>
      <c r="R145">
        <v>3</v>
      </c>
      <c r="S145">
        <v>0.75</v>
      </c>
      <c r="T145" t="s">
        <v>61</v>
      </c>
      <c r="U145" t="s">
        <v>84</v>
      </c>
      <c r="V145" t="s">
        <v>62</v>
      </c>
      <c r="W145" t="s">
        <v>62</v>
      </c>
      <c r="X145">
        <v>2</v>
      </c>
      <c r="Y145">
        <v>4</v>
      </c>
      <c r="Z145">
        <v>4</v>
      </c>
      <c r="AA145">
        <v>0.5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2</v>
      </c>
      <c r="AH145">
        <v>2</v>
      </c>
      <c r="AI145">
        <v>4</v>
      </c>
      <c r="AJ145">
        <v>4</v>
      </c>
      <c r="AK145">
        <v>0.5</v>
      </c>
      <c r="AL145">
        <v>4</v>
      </c>
      <c r="AM145">
        <v>1</v>
      </c>
      <c r="AN145">
        <v>54</v>
      </c>
      <c r="AO145">
        <v>9</v>
      </c>
      <c r="AP145">
        <v>6</v>
      </c>
      <c r="AQ145">
        <v>0</v>
      </c>
      <c r="AR145" t="s">
        <v>4529</v>
      </c>
      <c r="AS145" t="s">
        <v>64</v>
      </c>
      <c r="AT145">
        <v>1.87</v>
      </c>
      <c r="AU145" t="s">
        <v>65</v>
      </c>
      <c r="AV145">
        <v>60</v>
      </c>
      <c r="AW145">
        <v>9</v>
      </c>
      <c r="AX145" t="s">
        <v>4530</v>
      </c>
      <c r="AY145" t="s">
        <v>4531</v>
      </c>
      <c r="AZ145" t="s">
        <v>4532</v>
      </c>
      <c r="BA145">
        <v>3.8629999999999998E-2</v>
      </c>
      <c r="BB145">
        <v>1</v>
      </c>
      <c r="BC145" t="s">
        <v>69</v>
      </c>
      <c r="BD145">
        <v>-5.6000000000000001E-2</v>
      </c>
      <c r="BE145">
        <v>-0.39900000000000002</v>
      </c>
    </row>
    <row r="146" spans="1:57">
      <c r="A146">
        <v>0</v>
      </c>
      <c r="B146">
        <v>0</v>
      </c>
      <c r="C146">
        <v>0</v>
      </c>
      <c r="D146">
        <v>895</v>
      </c>
      <c r="E146" t="s">
        <v>1311</v>
      </c>
      <c r="F146" t="s">
        <v>5761</v>
      </c>
      <c r="G146" t="s">
        <v>62</v>
      </c>
      <c r="H146">
        <v>934460</v>
      </c>
      <c r="I146">
        <v>935440</v>
      </c>
      <c r="J146" t="s">
        <v>1312</v>
      </c>
      <c r="K146">
        <v>327</v>
      </c>
      <c r="L146" t="s">
        <v>59</v>
      </c>
      <c r="M146">
        <v>5</v>
      </c>
      <c r="N146" t="str">
        <f>HYPERLINK("Gene895-zp_tree_all.dnd", "Gene895-tree")</f>
        <v>Gene895-tree</v>
      </c>
      <c r="O146">
        <v>5</v>
      </c>
      <c r="P146">
        <v>0</v>
      </c>
      <c r="Q146">
        <v>5</v>
      </c>
      <c r="R146">
        <v>0</v>
      </c>
      <c r="S146">
        <v>0</v>
      </c>
      <c r="T146" t="s">
        <v>98</v>
      </c>
      <c r="U146" t="s">
        <v>62</v>
      </c>
      <c r="V146" t="s">
        <v>62</v>
      </c>
      <c r="W146" t="s">
        <v>62</v>
      </c>
      <c r="X146">
        <v>0</v>
      </c>
      <c r="Y146">
        <v>0</v>
      </c>
      <c r="Z146">
        <v>3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5</v>
      </c>
      <c r="AM146">
        <v>2</v>
      </c>
      <c r="AN146">
        <v>22</v>
      </c>
      <c r="AO146">
        <v>0</v>
      </c>
      <c r="AP146">
        <v>34</v>
      </c>
      <c r="AQ146">
        <v>3</v>
      </c>
      <c r="AR146" t="s">
        <v>64</v>
      </c>
      <c r="AS146" t="s">
        <v>1313</v>
      </c>
      <c r="AT146">
        <v>1.5580000000000001</v>
      </c>
      <c r="AU146" t="s">
        <v>65</v>
      </c>
      <c r="AV146">
        <v>56</v>
      </c>
      <c r="AW146">
        <v>3</v>
      </c>
      <c r="AX146" t="s">
        <v>1314</v>
      </c>
      <c r="AY146" t="s">
        <v>1315</v>
      </c>
      <c r="AZ146" t="s">
        <v>1316</v>
      </c>
      <c r="BA146">
        <v>1.8329999999999999E-2</v>
      </c>
      <c r="BB146">
        <v>1</v>
      </c>
      <c r="BC146" t="s">
        <v>69</v>
      </c>
      <c r="BD146">
        <v>0.98499999999999999</v>
      </c>
      <c r="BE146">
        <v>0.54800000000000004</v>
      </c>
    </row>
    <row r="147" spans="1:57">
      <c r="A147">
        <v>0</v>
      </c>
      <c r="B147">
        <v>0</v>
      </c>
      <c r="C147">
        <v>0</v>
      </c>
      <c r="D147">
        <v>3329</v>
      </c>
      <c r="E147" t="s">
        <v>4521</v>
      </c>
      <c r="F147" t="s">
        <v>5761</v>
      </c>
      <c r="G147" t="s">
        <v>57</v>
      </c>
      <c r="H147">
        <v>3301586</v>
      </c>
      <c r="I147">
        <v>3302581</v>
      </c>
      <c r="J147" t="s">
        <v>4522</v>
      </c>
      <c r="K147">
        <v>332</v>
      </c>
      <c r="L147" t="s">
        <v>83</v>
      </c>
      <c r="M147">
        <v>4</v>
      </c>
      <c r="N147" t="str">
        <f>HYPERLINK("Gene3329-zp_tree_all.dnd", "Gene3329-tree")</f>
        <v>Gene3329-tree</v>
      </c>
      <c r="O147">
        <v>2</v>
      </c>
      <c r="P147">
        <v>2</v>
      </c>
      <c r="Q147">
        <v>2</v>
      </c>
      <c r="R147">
        <v>2</v>
      </c>
      <c r="S147">
        <v>0.5</v>
      </c>
      <c r="T147" t="s">
        <v>135</v>
      </c>
      <c r="U147" t="s">
        <v>135</v>
      </c>
      <c r="V147" t="s">
        <v>62</v>
      </c>
      <c r="W147" t="s">
        <v>62</v>
      </c>
      <c r="X147">
        <v>0</v>
      </c>
      <c r="Y147">
        <v>0</v>
      </c>
      <c r="Z147">
        <v>2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2</v>
      </c>
      <c r="AK147">
        <v>0</v>
      </c>
      <c r="AL147">
        <v>4</v>
      </c>
      <c r="AM147">
        <v>1</v>
      </c>
      <c r="AN147">
        <v>49</v>
      </c>
      <c r="AO147">
        <v>2</v>
      </c>
      <c r="AP147">
        <v>4</v>
      </c>
      <c r="AQ147">
        <v>0</v>
      </c>
      <c r="AR147" t="s">
        <v>4523</v>
      </c>
      <c r="AS147" t="s">
        <v>64</v>
      </c>
      <c r="AT147">
        <v>0.80500000000000005</v>
      </c>
      <c r="AU147" t="s">
        <v>65</v>
      </c>
      <c r="AV147">
        <v>53</v>
      </c>
      <c r="AW147">
        <v>2</v>
      </c>
      <c r="AX147" t="s">
        <v>4524</v>
      </c>
      <c r="AY147" t="s">
        <v>4525</v>
      </c>
      <c r="AZ147" t="s">
        <v>4526</v>
      </c>
      <c r="BA147">
        <v>1.025E-2</v>
      </c>
      <c r="BB147">
        <v>1</v>
      </c>
      <c r="BC147" t="s">
        <v>69</v>
      </c>
      <c r="BD147">
        <v>-0.30599999999999999</v>
      </c>
      <c r="BE147">
        <v>-0.68</v>
      </c>
    </row>
    <row r="148" spans="1:57">
      <c r="A148">
        <v>0</v>
      </c>
      <c r="B148">
        <v>0</v>
      </c>
      <c r="C148">
        <v>2</v>
      </c>
      <c r="D148">
        <v>1088</v>
      </c>
      <c r="E148" t="s">
        <v>1560</v>
      </c>
      <c r="F148" t="s">
        <v>5761</v>
      </c>
      <c r="G148" t="s">
        <v>62</v>
      </c>
      <c r="H148">
        <v>1126403</v>
      </c>
      <c r="I148">
        <v>1127452</v>
      </c>
      <c r="J148" t="s">
        <v>1561</v>
      </c>
      <c r="K148">
        <v>350</v>
      </c>
      <c r="L148" t="s">
        <v>59</v>
      </c>
      <c r="M148">
        <v>5</v>
      </c>
      <c r="N148" t="str">
        <f>HYPERLINK("Gene1088-zp_tree_all.dnd", "Gene1088-tree")</f>
        <v>Gene1088-tree</v>
      </c>
      <c r="O148">
        <v>2</v>
      </c>
      <c r="P148">
        <v>3</v>
      </c>
      <c r="Q148">
        <v>2</v>
      </c>
      <c r="R148">
        <v>3</v>
      </c>
      <c r="S148">
        <v>0.6</v>
      </c>
      <c r="T148" t="s">
        <v>135</v>
      </c>
      <c r="U148" t="s">
        <v>84</v>
      </c>
      <c r="V148" t="s">
        <v>62</v>
      </c>
      <c r="W148" t="s">
        <v>62</v>
      </c>
      <c r="X148">
        <v>1</v>
      </c>
      <c r="Y148">
        <v>2</v>
      </c>
      <c r="Z148">
        <v>18</v>
      </c>
      <c r="AA148">
        <v>0.1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11</v>
      </c>
      <c r="AK148">
        <v>0</v>
      </c>
      <c r="AL148">
        <v>5</v>
      </c>
      <c r="AM148">
        <v>2</v>
      </c>
      <c r="AN148">
        <v>44</v>
      </c>
      <c r="AO148">
        <v>11</v>
      </c>
      <c r="AP148">
        <v>19</v>
      </c>
      <c r="AQ148">
        <v>9</v>
      </c>
      <c r="AR148" t="s">
        <v>1562</v>
      </c>
      <c r="AS148" t="s">
        <v>1563</v>
      </c>
      <c r="AT148">
        <v>0.52500000000000002</v>
      </c>
      <c r="AU148" t="s">
        <v>65</v>
      </c>
      <c r="AV148">
        <v>63</v>
      </c>
      <c r="AW148">
        <v>20</v>
      </c>
      <c r="AX148" t="s">
        <v>1564</v>
      </c>
      <c r="AY148" t="s">
        <v>1565</v>
      </c>
      <c r="AZ148" t="s">
        <v>1566</v>
      </c>
      <c r="BA148">
        <v>8.8139999999999996E-2</v>
      </c>
      <c r="BB148">
        <v>1</v>
      </c>
      <c r="BC148" t="s">
        <v>69</v>
      </c>
      <c r="BD148">
        <v>0.14699999999999999</v>
      </c>
      <c r="BE148">
        <v>-0.126</v>
      </c>
    </row>
    <row r="149" spans="1:57">
      <c r="A149">
        <v>0</v>
      </c>
      <c r="B149">
        <v>0</v>
      </c>
      <c r="C149">
        <v>0</v>
      </c>
      <c r="D149">
        <v>903</v>
      </c>
      <c r="E149" t="s">
        <v>1333</v>
      </c>
      <c r="F149" t="s">
        <v>5761</v>
      </c>
      <c r="G149" t="s">
        <v>62</v>
      </c>
      <c r="H149">
        <v>941171</v>
      </c>
      <c r="I149">
        <v>942229</v>
      </c>
      <c r="J149" t="s">
        <v>1334</v>
      </c>
      <c r="K149">
        <v>353</v>
      </c>
      <c r="L149" t="s">
        <v>59</v>
      </c>
      <c r="M149">
        <v>5</v>
      </c>
      <c r="N149" t="str">
        <f>HYPERLINK("Gene903-zp_tree_all.dnd", "Gene903-tree")</f>
        <v>Gene903-tree</v>
      </c>
      <c r="O149">
        <v>4</v>
      </c>
      <c r="P149">
        <v>1</v>
      </c>
      <c r="Q149">
        <v>4</v>
      </c>
      <c r="R149">
        <v>1</v>
      </c>
      <c r="S149">
        <v>0.2</v>
      </c>
      <c r="T149" t="s">
        <v>60</v>
      </c>
      <c r="U149" t="s">
        <v>61</v>
      </c>
      <c r="V149" t="s">
        <v>62</v>
      </c>
      <c r="W149" t="s">
        <v>62</v>
      </c>
      <c r="X149">
        <v>0</v>
      </c>
      <c r="Y149">
        <v>0</v>
      </c>
      <c r="Z149">
        <v>4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0</v>
      </c>
      <c r="AL149">
        <v>4</v>
      </c>
      <c r="AM149">
        <v>2</v>
      </c>
      <c r="AN149">
        <v>14</v>
      </c>
      <c r="AO149">
        <v>1</v>
      </c>
      <c r="AP149">
        <v>15</v>
      </c>
      <c r="AQ149">
        <v>3</v>
      </c>
      <c r="AR149" t="s">
        <v>1335</v>
      </c>
      <c r="AS149" t="s">
        <v>1336</v>
      </c>
      <c r="AT149">
        <v>0.51200000000000001</v>
      </c>
      <c r="AU149" t="s">
        <v>65</v>
      </c>
      <c r="AV149">
        <v>29</v>
      </c>
      <c r="AW149">
        <v>4</v>
      </c>
      <c r="AX149" t="s">
        <v>1337</v>
      </c>
      <c r="AY149" t="s">
        <v>1338</v>
      </c>
      <c r="AZ149" t="s">
        <v>1339</v>
      </c>
      <c r="BA149">
        <v>4.3040000000000002E-2</v>
      </c>
      <c r="BB149">
        <v>1</v>
      </c>
      <c r="BC149" t="s">
        <v>69</v>
      </c>
      <c r="BD149">
        <v>0.50700000000000001</v>
      </c>
      <c r="BE149">
        <v>0.50700000000000001</v>
      </c>
    </row>
    <row r="150" spans="1:57">
      <c r="A150">
        <v>0</v>
      </c>
      <c r="B150">
        <v>0</v>
      </c>
      <c r="C150">
        <v>0</v>
      </c>
      <c r="D150">
        <v>3338</v>
      </c>
      <c r="E150" t="s">
        <v>4550</v>
      </c>
      <c r="F150" t="s">
        <v>5761</v>
      </c>
      <c r="G150" t="s">
        <v>57</v>
      </c>
      <c r="H150">
        <v>3308867</v>
      </c>
      <c r="I150">
        <v>3309931</v>
      </c>
      <c r="J150" t="s">
        <v>4551</v>
      </c>
      <c r="K150">
        <v>355</v>
      </c>
      <c r="L150" t="s">
        <v>59</v>
      </c>
      <c r="M150">
        <v>5</v>
      </c>
      <c r="N150" t="str">
        <f>HYPERLINK("Gene3338-zp_tree_all.dnd", "Gene3338-tree")</f>
        <v>Gene3338-tree</v>
      </c>
      <c r="O150">
        <v>1</v>
      </c>
      <c r="P150">
        <v>4</v>
      </c>
      <c r="Q150">
        <v>1</v>
      </c>
      <c r="R150">
        <v>4</v>
      </c>
      <c r="S150">
        <v>0.8</v>
      </c>
      <c r="T150" t="s">
        <v>61</v>
      </c>
      <c r="U150" t="s">
        <v>60</v>
      </c>
      <c r="V150" t="s">
        <v>62</v>
      </c>
      <c r="W150" t="s">
        <v>62</v>
      </c>
      <c r="X150">
        <v>0</v>
      </c>
      <c r="Y150">
        <v>0</v>
      </c>
      <c r="Z150">
        <v>9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4</v>
      </c>
      <c r="AK150">
        <v>0</v>
      </c>
      <c r="AL150">
        <v>5</v>
      </c>
      <c r="AM150">
        <v>2</v>
      </c>
      <c r="AN150">
        <v>25</v>
      </c>
      <c r="AO150">
        <v>5</v>
      </c>
      <c r="AP150">
        <v>24</v>
      </c>
      <c r="AQ150">
        <v>5</v>
      </c>
      <c r="AR150" t="s">
        <v>4552</v>
      </c>
      <c r="AS150" t="s">
        <v>4553</v>
      </c>
      <c r="AT150">
        <v>5.0000000000000001E-3</v>
      </c>
      <c r="AU150" t="s">
        <v>65</v>
      </c>
      <c r="AV150">
        <v>49</v>
      </c>
      <c r="AW150">
        <v>10</v>
      </c>
      <c r="AX150" t="s">
        <v>4554</v>
      </c>
      <c r="AY150" t="s">
        <v>4555</v>
      </c>
      <c r="AZ150" t="s">
        <v>4556</v>
      </c>
      <c r="BA150">
        <v>5.7919999999999999E-2</v>
      </c>
      <c r="BB150">
        <v>1</v>
      </c>
      <c r="BC150" t="s">
        <v>69</v>
      </c>
      <c r="BD150">
        <v>0.34200000000000003</v>
      </c>
      <c r="BE150">
        <v>0.20599999999999999</v>
      </c>
    </row>
    <row r="151" spans="1:57">
      <c r="A151">
        <v>0</v>
      </c>
      <c r="B151">
        <v>0</v>
      </c>
      <c r="C151">
        <v>0</v>
      </c>
      <c r="D151">
        <v>3993</v>
      </c>
      <c r="E151" t="s">
        <v>5387</v>
      </c>
      <c r="F151" t="s">
        <v>5761</v>
      </c>
      <c r="G151" t="s">
        <v>57</v>
      </c>
      <c r="H151">
        <v>3957391</v>
      </c>
      <c r="I151">
        <v>3958479</v>
      </c>
      <c r="J151" t="s">
        <v>5388</v>
      </c>
      <c r="K151">
        <v>363</v>
      </c>
      <c r="L151" t="s">
        <v>59</v>
      </c>
      <c r="M151">
        <v>5</v>
      </c>
      <c r="N151" t="str">
        <f>HYPERLINK("Gene3993-zp_tree_all.dnd", "Gene3993-tree")</f>
        <v>Gene3993-tree</v>
      </c>
      <c r="O151">
        <v>2</v>
      </c>
      <c r="P151">
        <v>3</v>
      </c>
      <c r="Q151">
        <v>2</v>
      </c>
      <c r="R151">
        <v>3</v>
      </c>
      <c r="S151">
        <v>0.6</v>
      </c>
      <c r="T151" t="s">
        <v>135</v>
      </c>
      <c r="U151" t="s">
        <v>84</v>
      </c>
      <c r="V151" t="s">
        <v>62</v>
      </c>
      <c r="W151" t="s">
        <v>62</v>
      </c>
      <c r="X151">
        <v>0</v>
      </c>
      <c r="Y151">
        <v>0</v>
      </c>
      <c r="Z151">
        <v>8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5</v>
      </c>
      <c r="AK151">
        <v>0</v>
      </c>
      <c r="AL151">
        <v>5</v>
      </c>
      <c r="AM151">
        <v>2</v>
      </c>
      <c r="AN151">
        <v>36</v>
      </c>
      <c r="AO151">
        <v>5</v>
      </c>
      <c r="AP151">
        <v>26</v>
      </c>
      <c r="AQ151">
        <v>3</v>
      </c>
      <c r="AR151" t="s">
        <v>5389</v>
      </c>
      <c r="AS151" t="s">
        <v>5390</v>
      </c>
      <c r="AT151">
        <v>0.214</v>
      </c>
      <c r="AU151" t="s">
        <v>65</v>
      </c>
      <c r="AV151">
        <v>62</v>
      </c>
      <c r="AW151">
        <v>8</v>
      </c>
      <c r="AX151" t="s">
        <v>5391</v>
      </c>
      <c r="AY151" t="s">
        <v>5392</v>
      </c>
      <c r="AZ151" t="s">
        <v>5393</v>
      </c>
      <c r="BA151">
        <v>3.9039999999999998E-2</v>
      </c>
      <c r="BB151">
        <v>1</v>
      </c>
      <c r="BC151" t="s">
        <v>69</v>
      </c>
      <c r="BD151">
        <v>0.66200000000000003</v>
      </c>
      <c r="BE151">
        <v>0.55500000000000005</v>
      </c>
    </row>
    <row r="152" spans="1:57">
      <c r="A152">
        <v>0</v>
      </c>
      <c r="B152">
        <v>0</v>
      </c>
      <c r="C152">
        <v>0</v>
      </c>
      <c r="D152">
        <v>2609</v>
      </c>
      <c r="E152" t="s">
        <v>3455</v>
      </c>
      <c r="F152" t="s">
        <v>5761</v>
      </c>
      <c r="G152" t="s">
        <v>57</v>
      </c>
      <c r="H152">
        <v>2589123</v>
      </c>
      <c r="I152">
        <v>2590253</v>
      </c>
      <c r="J152" t="s">
        <v>3456</v>
      </c>
      <c r="K152">
        <v>377</v>
      </c>
      <c r="L152" t="s">
        <v>59</v>
      </c>
      <c r="M152">
        <v>5</v>
      </c>
      <c r="N152" t="str">
        <f>HYPERLINK("Gene2609-zp_tree_all.dnd", "Gene2609-tree")</f>
        <v>Gene2609-tree</v>
      </c>
      <c r="O152">
        <v>4</v>
      </c>
      <c r="P152">
        <v>1</v>
      </c>
      <c r="Q152">
        <v>4</v>
      </c>
      <c r="R152">
        <v>1</v>
      </c>
      <c r="S152">
        <v>0.2</v>
      </c>
      <c r="T152" t="s">
        <v>60</v>
      </c>
      <c r="U152" t="s">
        <v>61</v>
      </c>
      <c r="V152" t="s">
        <v>62</v>
      </c>
      <c r="W152" t="s">
        <v>62</v>
      </c>
      <c r="X152">
        <v>0</v>
      </c>
      <c r="Y152">
        <v>0</v>
      </c>
      <c r="Z152">
        <v>5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3</v>
      </c>
      <c r="AK152">
        <v>0</v>
      </c>
      <c r="AL152">
        <v>5</v>
      </c>
      <c r="AM152">
        <v>2</v>
      </c>
      <c r="AN152">
        <v>36</v>
      </c>
      <c r="AO152">
        <v>3</v>
      </c>
      <c r="AP152">
        <v>38</v>
      </c>
      <c r="AQ152">
        <v>3</v>
      </c>
      <c r="AR152" t="s">
        <v>3457</v>
      </c>
      <c r="AS152" t="s">
        <v>3458</v>
      </c>
      <c r="AT152">
        <v>4.9000000000000002E-2</v>
      </c>
      <c r="AU152" t="s">
        <v>65</v>
      </c>
      <c r="AV152">
        <v>74</v>
      </c>
      <c r="AW152">
        <v>6</v>
      </c>
      <c r="AX152" t="s">
        <v>3459</v>
      </c>
      <c r="AY152" t="s">
        <v>3460</v>
      </c>
      <c r="AZ152" t="s">
        <v>3461</v>
      </c>
      <c r="BA152">
        <v>2.257E-2</v>
      </c>
      <c r="BB152">
        <v>1</v>
      </c>
      <c r="BC152" t="s">
        <v>69</v>
      </c>
      <c r="BD152">
        <v>0.501</v>
      </c>
      <c r="BE152">
        <v>0.21299999999999999</v>
      </c>
    </row>
    <row r="153" spans="1:57">
      <c r="A153">
        <v>0</v>
      </c>
      <c r="B153">
        <v>0</v>
      </c>
      <c r="C153">
        <v>0</v>
      </c>
      <c r="D153">
        <v>4034</v>
      </c>
      <c r="E153" t="s">
        <v>5432</v>
      </c>
      <c r="F153" t="s">
        <v>5761</v>
      </c>
      <c r="G153" t="s">
        <v>57</v>
      </c>
      <c r="H153">
        <v>3999350</v>
      </c>
      <c r="I153">
        <v>4000483</v>
      </c>
      <c r="J153" t="s">
        <v>5433</v>
      </c>
      <c r="K153">
        <v>378</v>
      </c>
      <c r="L153" t="s">
        <v>59</v>
      </c>
      <c r="M153">
        <v>5</v>
      </c>
      <c r="N153" t="str">
        <f>HYPERLINK("Gene4034-zp_tree_all.dnd", "Gene4034-tree")</f>
        <v>Gene4034-tree</v>
      </c>
      <c r="O153">
        <v>0</v>
      </c>
      <c r="P153">
        <v>5</v>
      </c>
      <c r="Q153">
        <v>0</v>
      </c>
      <c r="R153">
        <v>5</v>
      </c>
      <c r="S153">
        <v>1</v>
      </c>
      <c r="T153" t="s">
        <v>62</v>
      </c>
      <c r="U153" t="s">
        <v>98</v>
      </c>
      <c r="V153" t="s">
        <v>62</v>
      </c>
      <c r="W153" t="s">
        <v>62</v>
      </c>
      <c r="X153">
        <v>0</v>
      </c>
      <c r="Y153">
        <v>0</v>
      </c>
      <c r="Z153">
        <v>13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10</v>
      </c>
      <c r="AK153">
        <v>0</v>
      </c>
      <c r="AL153">
        <v>5</v>
      </c>
      <c r="AM153">
        <v>2</v>
      </c>
      <c r="AN153">
        <v>37</v>
      </c>
      <c r="AO153">
        <v>9</v>
      </c>
      <c r="AP153">
        <v>40</v>
      </c>
      <c r="AQ153">
        <v>4</v>
      </c>
      <c r="AR153" t="s">
        <v>5434</v>
      </c>
      <c r="AS153" t="s">
        <v>5435</v>
      </c>
      <c r="AT153">
        <v>2.7679999999999998</v>
      </c>
      <c r="AU153" t="s">
        <v>286</v>
      </c>
      <c r="AV153">
        <v>77</v>
      </c>
      <c r="AW153">
        <v>13</v>
      </c>
      <c r="AX153" t="s">
        <v>5436</v>
      </c>
      <c r="AY153" t="s">
        <v>5437</v>
      </c>
      <c r="AZ153" t="s">
        <v>5438</v>
      </c>
      <c r="BA153">
        <v>4.0969999999999999E-2</v>
      </c>
      <c r="BB153">
        <v>1</v>
      </c>
      <c r="BC153" t="s">
        <v>69</v>
      </c>
      <c r="BD153">
        <v>0.621</v>
      </c>
      <c r="BE153">
        <v>0.373</v>
      </c>
    </row>
    <row r="154" spans="1:57">
      <c r="A154">
        <v>0</v>
      </c>
      <c r="B154">
        <v>2</v>
      </c>
      <c r="C154">
        <v>0</v>
      </c>
      <c r="D154">
        <v>3882</v>
      </c>
      <c r="E154" t="s">
        <v>5239</v>
      </c>
      <c r="F154" t="s">
        <v>5761</v>
      </c>
      <c r="G154" t="s">
        <v>57</v>
      </c>
      <c r="H154">
        <v>3846001</v>
      </c>
      <c r="I154">
        <v>3847143</v>
      </c>
      <c r="J154" t="s">
        <v>5240</v>
      </c>
      <c r="K154">
        <v>381</v>
      </c>
      <c r="L154" t="s">
        <v>83</v>
      </c>
      <c r="M154">
        <v>4</v>
      </c>
      <c r="N154" t="str">
        <f>HYPERLINK("Gene3882-zp_tree_all.dnd", "Gene3882-tree")</f>
        <v>Gene3882-tree</v>
      </c>
      <c r="O154">
        <v>0</v>
      </c>
      <c r="P154">
        <v>4</v>
      </c>
      <c r="Q154">
        <v>0</v>
      </c>
      <c r="R154">
        <v>4</v>
      </c>
      <c r="S154">
        <v>1</v>
      </c>
      <c r="T154" t="s">
        <v>62</v>
      </c>
      <c r="U154" t="s">
        <v>60</v>
      </c>
      <c r="V154" t="s">
        <v>62</v>
      </c>
      <c r="W154" t="s">
        <v>62</v>
      </c>
      <c r="X154">
        <v>1</v>
      </c>
      <c r="Y154">
        <v>2</v>
      </c>
      <c r="Z154">
        <v>15</v>
      </c>
      <c r="AA154">
        <v>0.11765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2</v>
      </c>
      <c r="AH154">
        <v>0</v>
      </c>
      <c r="AI154">
        <v>2</v>
      </c>
      <c r="AJ154">
        <v>13</v>
      </c>
      <c r="AK154">
        <v>0.13333</v>
      </c>
      <c r="AL154">
        <v>4</v>
      </c>
      <c r="AM154">
        <v>1</v>
      </c>
      <c r="AN154">
        <v>35</v>
      </c>
      <c r="AO154">
        <v>15</v>
      </c>
      <c r="AP154">
        <v>5</v>
      </c>
      <c r="AQ154">
        <v>2</v>
      </c>
      <c r="AR154" t="s">
        <v>5241</v>
      </c>
      <c r="AS154" t="s">
        <v>5242</v>
      </c>
      <c r="AT154">
        <v>6.0000000000000001E-3</v>
      </c>
      <c r="AU154" t="s">
        <v>65</v>
      </c>
      <c r="AV154">
        <v>40</v>
      </c>
      <c r="AW154">
        <v>17</v>
      </c>
      <c r="AX154" t="s">
        <v>5243</v>
      </c>
      <c r="AY154" t="s">
        <v>5244</v>
      </c>
      <c r="AZ154" t="s">
        <v>5245</v>
      </c>
      <c r="BA154">
        <v>0.10051</v>
      </c>
      <c r="BB154">
        <v>1</v>
      </c>
      <c r="BC154" t="s">
        <v>69</v>
      </c>
      <c r="BD154">
        <v>-0.41299999999999998</v>
      </c>
      <c r="BE154">
        <v>-0.41299999999999998</v>
      </c>
    </row>
    <row r="155" spans="1:57">
      <c r="A155">
        <v>0</v>
      </c>
      <c r="B155">
        <v>2</v>
      </c>
      <c r="C155">
        <v>0</v>
      </c>
      <c r="D155">
        <v>1065</v>
      </c>
      <c r="E155" t="s">
        <v>1527</v>
      </c>
      <c r="F155" t="s">
        <v>5761</v>
      </c>
      <c r="G155" t="s">
        <v>62</v>
      </c>
      <c r="H155">
        <v>1104426</v>
      </c>
      <c r="I155">
        <v>1105568</v>
      </c>
      <c r="J155" t="s">
        <v>1528</v>
      </c>
      <c r="K155">
        <v>381</v>
      </c>
      <c r="L155" t="s">
        <v>83</v>
      </c>
      <c r="M155">
        <v>4</v>
      </c>
      <c r="N155" t="str">
        <f>HYPERLINK("Gene1065-zp_tree_all.dnd", "Gene1065-tree")</f>
        <v>Gene1065-tree</v>
      </c>
      <c r="O155">
        <v>0</v>
      </c>
      <c r="P155">
        <v>4</v>
      </c>
      <c r="Q155">
        <v>0</v>
      </c>
      <c r="R155">
        <v>4</v>
      </c>
      <c r="S155">
        <v>1</v>
      </c>
      <c r="T155" t="s">
        <v>62</v>
      </c>
      <c r="U155" t="s">
        <v>60</v>
      </c>
      <c r="V155" t="s">
        <v>62</v>
      </c>
      <c r="W155" t="s">
        <v>62</v>
      </c>
      <c r="X155">
        <v>1</v>
      </c>
      <c r="Y155">
        <v>2</v>
      </c>
      <c r="Z155">
        <v>11</v>
      </c>
      <c r="AA155">
        <v>0.15384999999999999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2</v>
      </c>
      <c r="AH155">
        <v>0</v>
      </c>
      <c r="AI155">
        <v>2</v>
      </c>
      <c r="AJ155">
        <v>9</v>
      </c>
      <c r="AK155">
        <v>0.18182000000000001</v>
      </c>
      <c r="AL155">
        <v>4</v>
      </c>
      <c r="AM155">
        <v>1</v>
      </c>
      <c r="AN155">
        <v>49</v>
      </c>
      <c r="AO155">
        <v>11</v>
      </c>
      <c r="AP155">
        <v>9</v>
      </c>
      <c r="AQ155">
        <v>2</v>
      </c>
      <c r="AR155" t="s">
        <v>1529</v>
      </c>
      <c r="AS155" t="s">
        <v>1530</v>
      </c>
      <c r="AT155">
        <v>7.0000000000000001E-3</v>
      </c>
      <c r="AU155" t="s">
        <v>65</v>
      </c>
      <c r="AV155">
        <v>58</v>
      </c>
      <c r="AW155">
        <v>13</v>
      </c>
      <c r="AX155" t="s">
        <v>1531</v>
      </c>
      <c r="AY155" t="s">
        <v>1532</v>
      </c>
      <c r="AZ155" t="s">
        <v>1533</v>
      </c>
      <c r="BA155">
        <v>6.5750000000000003E-2</v>
      </c>
      <c r="BB155">
        <v>1</v>
      </c>
      <c r="BC155" t="s">
        <v>69</v>
      </c>
      <c r="BD155">
        <v>-4.8000000000000001E-2</v>
      </c>
      <c r="BE155">
        <v>-0.193</v>
      </c>
    </row>
    <row r="156" spans="1:57">
      <c r="A156">
        <v>0</v>
      </c>
      <c r="B156">
        <v>0</v>
      </c>
      <c r="C156">
        <v>0</v>
      </c>
      <c r="D156">
        <v>598</v>
      </c>
      <c r="E156" t="s">
        <v>1020</v>
      </c>
      <c r="F156" t="s">
        <v>5761</v>
      </c>
      <c r="G156" t="s">
        <v>62</v>
      </c>
      <c r="H156">
        <v>625128</v>
      </c>
      <c r="I156">
        <v>626291</v>
      </c>
      <c r="J156" t="s">
        <v>1021</v>
      </c>
      <c r="K156">
        <v>388</v>
      </c>
      <c r="L156" t="s">
        <v>59</v>
      </c>
      <c r="M156">
        <v>5</v>
      </c>
      <c r="N156" t="str">
        <f>HYPERLINK("Gene598-zp_tree_all.dnd", "Gene598-tree")</f>
        <v>Gene598-tree</v>
      </c>
      <c r="O156">
        <v>2</v>
      </c>
      <c r="P156">
        <v>3</v>
      </c>
      <c r="Q156">
        <v>2</v>
      </c>
      <c r="R156">
        <v>3</v>
      </c>
      <c r="S156">
        <v>0.6</v>
      </c>
      <c r="T156" t="s">
        <v>135</v>
      </c>
      <c r="U156" t="s">
        <v>84</v>
      </c>
      <c r="V156" t="s">
        <v>62</v>
      </c>
      <c r="W156" t="s">
        <v>62</v>
      </c>
      <c r="X156">
        <v>0</v>
      </c>
      <c r="Y156">
        <v>0</v>
      </c>
      <c r="Z156">
        <v>7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5</v>
      </c>
      <c r="AK156">
        <v>0</v>
      </c>
      <c r="AL156">
        <v>3</v>
      </c>
      <c r="AM156">
        <v>2</v>
      </c>
      <c r="AN156">
        <v>37</v>
      </c>
      <c r="AO156">
        <v>5</v>
      </c>
      <c r="AP156">
        <v>28</v>
      </c>
      <c r="AQ156">
        <v>2</v>
      </c>
      <c r="AR156" t="s">
        <v>1022</v>
      </c>
      <c r="AS156" t="s">
        <v>1023</v>
      </c>
      <c r="AT156">
        <v>0.66400000000000003</v>
      </c>
      <c r="AU156" t="s">
        <v>65</v>
      </c>
      <c r="AV156">
        <v>65</v>
      </c>
      <c r="AW156">
        <v>7</v>
      </c>
      <c r="AX156" t="s">
        <v>1024</v>
      </c>
      <c r="AY156" t="s">
        <v>1025</v>
      </c>
      <c r="AZ156" t="s">
        <v>1026</v>
      </c>
      <c r="BA156">
        <v>3.1789999999999999E-2</v>
      </c>
      <c r="BB156">
        <v>1</v>
      </c>
      <c r="BC156" t="s">
        <v>69</v>
      </c>
      <c r="BD156">
        <v>0.224</v>
      </c>
      <c r="BE156">
        <v>0.11</v>
      </c>
    </row>
    <row r="157" spans="1:57">
      <c r="A157">
        <v>0</v>
      </c>
      <c r="B157">
        <v>0</v>
      </c>
      <c r="C157">
        <v>2</v>
      </c>
      <c r="D157">
        <v>3267</v>
      </c>
      <c r="E157" t="s">
        <v>4419</v>
      </c>
      <c r="F157" t="s">
        <v>5761</v>
      </c>
      <c r="G157" t="s">
        <v>57</v>
      </c>
      <c r="H157">
        <v>3232640</v>
      </c>
      <c r="I157">
        <v>3233815</v>
      </c>
      <c r="J157" t="s">
        <v>4420</v>
      </c>
      <c r="K157">
        <v>392</v>
      </c>
      <c r="L157" t="s">
        <v>59</v>
      </c>
      <c r="M157">
        <v>5</v>
      </c>
      <c r="N157" t="str">
        <f>HYPERLINK("Gene3267-zp_tree_all.dnd", "Gene3267-tree")</f>
        <v>Gene3267-tree</v>
      </c>
      <c r="O157">
        <v>0</v>
      </c>
      <c r="P157">
        <v>5</v>
      </c>
      <c r="Q157">
        <v>0</v>
      </c>
      <c r="R157">
        <v>5</v>
      </c>
      <c r="S157">
        <v>1</v>
      </c>
      <c r="T157" t="s">
        <v>62</v>
      </c>
      <c r="U157" t="s">
        <v>98</v>
      </c>
      <c r="V157" t="s">
        <v>62</v>
      </c>
      <c r="W157" t="s">
        <v>62</v>
      </c>
      <c r="X157">
        <v>1</v>
      </c>
      <c r="Y157">
        <v>2</v>
      </c>
      <c r="Z157">
        <v>14</v>
      </c>
      <c r="AA157">
        <v>0.125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2</v>
      </c>
      <c r="AI157">
        <v>2</v>
      </c>
      <c r="AJ157">
        <v>5</v>
      </c>
      <c r="AK157">
        <v>0.28571000000000002</v>
      </c>
      <c r="AL157">
        <v>5</v>
      </c>
      <c r="AM157">
        <v>2</v>
      </c>
      <c r="AN157">
        <v>28</v>
      </c>
      <c r="AO157">
        <v>8</v>
      </c>
      <c r="AP157">
        <v>27</v>
      </c>
      <c r="AQ157">
        <v>9</v>
      </c>
      <c r="AR157" t="s">
        <v>4421</v>
      </c>
      <c r="AS157" t="s">
        <v>4422</v>
      </c>
      <c r="AT157">
        <v>0.16600000000000001</v>
      </c>
      <c r="AU157" t="s">
        <v>65</v>
      </c>
      <c r="AV157">
        <v>55</v>
      </c>
      <c r="AW157">
        <v>17</v>
      </c>
      <c r="AX157" t="s">
        <v>4423</v>
      </c>
      <c r="AY157" t="s">
        <v>4424</v>
      </c>
      <c r="AZ157" t="s">
        <v>4425</v>
      </c>
      <c r="BA157">
        <v>9.5780000000000004E-2</v>
      </c>
      <c r="BB157">
        <v>1</v>
      </c>
      <c r="BC157" t="s">
        <v>69</v>
      </c>
      <c r="BD157">
        <v>0.43</v>
      </c>
      <c r="BE157">
        <v>0.33900000000000002</v>
      </c>
    </row>
    <row r="158" spans="1:57">
      <c r="A158">
        <v>0</v>
      </c>
      <c r="B158">
        <v>0</v>
      </c>
      <c r="C158">
        <v>2</v>
      </c>
      <c r="D158">
        <v>3989</v>
      </c>
      <c r="E158" t="s">
        <v>5373</v>
      </c>
      <c r="F158" t="s">
        <v>5761</v>
      </c>
      <c r="G158" t="s">
        <v>57</v>
      </c>
      <c r="H158">
        <v>3953783</v>
      </c>
      <c r="I158">
        <v>3954967</v>
      </c>
      <c r="J158" t="s">
        <v>5374</v>
      </c>
      <c r="K158">
        <v>395</v>
      </c>
      <c r="L158" t="s">
        <v>59</v>
      </c>
      <c r="M158">
        <v>5</v>
      </c>
      <c r="N158" t="str">
        <f>HYPERLINK("Gene3989-zp_tree_all.dnd", "Gene3989-tree")</f>
        <v>Gene3989-tree</v>
      </c>
      <c r="O158">
        <v>2</v>
      </c>
      <c r="P158">
        <v>3</v>
      </c>
      <c r="Q158">
        <v>2</v>
      </c>
      <c r="R158">
        <v>3</v>
      </c>
      <c r="S158">
        <v>0.6</v>
      </c>
      <c r="T158" t="s">
        <v>135</v>
      </c>
      <c r="U158" t="s">
        <v>84</v>
      </c>
      <c r="V158" t="s">
        <v>62</v>
      </c>
      <c r="W158" t="s">
        <v>62</v>
      </c>
      <c r="X158">
        <v>1</v>
      </c>
      <c r="Y158">
        <v>2</v>
      </c>
      <c r="Z158">
        <v>2</v>
      </c>
      <c r="AA158">
        <v>0.5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3</v>
      </c>
      <c r="AK158">
        <v>0</v>
      </c>
      <c r="AL158">
        <v>5</v>
      </c>
      <c r="AM158">
        <v>2</v>
      </c>
      <c r="AN158">
        <v>12</v>
      </c>
      <c r="AO158">
        <v>3</v>
      </c>
      <c r="AP158">
        <v>45</v>
      </c>
      <c r="AQ158">
        <v>1</v>
      </c>
      <c r="AR158" t="s">
        <v>5375</v>
      </c>
      <c r="AS158" t="s">
        <v>5376</v>
      </c>
      <c r="AT158">
        <v>2.3450000000000002</v>
      </c>
      <c r="AU158" t="s">
        <v>286</v>
      </c>
      <c r="AV158">
        <v>57</v>
      </c>
      <c r="AW158">
        <v>4</v>
      </c>
      <c r="AX158" t="s">
        <v>5377</v>
      </c>
      <c r="AY158" t="s">
        <v>5378</v>
      </c>
      <c r="AZ158" t="s">
        <v>5379</v>
      </c>
      <c r="BA158">
        <v>1.5010000000000001E-2</v>
      </c>
      <c r="BB158">
        <v>1</v>
      </c>
      <c r="BC158" t="s">
        <v>69</v>
      </c>
      <c r="BD158">
        <v>1.347</v>
      </c>
      <c r="BE158">
        <v>1.347</v>
      </c>
    </row>
    <row r="159" spans="1:57">
      <c r="A159">
        <v>0</v>
      </c>
      <c r="B159">
        <v>2</v>
      </c>
      <c r="C159">
        <v>0</v>
      </c>
      <c r="D159">
        <v>4040</v>
      </c>
      <c r="E159" t="s">
        <v>5439</v>
      </c>
      <c r="F159" t="s">
        <v>5761</v>
      </c>
      <c r="G159" t="s">
        <v>57</v>
      </c>
      <c r="H159">
        <v>4005752</v>
      </c>
      <c r="I159">
        <v>4006942</v>
      </c>
      <c r="J159" t="s">
        <v>5440</v>
      </c>
      <c r="K159">
        <v>397</v>
      </c>
      <c r="L159" t="s">
        <v>83</v>
      </c>
      <c r="M159">
        <v>4</v>
      </c>
      <c r="N159" t="str">
        <f>HYPERLINK("Gene4040-zp_tree_all.dnd", "Gene4040-tree")</f>
        <v>Gene4040-tree</v>
      </c>
      <c r="O159">
        <v>2</v>
      </c>
      <c r="P159">
        <v>2</v>
      </c>
      <c r="Q159">
        <v>2</v>
      </c>
      <c r="R159">
        <v>2</v>
      </c>
      <c r="S159">
        <v>0.5</v>
      </c>
      <c r="T159" t="s">
        <v>135</v>
      </c>
      <c r="U159" t="s">
        <v>135</v>
      </c>
      <c r="V159" t="s">
        <v>62</v>
      </c>
      <c r="W159" t="s">
        <v>62</v>
      </c>
      <c r="X159">
        <v>1</v>
      </c>
      <c r="Y159">
        <v>2</v>
      </c>
      <c r="Z159">
        <v>2</v>
      </c>
      <c r="AA159">
        <v>0.5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2</v>
      </c>
      <c r="AH159">
        <v>0</v>
      </c>
      <c r="AI159">
        <v>2</v>
      </c>
      <c r="AJ159">
        <v>1</v>
      </c>
      <c r="AK159">
        <v>0.66666999999999998</v>
      </c>
      <c r="AL159">
        <v>4</v>
      </c>
      <c r="AM159">
        <v>1</v>
      </c>
      <c r="AN159">
        <v>61</v>
      </c>
      <c r="AO159">
        <v>3</v>
      </c>
      <c r="AP159">
        <v>6</v>
      </c>
      <c r="AQ159">
        <v>1</v>
      </c>
      <c r="AR159" t="s">
        <v>5441</v>
      </c>
      <c r="AS159" t="s">
        <v>5442</v>
      </c>
      <c r="AT159">
        <v>2.1619999999999999</v>
      </c>
      <c r="AU159" t="s">
        <v>65</v>
      </c>
      <c r="AV159">
        <v>67</v>
      </c>
      <c r="AW159">
        <v>4</v>
      </c>
      <c r="AX159" t="s">
        <v>5443</v>
      </c>
      <c r="AY159" t="s">
        <v>5444</v>
      </c>
      <c r="AZ159" t="s">
        <v>5445</v>
      </c>
      <c r="BA159">
        <v>1.634E-2</v>
      </c>
      <c r="BB159">
        <v>1</v>
      </c>
      <c r="BC159" t="s">
        <v>69</v>
      </c>
      <c r="BD159">
        <v>-0.40100000000000002</v>
      </c>
      <c r="BE159">
        <v>-0.54100000000000004</v>
      </c>
    </row>
    <row r="160" spans="1:57">
      <c r="A160">
        <v>0</v>
      </c>
      <c r="B160">
        <v>0</v>
      </c>
      <c r="C160">
        <v>3</v>
      </c>
      <c r="D160">
        <v>1090</v>
      </c>
      <c r="E160" t="s">
        <v>1567</v>
      </c>
      <c r="F160" t="s">
        <v>5761</v>
      </c>
      <c r="G160" t="s">
        <v>62</v>
      </c>
      <c r="H160">
        <v>1128289</v>
      </c>
      <c r="I160">
        <v>1129611</v>
      </c>
      <c r="J160" t="s">
        <v>1568</v>
      </c>
      <c r="K160">
        <v>441</v>
      </c>
      <c r="L160" t="s">
        <v>83</v>
      </c>
      <c r="M160">
        <v>4</v>
      </c>
      <c r="N160" t="str">
        <f>HYPERLINK("Gene1090-zp_tree_all.dnd", "Gene1090-tree")</f>
        <v>Gene1090-tree</v>
      </c>
      <c r="O160">
        <v>0</v>
      </c>
      <c r="P160">
        <v>4</v>
      </c>
      <c r="Q160">
        <v>0</v>
      </c>
      <c r="R160">
        <v>4</v>
      </c>
      <c r="S160">
        <v>1</v>
      </c>
      <c r="T160" t="s">
        <v>62</v>
      </c>
      <c r="U160" t="s">
        <v>60</v>
      </c>
      <c r="V160" t="s">
        <v>62</v>
      </c>
      <c r="W160" t="s">
        <v>62</v>
      </c>
      <c r="X160">
        <v>1</v>
      </c>
      <c r="Y160">
        <v>3</v>
      </c>
      <c r="Z160">
        <v>28</v>
      </c>
      <c r="AA160">
        <v>9.6769999999999995E-2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3</v>
      </c>
      <c r="AI160">
        <v>3</v>
      </c>
      <c r="AJ160">
        <v>28</v>
      </c>
      <c r="AK160">
        <v>9.6769999999999995E-2</v>
      </c>
      <c r="AL160">
        <v>4</v>
      </c>
      <c r="AM160">
        <v>1</v>
      </c>
      <c r="AN160">
        <v>38</v>
      </c>
      <c r="AO160">
        <v>32</v>
      </c>
      <c r="AP160">
        <v>2</v>
      </c>
      <c r="AQ160">
        <v>0</v>
      </c>
      <c r="AR160" t="s">
        <v>1569</v>
      </c>
      <c r="AS160" t="s">
        <v>64</v>
      </c>
      <c r="AT160">
        <v>0.60399999999999998</v>
      </c>
      <c r="AU160" t="s">
        <v>65</v>
      </c>
      <c r="AV160">
        <v>40</v>
      </c>
      <c r="AW160">
        <v>32</v>
      </c>
      <c r="AX160" t="s">
        <v>1570</v>
      </c>
      <c r="AY160" t="s">
        <v>1571</v>
      </c>
      <c r="AZ160" t="s">
        <v>1572</v>
      </c>
      <c r="BA160">
        <v>0.20018</v>
      </c>
      <c r="BB160">
        <v>1</v>
      </c>
      <c r="BC160" t="s">
        <v>69</v>
      </c>
      <c r="BD160">
        <v>-0.64200000000000002</v>
      </c>
      <c r="BE160">
        <v>-0.77900000000000003</v>
      </c>
    </row>
    <row r="161" spans="1:57">
      <c r="A161">
        <v>0</v>
      </c>
      <c r="B161">
        <v>0</v>
      </c>
      <c r="C161">
        <v>0</v>
      </c>
      <c r="D161">
        <v>990</v>
      </c>
      <c r="E161" t="s">
        <v>1437</v>
      </c>
      <c r="F161" t="s">
        <v>5761</v>
      </c>
      <c r="G161" t="s">
        <v>62</v>
      </c>
      <c r="H161">
        <v>1032066</v>
      </c>
      <c r="I161">
        <v>1033397</v>
      </c>
      <c r="J161" t="s">
        <v>1438</v>
      </c>
      <c r="K161">
        <v>444</v>
      </c>
      <c r="L161" t="s">
        <v>59</v>
      </c>
      <c r="M161">
        <v>5</v>
      </c>
      <c r="N161" t="str">
        <f>HYPERLINK("Gene990-zp_tree_all.dnd", "Gene990-tree")</f>
        <v>Gene990-tree</v>
      </c>
      <c r="O161">
        <v>2</v>
      </c>
      <c r="P161">
        <v>3</v>
      </c>
      <c r="Q161">
        <v>2</v>
      </c>
      <c r="R161">
        <v>3</v>
      </c>
      <c r="S161">
        <v>0.6</v>
      </c>
      <c r="T161" t="s">
        <v>135</v>
      </c>
      <c r="U161" t="s">
        <v>84</v>
      </c>
      <c r="V161" t="s">
        <v>62</v>
      </c>
      <c r="W161" t="s">
        <v>62</v>
      </c>
      <c r="X161">
        <v>0</v>
      </c>
      <c r="Y161">
        <v>0</v>
      </c>
      <c r="Z161">
        <v>8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4</v>
      </c>
      <c r="AK161">
        <v>0</v>
      </c>
      <c r="AL161">
        <v>5</v>
      </c>
      <c r="AM161">
        <v>2</v>
      </c>
      <c r="AN161">
        <v>24</v>
      </c>
      <c r="AO161">
        <v>4</v>
      </c>
      <c r="AP161">
        <v>45</v>
      </c>
      <c r="AQ161">
        <v>5</v>
      </c>
      <c r="AR161" t="s">
        <v>1439</v>
      </c>
      <c r="AS161" t="s">
        <v>1440</v>
      </c>
      <c r="AT161">
        <v>0.46200000000000002</v>
      </c>
      <c r="AU161" t="s">
        <v>65</v>
      </c>
      <c r="AV161">
        <v>69</v>
      </c>
      <c r="AW161">
        <v>9</v>
      </c>
      <c r="AX161" t="s">
        <v>1441</v>
      </c>
      <c r="AY161" t="s">
        <v>1442</v>
      </c>
      <c r="AZ161" t="s">
        <v>1443</v>
      </c>
      <c r="BA161">
        <v>3.4380000000000001E-2</v>
      </c>
      <c r="BB161">
        <v>1</v>
      </c>
      <c r="BC161" t="s">
        <v>69</v>
      </c>
      <c r="BD161">
        <v>0.91300000000000003</v>
      </c>
      <c r="BE161">
        <v>0.61499999999999999</v>
      </c>
    </row>
    <row r="162" spans="1:57">
      <c r="A162">
        <v>0</v>
      </c>
      <c r="B162">
        <v>0</v>
      </c>
      <c r="C162">
        <v>2</v>
      </c>
      <c r="D162">
        <v>3571</v>
      </c>
      <c r="E162" t="s">
        <v>4870</v>
      </c>
      <c r="F162" t="s">
        <v>5761</v>
      </c>
      <c r="G162" t="s">
        <v>57</v>
      </c>
      <c r="H162">
        <v>3536012</v>
      </c>
      <c r="I162">
        <v>3537430</v>
      </c>
      <c r="J162" t="s">
        <v>4871</v>
      </c>
      <c r="K162">
        <v>473</v>
      </c>
      <c r="L162" t="s">
        <v>59</v>
      </c>
      <c r="M162">
        <v>5</v>
      </c>
      <c r="N162" t="str">
        <f>HYPERLINK("Gene3571-zp_tree_all.dnd", "Gene3571-tree")</f>
        <v>Gene3571-tree</v>
      </c>
      <c r="O162">
        <v>2</v>
      </c>
      <c r="P162">
        <v>3</v>
      </c>
      <c r="Q162">
        <v>2</v>
      </c>
      <c r="R162">
        <v>3</v>
      </c>
      <c r="S162">
        <v>0.6</v>
      </c>
      <c r="T162" t="s">
        <v>135</v>
      </c>
      <c r="U162" t="s">
        <v>84</v>
      </c>
      <c r="V162" t="s">
        <v>62</v>
      </c>
      <c r="W162" t="s">
        <v>62</v>
      </c>
      <c r="X162">
        <v>1</v>
      </c>
      <c r="Y162">
        <v>2</v>
      </c>
      <c r="Z162">
        <v>11</v>
      </c>
      <c r="AA162">
        <v>0.15384999999999999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9</v>
      </c>
      <c r="AK162">
        <v>0</v>
      </c>
      <c r="AL162">
        <v>5</v>
      </c>
      <c r="AM162">
        <v>2</v>
      </c>
      <c r="AN162">
        <v>76</v>
      </c>
      <c r="AO162">
        <v>9</v>
      </c>
      <c r="AP162">
        <v>33</v>
      </c>
      <c r="AQ162">
        <v>4</v>
      </c>
      <c r="AR162" t="s">
        <v>4872</v>
      </c>
      <c r="AS162" t="s">
        <v>4873</v>
      </c>
      <c r="AT162">
        <v>3.5999999999999997E-2</v>
      </c>
      <c r="AU162" t="s">
        <v>65</v>
      </c>
      <c r="AV162">
        <v>109</v>
      </c>
      <c r="AW162">
        <v>13</v>
      </c>
      <c r="AX162" t="s">
        <v>4874</v>
      </c>
      <c r="AY162" t="s">
        <v>4875</v>
      </c>
      <c r="AZ162" t="s">
        <v>4876</v>
      </c>
      <c r="BA162">
        <v>3.4130000000000001E-2</v>
      </c>
      <c r="BB162">
        <v>1</v>
      </c>
      <c r="BC162" t="s">
        <v>69</v>
      </c>
      <c r="BD162">
        <v>0.121</v>
      </c>
      <c r="BE162">
        <v>-0.151</v>
      </c>
    </row>
    <row r="163" spans="1:57">
      <c r="A163">
        <v>0</v>
      </c>
      <c r="B163">
        <v>0</v>
      </c>
      <c r="C163">
        <v>0</v>
      </c>
      <c r="D163">
        <v>916</v>
      </c>
      <c r="E163" t="s">
        <v>1350</v>
      </c>
      <c r="F163" t="s">
        <v>5761</v>
      </c>
      <c r="G163" t="s">
        <v>62</v>
      </c>
      <c r="H163">
        <v>959538</v>
      </c>
      <c r="I163">
        <v>960986</v>
      </c>
      <c r="J163" t="s">
        <v>1351</v>
      </c>
      <c r="K163">
        <v>483</v>
      </c>
      <c r="L163" t="s">
        <v>59</v>
      </c>
      <c r="M163">
        <v>5</v>
      </c>
      <c r="N163" t="str">
        <f>HYPERLINK("Gene916-zp_tree_all.dnd", "Gene916-tree")</f>
        <v>Gene916-tree</v>
      </c>
      <c r="O163">
        <v>3</v>
      </c>
      <c r="P163">
        <v>2</v>
      </c>
      <c r="Q163">
        <v>3</v>
      </c>
      <c r="R163">
        <v>2</v>
      </c>
      <c r="S163">
        <v>0.4</v>
      </c>
      <c r="T163" t="s">
        <v>84</v>
      </c>
      <c r="U163" t="s">
        <v>135</v>
      </c>
      <c r="V163" t="s">
        <v>62</v>
      </c>
      <c r="W163" t="s">
        <v>62</v>
      </c>
      <c r="X163">
        <v>0</v>
      </c>
      <c r="Y163">
        <v>0</v>
      </c>
      <c r="Z163">
        <v>6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2</v>
      </c>
      <c r="AK163">
        <v>0</v>
      </c>
      <c r="AL163">
        <v>5</v>
      </c>
      <c r="AM163">
        <v>2</v>
      </c>
      <c r="AN163">
        <v>47</v>
      </c>
      <c r="AO163">
        <v>2</v>
      </c>
      <c r="AP163">
        <v>46</v>
      </c>
      <c r="AQ163">
        <v>4</v>
      </c>
      <c r="AR163" t="s">
        <v>1352</v>
      </c>
      <c r="AS163" t="s">
        <v>1353</v>
      </c>
      <c r="AT163">
        <v>0.36599999999999999</v>
      </c>
      <c r="AU163" t="s">
        <v>65</v>
      </c>
      <c r="AV163">
        <v>93</v>
      </c>
      <c r="AW163">
        <v>6</v>
      </c>
      <c r="AX163" t="s">
        <v>1354</v>
      </c>
      <c r="AY163" t="s">
        <v>1355</v>
      </c>
      <c r="AZ163" t="s">
        <v>1356</v>
      </c>
      <c r="BA163">
        <v>1.8589999999999999E-2</v>
      </c>
      <c r="BB163">
        <v>1</v>
      </c>
      <c r="BC163" t="s">
        <v>69</v>
      </c>
      <c r="BD163">
        <v>0.64</v>
      </c>
      <c r="BE163">
        <v>0.57199999999999995</v>
      </c>
    </row>
    <row r="164" spans="1:57">
      <c r="A164">
        <v>0</v>
      </c>
      <c r="B164">
        <v>0</v>
      </c>
      <c r="C164">
        <v>0</v>
      </c>
      <c r="D164">
        <v>1418</v>
      </c>
      <c r="E164" t="s">
        <v>1857</v>
      </c>
      <c r="F164" t="s">
        <v>5761</v>
      </c>
      <c r="G164" t="s">
        <v>62</v>
      </c>
      <c r="H164">
        <v>1431489</v>
      </c>
      <c r="I164">
        <v>1433006</v>
      </c>
      <c r="J164" t="s">
        <v>1858</v>
      </c>
      <c r="K164">
        <v>506</v>
      </c>
      <c r="L164" t="s">
        <v>112</v>
      </c>
      <c r="M164">
        <v>4</v>
      </c>
      <c r="N164" t="str">
        <f>HYPERLINK("Gene1418-zp_tree_all.dnd", "Gene1418-tree")</f>
        <v>Gene1418-tree</v>
      </c>
      <c r="O164">
        <v>2</v>
      </c>
      <c r="P164">
        <v>2</v>
      </c>
      <c r="Q164">
        <v>2</v>
      </c>
      <c r="R164">
        <v>2</v>
      </c>
      <c r="S164">
        <v>0.5</v>
      </c>
      <c r="T164" t="s">
        <v>135</v>
      </c>
      <c r="U164" t="s">
        <v>135</v>
      </c>
      <c r="V164" t="s">
        <v>62</v>
      </c>
      <c r="W164" t="s">
        <v>62</v>
      </c>
      <c r="X164">
        <v>0</v>
      </c>
      <c r="Y164">
        <v>0</v>
      </c>
      <c r="Z164">
        <v>9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9</v>
      </c>
      <c r="AK164">
        <v>0</v>
      </c>
      <c r="AL164">
        <v>4</v>
      </c>
      <c r="AM164">
        <v>1</v>
      </c>
      <c r="AN164">
        <v>68</v>
      </c>
      <c r="AO164">
        <v>10</v>
      </c>
      <c r="AP164">
        <v>2</v>
      </c>
      <c r="AQ164">
        <v>0</v>
      </c>
      <c r="AR164" t="s">
        <v>1859</v>
      </c>
      <c r="AS164" t="s">
        <v>64</v>
      </c>
      <c r="AT164">
        <v>0.61899999999999999</v>
      </c>
      <c r="AU164" t="s">
        <v>65</v>
      </c>
      <c r="AV164">
        <v>70</v>
      </c>
      <c r="AW164">
        <v>10</v>
      </c>
      <c r="AX164" t="s">
        <v>1860</v>
      </c>
      <c r="AY164" t="s">
        <v>1861</v>
      </c>
      <c r="AZ164" t="s">
        <v>1862</v>
      </c>
      <c r="BA164">
        <v>3.9320000000000001E-2</v>
      </c>
      <c r="BB164">
        <v>1</v>
      </c>
      <c r="BC164" t="s">
        <v>69</v>
      </c>
      <c r="BD164">
        <v>-0.70699999999999996</v>
      </c>
      <c r="BE164">
        <v>-0.70699999999999996</v>
      </c>
    </row>
    <row r="165" spans="1:57">
      <c r="A165">
        <v>0</v>
      </c>
      <c r="B165">
        <v>0</v>
      </c>
      <c r="C165">
        <v>0</v>
      </c>
      <c r="D165">
        <v>4152</v>
      </c>
      <c r="E165" t="s">
        <v>5615</v>
      </c>
      <c r="F165" t="s">
        <v>5761</v>
      </c>
      <c r="G165" t="s">
        <v>57</v>
      </c>
      <c r="H165">
        <v>4119527</v>
      </c>
      <c r="I165">
        <v>4121053</v>
      </c>
      <c r="J165" t="s">
        <v>5616</v>
      </c>
      <c r="K165">
        <v>509</v>
      </c>
      <c r="L165" t="s">
        <v>59</v>
      </c>
      <c r="M165">
        <v>5</v>
      </c>
      <c r="N165" t="str">
        <f>HYPERLINK("Gene4152-zp_tree_all.dnd", "Gene4152-tree")</f>
        <v>Gene4152-tree</v>
      </c>
      <c r="O165">
        <v>3</v>
      </c>
      <c r="P165">
        <v>2</v>
      </c>
      <c r="Q165">
        <v>3</v>
      </c>
      <c r="R165">
        <v>2</v>
      </c>
      <c r="S165">
        <v>0.4</v>
      </c>
      <c r="T165" t="s">
        <v>84</v>
      </c>
      <c r="U165" t="s">
        <v>135</v>
      </c>
      <c r="V165" t="s">
        <v>62</v>
      </c>
      <c r="W165" t="s">
        <v>62</v>
      </c>
      <c r="X165">
        <v>0</v>
      </c>
      <c r="Y165">
        <v>0</v>
      </c>
      <c r="Z165">
        <v>12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8</v>
      </c>
      <c r="AK165">
        <v>0</v>
      </c>
      <c r="AL165">
        <v>5</v>
      </c>
      <c r="AM165">
        <v>2</v>
      </c>
      <c r="AN165">
        <v>56</v>
      </c>
      <c r="AO165">
        <v>9</v>
      </c>
      <c r="AP165">
        <v>47</v>
      </c>
      <c r="AQ165">
        <v>4</v>
      </c>
      <c r="AR165" t="s">
        <v>5617</v>
      </c>
      <c r="AS165" t="s">
        <v>5618</v>
      </c>
      <c r="AT165">
        <v>0.51800000000000002</v>
      </c>
      <c r="AU165" t="s">
        <v>65</v>
      </c>
      <c r="AV165">
        <v>103</v>
      </c>
      <c r="AW165">
        <v>13</v>
      </c>
      <c r="AX165" t="s">
        <v>5619</v>
      </c>
      <c r="AY165" t="s">
        <v>5620</v>
      </c>
      <c r="AZ165" t="s">
        <v>5621</v>
      </c>
      <c r="BA165">
        <v>3.5970000000000002E-2</v>
      </c>
      <c r="BB165">
        <v>1</v>
      </c>
      <c r="BC165" t="s">
        <v>69</v>
      </c>
      <c r="BD165">
        <v>0.57099999999999995</v>
      </c>
      <c r="BE165">
        <v>-1.2999999999999999E-2</v>
      </c>
    </row>
    <row r="166" spans="1:57">
      <c r="A166">
        <v>0</v>
      </c>
      <c r="B166">
        <v>0</v>
      </c>
      <c r="C166">
        <v>0</v>
      </c>
      <c r="D166">
        <v>4077</v>
      </c>
      <c r="E166" t="s">
        <v>5476</v>
      </c>
      <c r="F166" t="s">
        <v>5761</v>
      </c>
      <c r="G166" t="s">
        <v>57</v>
      </c>
      <c r="H166">
        <v>4043574</v>
      </c>
      <c r="I166">
        <v>4045229</v>
      </c>
      <c r="J166" t="s">
        <v>5477</v>
      </c>
      <c r="K166">
        <v>552</v>
      </c>
      <c r="L166" t="s">
        <v>83</v>
      </c>
      <c r="M166">
        <v>4</v>
      </c>
      <c r="N166" t="str">
        <f>HYPERLINK("Gene4077-zp_tree_all.dnd", "Gene4077-tree")</f>
        <v>Gene4077-tree</v>
      </c>
      <c r="O166">
        <v>2</v>
      </c>
      <c r="P166">
        <v>2</v>
      </c>
      <c r="Q166">
        <v>2</v>
      </c>
      <c r="R166">
        <v>2</v>
      </c>
      <c r="S166">
        <v>0.5</v>
      </c>
      <c r="T166" t="s">
        <v>135</v>
      </c>
      <c r="U166" t="s">
        <v>135</v>
      </c>
      <c r="V166" t="s">
        <v>62</v>
      </c>
      <c r="W166" t="s">
        <v>62</v>
      </c>
      <c r="X166">
        <v>0</v>
      </c>
      <c r="Y166">
        <v>0</v>
      </c>
      <c r="Z166">
        <v>9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8</v>
      </c>
      <c r="AK166">
        <v>0</v>
      </c>
      <c r="AL166">
        <v>4</v>
      </c>
      <c r="AM166">
        <v>1</v>
      </c>
      <c r="AN166">
        <v>81</v>
      </c>
      <c r="AO166">
        <v>9</v>
      </c>
      <c r="AP166">
        <v>9</v>
      </c>
      <c r="AQ166">
        <v>1</v>
      </c>
      <c r="AR166" t="s">
        <v>5478</v>
      </c>
      <c r="AS166" t="s">
        <v>5479</v>
      </c>
      <c r="AT166">
        <v>4.5999999999999999E-2</v>
      </c>
      <c r="AU166" t="s">
        <v>65</v>
      </c>
      <c r="AV166">
        <v>90</v>
      </c>
      <c r="AW166">
        <v>10</v>
      </c>
      <c r="AX166" t="s">
        <v>5480</v>
      </c>
      <c r="AY166" t="s">
        <v>5481</v>
      </c>
      <c r="AZ166" t="s">
        <v>5482</v>
      </c>
      <c r="BA166">
        <v>3.1879999999999999E-2</v>
      </c>
      <c r="BB166">
        <v>1</v>
      </c>
      <c r="BC166" t="s">
        <v>69</v>
      </c>
      <c r="BD166">
        <v>-0.48</v>
      </c>
      <c r="BE166">
        <v>-0.67600000000000005</v>
      </c>
    </row>
    <row r="167" spans="1:57">
      <c r="A167">
        <v>0</v>
      </c>
      <c r="B167">
        <v>0</v>
      </c>
      <c r="C167">
        <v>0</v>
      </c>
      <c r="D167">
        <v>3268</v>
      </c>
      <c r="E167" t="s">
        <v>4426</v>
      </c>
      <c r="F167" t="s">
        <v>5761</v>
      </c>
      <c r="G167" t="s">
        <v>57</v>
      </c>
      <c r="H167">
        <v>3233911</v>
      </c>
      <c r="I167">
        <v>3235782</v>
      </c>
      <c r="J167" t="s">
        <v>4427</v>
      </c>
      <c r="K167">
        <v>624</v>
      </c>
      <c r="L167" t="s">
        <v>83</v>
      </c>
      <c r="M167">
        <v>4</v>
      </c>
      <c r="N167" t="str">
        <f>HYPERLINK("Gene3268-zp_tree_all.dnd", "Gene3268-tree")</f>
        <v>Gene3268-tree</v>
      </c>
      <c r="O167">
        <v>3</v>
      </c>
      <c r="P167">
        <v>1</v>
      </c>
      <c r="Q167">
        <v>3</v>
      </c>
      <c r="R167">
        <v>1</v>
      </c>
      <c r="S167">
        <v>0.25</v>
      </c>
      <c r="T167" t="s">
        <v>84</v>
      </c>
      <c r="U167" t="s">
        <v>61</v>
      </c>
      <c r="V167" t="s">
        <v>62</v>
      </c>
      <c r="W167" t="s">
        <v>62</v>
      </c>
      <c r="X167">
        <v>0</v>
      </c>
      <c r="Y167">
        <v>0</v>
      </c>
      <c r="Z167">
        <v>13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10</v>
      </c>
      <c r="AK167">
        <v>0</v>
      </c>
      <c r="AL167">
        <v>4</v>
      </c>
      <c r="AM167">
        <v>1</v>
      </c>
      <c r="AN167">
        <v>84</v>
      </c>
      <c r="AO167">
        <v>12</v>
      </c>
      <c r="AP167">
        <v>14</v>
      </c>
      <c r="AQ167">
        <v>3</v>
      </c>
      <c r="AR167" t="s">
        <v>4428</v>
      </c>
      <c r="AS167" t="s">
        <v>4429</v>
      </c>
      <c r="AT167">
        <v>0.26700000000000002</v>
      </c>
      <c r="AU167" t="s">
        <v>65</v>
      </c>
      <c r="AV167">
        <v>98</v>
      </c>
      <c r="AW167">
        <v>15</v>
      </c>
      <c r="AX167" t="s">
        <v>4430</v>
      </c>
      <c r="AY167" t="s">
        <v>4431</v>
      </c>
      <c r="AZ167" t="s">
        <v>4432</v>
      </c>
      <c r="BA167">
        <v>4.1739999999999999E-2</v>
      </c>
      <c r="BB167">
        <v>1</v>
      </c>
      <c r="BC167" t="s">
        <v>69</v>
      </c>
      <c r="BD167">
        <v>-0.32500000000000001</v>
      </c>
      <c r="BE167">
        <v>-0.498</v>
      </c>
    </row>
    <row r="168" spans="1:57">
      <c r="A168">
        <v>0</v>
      </c>
      <c r="B168">
        <v>2</v>
      </c>
      <c r="C168">
        <v>0</v>
      </c>
      <c r="D168">
        <v>4162</v>
      </c>
      <c r="E168" t="s">
        <v>5622</v>
      </c>
      <c r="F168" t="s">
        <v>5761</v>
      </c>
      <c r="G168" t="s">
        <v>57</v>
      </c>
      <c r="H168">
        <v>4128119</v>
      </c>
      <c r="I168">
        <v>4130041</v>
      </c>
      <c r="J168" t="s">
        <v>5623</v>
      </c>
      <c r="K168">
        <v>641</v>
      </c>
      <c r="L168" t="s">
        <v>59</v>
      </c>
      <c r="M168">
        <v>5</v>
      </c>
      <c r="N168" t="str">
        <f>HYPERLINK("Gene4162-zp_tree_all.dnd", "Gene4162-tree")</f>
        <v>Gene4162-tree</v>
      </c>
      <c r="O168">
        <v>2</v>
      </c>
      <c r="P168">
        <v>3</v>
      </c>
      <c r="Q168">
        <v>2</v>
      </c>
      <c r="R168">
        <v>3</v>
      </c>
      <c r="S168">
        <v>0.6</v>
      </c>
      <c r="T168" t="s">
        <v>135</v>
      </c>
      <c r="U168" t="s">
        <v>84</v>
      </c>
      <c r="V168" t="s">
        <v>62</v>
      </c>
      <c r="W168" t="s">
        <v>62</v>
      </c>
      <c r="X168">
        <v>1</v>
      </c>
      <c r="Y168">
        <v>2</v>
      </c>
      <c r="Z168">
        <v>9</v>
      </c>
      <c r="AA168">
        <v>0.18182000000000001</v>
      </c>
      <c r="AB168">
        <v>0</v>
      </c>
      <c r="AC168">
        <v>0</v>
      </c>
      <c r="AD168">
        <v>0</v>
      </c>
      <c r="AE168">
        <v>2</v>
      </c>
      <c r="AF168">
        <v>0</v>
      </c>
      <c r="AG168">
        <v>0</v>
      </c>
      <c r="AH168">
        <v>0</v>
      </c>
      <c r="AI168">
        <v>0</v>
      </c>
      <c r="AJ168">
        <v>6</v>
      </c>
      <c r="AK168">
        <v>0</v>
      </c>
      <c r="AL168">
        <v>5</v>
      </c>
      <c r="AM168">
        <v>2</v>
      </c>
      <c r="AN168">
        <v>152</v>
      </c>
      <c r="AO168">
        <v>7</v>
      </c>
      <c r="AP168">
        <v>31</v>
      </c>
      <c r="AQ168">
        <v>6</v>
      </c>
      <c r="AR168" t="s">
        <v>5624</v>
      </c>
      <c r="AS168" t="s">
        <v>5625</v>
      </c>
      <c r="AT168">
        <v>6.3609999999999998</v>
      </c>
      <c r="AU168" t="s">
        <v>65</v>
      </c>
      <c r="AV168">
        <v>183</v>
      </c>
      <c r="AW168">
        <v>13</v>
      </c>
      <c r="AX168" t="s">
        <v>5626</v>
      </c>
      <c r="AY168" t="s">
        <v>5627</v>
      </c>
      <c r="AZ168" t="s">
        <v>5628</v>
      </c>
      <c r="BA168">
        <v>2.171E-2</v>
      </c>
      <c r="BB168">
        <v>1</v>
      </c>
      <c r="BC168" t="s">
        <v>69</v>
      </c>
      <c r="BD168">
        <v>-0.20200000000000001</v>
      </c>
      <c r="BE168">
        <v>-0.28899999999999998</v>
      </c>
    </row>
    <row r="169" spans="1:57">
      <c r="A169">
        <v>0</v>
      </c>
      <c r="B169">
        <v>0</v>
      </c>
      <c r="C169">
        <v>0</v>
      </c>
      <c r="D169">
        <v>806</v>
      </c>
      <c r="E169" t="s">
        <v>1270</v>
      </c>
      <c r="F169" t="s">
        <v>5761</v>
      </c>
      <c r="G169" t="s">
        <v>62</v>
      </c>
      <c r="H169">
        <v>842050</v>
      </c>
      <c r="I169">
        <v>843996</v>
      </c>
      <c r="J169" t="s">
        <v>1271</v>
      </c>
      <c r="K169">
        <v>649</v>
      </c>
      <c r="L169" t="s">
        <v>59</v>
      </c>
      <c r="M169">
        <v>5</v>
      </c>
      <c r="N169" t="str">
        <f>HYPERLINK("Gene806-zp_tree_all.dnd", "Gene806-tree")</f>
        <v>Gene806-tree</v>
      </c>
      <c r="O169">
        <v>2</v>
      </c>
      <c r="P169">
        <v>3</v>
      </c>
      <c r="Q169">
        <v>2</v>
      </c>
      <c r="R169">
        <v>3</v>
      </c>
      <c r="S169">
        <v>0.6</v>
      </c>
      <c r="T169" t="s">
        <v>135</v>
      </c>
      <c r="U169" t="s">
        <v>84</v>
      </c>
      <c r="V169" t="s">
        <v>62</v>
      </c>
      <c r="W169" t="s">
        <v>62</v>
      </c>
      <c r="X169">
        <v>0</v>
      </c>
      <c r="Y169">
        <v>0</v>
      </c>
      <c r="Z169">
        <v>18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7</v>
      </c>
      <c r="AK169">
        <v>0</v>
      </c>
      <c r="AL169">
        <v>5</v>
      </c>
      <c r="AM169">
        <v>2</v>
      </c>
      <c r="AN169">
        <v>54</v>
      </c>
      <c r="AO169">
        <v>8</v>
      </c>
      <c r="AP169">
        <v>48</v>
      </c>
      <c r="AQ169">
        <v>12</v>
      </c>
      <c r="AR169" t="s">
        <v>1272</v>
      </c>
      <c r="AS169" t="s">
        <v>1273</v>
      </c>
      <c r="AT169">
        <v>0.31900000000000001</v>
      </c>
      <c r="AU169" t="s">
        <v>65</v>
      </c>
      <c r="AV169">
        <v>102</v>
      </c>
      <c r="AW169">
        <v>20</v>
      </c>
      <c r="AX169" t="s">
        <v>1274</v>
      </c>
      <c r="AY169" t="s">
        <v>1275</v>
      </c>
      <c r="AZ169" t="s">
        <v>1276</v>
      </c>
      <c r="BA169">
        <v>5.8840000000000003E-2</v>
      </c>
      <c r="BB169">
        <v>1</v>
      </c>
      <c r="BC169" t="s">
        <v>69</v>
      </c>
      <c r="BD169">
        <v>0.52500000000000002</v>
      </c>
      <c r="BE169">
        <v>0.4</v>
      </c>
    </row>
    <row r="170" spans="1:57">
      <c r="A170">
        <v>0</v>
      </c>
      <c r="B170">
        <v>6</v>
      </c>
      <c r="C170">
        <v>1</v>
      </c>
      <c r="D170">
        <v>331</v>
      </c>
      <c r="E170" t="s">
        <v>774</v>
      </c>
      <c r="F170" t="s">
        <v>5761</v>
      </c>
      <c r="G170" t="s">
        <v>62</v>
      </c>
      <c r="H170">
        <v>355767</v>
      </c>
      <c r="I170">
        <v>358181</v>
      </c>
      <c r="J170" t="s">
        <v>768</v>
      </c>
      <c r="K170">
        <v>805</v>
      </c>
      <c r="L170" t="s">
        <v>112</v>
      </c>
      <c r="M170">
        <v>4</v>
      </c>
      <c r="N170" t="str">
        <f>HYPERLINK("Gene331-zp_tree_all.dnd", "Gene331-tree")</f>
        <v>Gene331-tree</v>
      </c>
      <c r="O170">
        <v>0</v>
      </c>
      <c r="P170">
        <v>4</v>
      </c>
      <c r="Q170">
        <v>0</v>
      </c>
      <c r="R170">
        <v>4</v>
      </c>
      <c r="S170">
        <v>1</v>
      </c>
      <c r="T170" t="s">
        <v>62</v>
      </c>
      <c r="U170" t="s">
        <v>60</v>
      </c>
      <c r="V170" t="s">
        <v>62</v>
      </c>
      <c r="W170" t="s">
        <v>62</v>
      </c>
      <c r="X170">
        <v>3</v>
      </c>
      <c r="Y170">
        <v>7</v>
      </c>
      <c r="Z170">
        <v>17</v>
      </c>
      <c r="AA170">
        <v>0.29166999999999998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2</v>
      </c>
      <c r="AH170">
        <v>3</v>
      </c>
      <c r="AI170">
        <v>5</v>
      </c>
      <c r="AJ170">
        <v>17</v>
      </c>
      <c r="AK170">
        <v>0.22727</v>
      </c>
      <c r="AL170">
        <v>4</v>
      </c>
      <c r="AM170">
        <v>1</v>
      </c>
      <c r="AN170">
        <v>138</v>
      </c>
      <c r="AO170">
        <v>22</v>
      </c>
      <c r="AP170">
        <v>10</v>
      </c>
      <c r="AQ170">
        <v>2</v>
      </c>
      <c r="AR170" t="s">
        <v>775</v>
      </c>
      <c r="AS170" t="s">
        <v>776</v>
      </c>
      <c r="AT170">
        <v>0.61399999999999999</v>
      </c>
      <c r="AU170" t="s">
        <v>65</v>
      </c>
      <c r="AV170">
        <v>148</v>
      </c>
      <c r="AW170">
        <v>24</v>
      </c>
      <c r="AX170" t="s">
        <v>777</v>
      </c>
      <c r="AY170" t="s">
        <v>778</v>
      </c>
      <c r="AZ170" t="s">
        <v>779</v>
      </c>
      <c r="BA170">
        <v>4.1509999999999998E-2</v>
      </c>
      <c r="BB170">
        <v>1</v>
      </c>
      <c r="BC170" t="s">
        <v>69</v>
      </c>
      <c r="BD170">
        <v>-0.17100000000000001</v>
      </c>
      <c r="BE170">
        <v>-0.66700000000000004</v>
      </c>
    </row>
  </sheetData>
  <sortState xmlns:xlrd2="http://schemas.microsoft.com/office/spreadsheetml/2017/richdata2" ref="A3:BE170">
    <sortCondition ref="K3:K17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686A-D2C2-7148-B2A0-8F52B8C2DCB4}">
  <dimension ref="B1:H879"/>
  <sheetViews>
    <sheetView zoomScale="120" zoomScaleNormal="120" workbookViewId="0">
      <selection activeCell="K2" sqref="K2"/>
    </sheetView>
  </sheetViews>
  <sheetFormatPr baseColWidth="10" defaultRowHeight="15"/>
  <cols>
    <col min="2" max="2" width="10" bestFit="1" customWidth="1"/>
    <col min="3" max="3" width="10.6640625" customWidth="1"/>
    <col min="4" max="4" width="11.33203125" customWidth="1"/>
    <col min="5" max="5" width="11.6640625" customWidth="1"/>
    <col min="6" max="6" width="11.1640625" customWidth="1"/>
    <col min="7" max="7" width="11" customWidth="1"/>
  </cols>
  <sheetData>
    <row r="1" spans="2:8">
      <c r="B1" t="s">
        <v>5758</v>
      </c>
      <c r="C1" t="s">
        <v>5769</v>
      </c>
      <c r="D1" t="s">
        <v>5767</v>
      </c>
      <c r="E1" t="s">
        <v>5768</v>
      </c>
      <c r="F1" t="s">
        <v>5754</v>
      </c>
      <c r="G1" t="s">
        <v>5755</v>
      </c>
      <c r="H1" t="s">
        <v>5756</v>
      </c>
    </row>
    <row r="2" spans="2:8">
      <c r="B2" t="s">
        <v>5762</v>
      </c>
      <c r="C2">
        <v>35</v>
      </c>
      <c r="D2">
        <v>2</v>
      </c>
      <c r="E2">
        <v>0</v>
      </c>
      <c r="F2">
        <v>0</v>
      </c>
      <c r="G2">
        <v>0</v>
      </c>
      <c r="H2">
        <v>0</v>
      </c>
    </row>
    <row r="3" spans="2:8">
      <c r="B3" t="s">
        <v>5762</v>
      </c>
      <c r="C3">
        <v>38</v>
      </c>
      <c r="D3">
        <v>4</v>
      </c>
      <c r="E3">
        <v>2</v>
      </c>
      <c r="F3">
        <v>0</v>
      </c>
      <c r="G3">
        <v>0</v>
      </c>
      <c r="H3">
        <v>2</v>
      </c>
    </row>
    <row r="4" spans="2:8">
      <c r="B4" t="s">
        <v>5762</v>
      </c>
      <c r="C4">
        <v>39</v>
      </c>
      <c r="D4">
        <v>1</v>
      </c>
      <c r="E4">
        <v>0</v>
      </c>
      <c r="F4">
        <v>0</v>
      </c>
      <c r="G4">
        <v>0</v>
      </c>
      <c r="H4">
        <v>0</v>
      </c>
    </row>
    <row r="5" spans="2:8">
      <c r="B5" t="s">
        <v>5762</v>
      </c>
      <c r="C5">
        <v>40</v>
      </c>
      <c r="D5">
        <v>4</v>
      </c>
      <c r="E5">
        <v>2</v>
      </c>
      <c r="F5">
        <v>0</v>
      </c>
      <c r="G5">
        <v>0</v>
      </c>
      <c r="H5">
        <v>2</v>
      </c>
    </row>
    <row r="6" spans="2:8">
      <c r="B6" t="s">
        <v>5762</v>
      </c>
      <c r="C6">
        <v>41</v>
      </c>
      <c r="D6">
        <v>0</v>
      </c>
      <c r="E6">
        <v>0</v>
      </c>
      <c r="F6">
        <v>0</v>
      </c>
      <c r="G6">
        <v>0</v>
      </c>
      <c r="H6">
        <v>0</v>
      </c>
    </row>
    <row r="7" spans="2:8">
      <c r="B7" t="s">
        <v>5762</v>
      </c>
      <c r="C7">
        <v>43</v>
      </c>
      <c r="D7">
        <v>7</v>
      </c>
      <c r="E7">
        <v>0</v>
      </c>
      <c r="F7">
        <v>0</v>
      </c>
      <c r="G7">
        <v>0</v>
      </c>
      <c r="H7">
        <v>0</v>
      </c>
    </row>
    <row r="8" spans="2:8">
      <c r="B8" t="s">
        <v>5762</v>
      </c>
      <c r="C8">
        <v>45</v>
      </c>
      <c r="D8">
        <v>3</v>
      </c>
      <c r="E8">
        <v>0</v>
      </c>
      <c r="F8">
        <v>0</v>
      </c>
      <c r="G8">
        <v>0</v>
      </c>
      <c r="H8">
        <v>0</v>
      </c>
    </row>
    <row r="9" spans="2:8">
      <c r="B9" t="s">
        <v>5762</v>
      </c>
      <c r="C9">
        <v>46</v>
      </c>
      <c r="D9">
        <v>2</v>
      </c>
      <c r="E9">
        <v>0</v>
      </c>
      <c r="F9">
        <v>0</v>
      </c>
      <c r="G9">
        <v>0</v>
      </c>
      <c r="H9">
        <v>0</v>
      </c>
    </row>
    <row r="10" spans="2:8">
      <c r="B10" t="s">
        <v>5762</v>
      </c>
      <c r="C10">
        <v>47</v>
      </c>
      <c r="D10">
        <v>3</v>
      </c>
      <c r="E10">
        <v>0</v>
      </c>
      <c r="F10">
        <v>0</v>
      </c>
      <c r="G10">
        <v>0</v>
      </c>
      <c r="H10">
        <v>0</v>
      </c>
    </row>
    <row r="11" spans="2:8">
      <c r="B11" t="s">
        <v>5762</v>
      </c>
      <c r="C11">
        <v>48</v>
      </c>
      <c r="D11">
        <v>1</v>
      </c>
      <c r="E11">
        <v>0</v>
      </c>
      <c r="F11">
        <v>0</v>
      </c>
      <c r="G11">
        <v>0</v>
      </c>
      <c r="H11">
        <v>0</v>
      </c>
    </row>
    <row r="12" spans="2:8">
      <c r="B12" t="s">
        <v>5762</v>
      </c>
      <c r="C12">
        <v>48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2:8">
      <c r="B13" t="s">
        <v>5762</v>
      </c>
      <c r="C13">
        <v>51</v>
      </c>
      <c r="D13">
        <v>2</v>
      </c>
      <c r="E13">
        <v>0</v>
      </c>
      <c r="F13">
        <v>0</v>
      </c>
      <c r="G13">
        <v>0</v>
      </c>
      <c r="H13">
        <v>0</v>
      </c>
    </row>
    <row r="14" spans="2:8">
      <c r="B14" t="s">
        <v>5762</v>
      </c>
      <c r="C14">
        <v>52</v>
      </c>
      <c r="D14">
        <v>3</v>
      </c>
      <c r="E14">
        <v>0</v>
      </c>
      <c r="F14">
        <v>0</v>
      </c>
      <c r="G14">
        <v>0</v>
      </c>
      <c r="H14">
        <v>0</v>
      </c>
    </row>
    <row r="15" spans="2:8">
      <c r="B15" t="s">
        <v>5762</v>
      </c>
      <c r="C15">
        <v>55</v>
      </c>
      <c r="D15">
        <v>3</v>
      </c>
      <c r="E15">
        <v>0</v>
      </c>
      <c r="F15">
        <v>0</v>
      </c>
      <c r="G15">
        <v>0</v>
      </c>
      <c r="H15">
        <v>0</v>
      </c>
    </row>
    <row r="16" spans="2:8">
      <c r="B16" t="s">
        <v>5762</v>
      </c>
      <c r="C16">
        <v>55</v>
      </c>
      <c r="D16">
        <v>3</v>
      </c>
      <c r="E16">
        <v>0</v>
      </c>
      <c r="F16">
        <v>0</v>
      </c>
      <c r="G16">
        <v>0</v>
      </c>
      <c r="H16">
        <v>0</v>
      </c>
    </row>
    <row r="17" spans="2:8">
      <c r="B17" t="s">
        <v>5762</v>
      </c>
      <c r="C17">
        <v>55</v>
      </c>
      <c r="D17">
        <v>1</v>
      </c>
      <c r="E17">
        <v>0</v>
      </c>
      <c r="F17">
        <v>0</v>
      </c>
      <c r="G17">
        <v>0</v>
      </c>
      <c r="H17">
        <v>0</v>
      </c>
    </row>
    <row r="18" spans="2:8">
      <c r="B18" t="s">
        <v>5762</v>
      </c>
      <c r="C18">
        <v>56</v>
      </c>
      <c r="D18">
        <v>3</v>
      </c>
      <c r="E18">
        <v>0</v>
      </c>
      <c r="F18">
        <v>0</v>
      </c>
      <c r="G18">
        <v>0</v>
      </c>
      <c r="H18">
        <v>0</v>
      </c>
    </row>
    <row r="19" spans="2:8">
      <c r="B19" t="s">
        <v>5762</v>
      </c>
      <c r="C19">
        <v>56</v>
      </c>
      <c r="D19">
        <v>1</v>
      </c>
      <c r="E19">
        <v>0</v>
      </c>
      <c r="F19">
        <v>0</v>
      </c>
      <c r="G19">
        <v>0</v>
      </c>
      <c r="H19">
        <v>0</v>
      </c>
    </row>
    <row r="20" spans="2:8">
      <c r="B20" t="s">
        <v>5762</v>
      </c>
      <c r="C20">
        <v>57</v>
      </c>
      <c r="D20">
        <v>1</v>
      </c>
      <c r="E20">
        <v>0</v>
      </c>
      <c r="F20">
        <v>0</v>
      </c>
      <c r="G20">
        <v>0</v>
      </c>
      <c r="H20">
        <v>0</v>
      </c>
    </row>
    <row r="21" spans="2:8">
      <c r="B21" t="s">
        <v>5762</v>
      </c>
      <c r="C21">
        <v>59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2:8">
      <c r="B22" t="s">
        <v>5762</v>
      </c>
      <c r="C22">
        <v>60</v>
      </c>
      <c r="D22">
        <v>3</v>
      </c>
      <c r="E22">
        <v>0</v>
      </c>
      <c r="F22">
        <v>0</v>
      </c>
      <c r="G22">
        <v>0</v>
      </c>
      <c r="H22">
        <v>0</v>
      </c>
    </row>
    <row r="23" spans="2:8">
      <c r="B23" t="s">
        <v>5762</v>
      </c>
      <c r="C23">
        <v>60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2:8">
      <c r="B24" t="s">
        <v>5762</v>
      </c>
      <c r="C24">
        <v>61</v>
      </c>
      <c r="D24">
        <v>3</v>
      </c>
      <c r="E24">
        <v>0</v>
      </c>
      <c r="F24">
        <v>0</v>
      </c>
      <c r="G24">
        <v>0</v>
      </c>
      <c r="H24">
        <v>0</v>
      </c>
    </row>
    <row r="25" spans="2:8">
      <c r="B25" t="s">
        <v>5762</v>
      </c>
      <c r="C25">
        <v>61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2:8">
      <c r="B26" t="s">
        <v>5762</v>
      </c>
      <c r="C26">
        <v>61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2:8">
      <c r="B27" t="s">
        <v>5762</v>
      </c>
      <c r="C27">
        <v>62</v>
      </c>
      <c r="D27">
        <v>2</v>
      </c>
      <c r="E27">
        <v>0</v>
      </c>
      <c r="F27">
        <v>0</v>
      </c>
      <c r="G27">
        <v>0</v>
      </c>
      <c r="H27">
        <v>0</v>
      </c>
    </row>
    <row r="28" spans="2:8">
      <c r="B28" t="s">
        <v>5762</v>
      </c>
      <c r="C28">
        <v>63</v>
      </c>
      <c r="D28">
        <v>5</v>
      </c>
      <c r="E28">
        <v>2</v>
      </c>
      <c r="F28">
        <v>0</v>
      </c>
      <c r="G28">
        <v>2</v>
      </c>
      <c r="H28">
        <v>0</v>
      </c>
    </row>
    <row r="29" spans="2:8">
      <c r="B29" t="s">
        <v>5762</v>
      </c>
      <c r="C29">
        <v>63</v>
      </c>
      <c r="D29">
        <v>4</v>
      </c>
      <c r="E29">
        <v>0</v>
      </c>
      <c r="F29">
        <v>0</v>
      </c>
      <c r="G29">
        <v>0</v>
      </c>
      <c r="H29">
        <v>0</v>
      </c>
    </row>
    <row r="30" spans="2:8">
      <c r="B30" t="s">
        <v>5762</v>
      </c>
      <c r="C30">
        <v>63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2:8">
      <c r="B31" t="s">
        <v>5762</v>
      </c>
      <c r="C31">
        <v>65</v>
      </c>
      <c r="D31">
        <v>1</v>
      </c>
      <c r="E31">
        <v>0</v>
      </c>
      <c r="F31">
        <v>0</v>
      </c>
      <c r="G31">
        <v>0</v>
      </c>
      <c r="H31">
        <v>0</v>
      </c>
    </row>
    <row r="32" spans="2:8">
      <c r="B32" t="s">
        <v>5762</v>
      </c>
      <c r="C32">
        <v>66</v>
      </c>
      <c r="D32">
        <v>3</v>
      </c>
      <c r="E32">
        <v>0</v>
      </c>
      <c r="F32">
        <v>0</v>
      </c>
      <c r="G32">
        <v>0</v>
      </c>
      <c r="H32">
        <v>0</v>
      </c>
    </row>
    <row r="33" spans="2:8">
      <c r="B33" t="s">
        <v>5762</v>
      </c>
      <c r="C33">
        <v>66</v>
      </c>
      <c r="D33">
        <v>1</v>
      </c>
      <c r="E33">
        <v>0</v>
      </c>
      <c r="F33">
        <v>0</v>
      </c>
      <c r="G33">
        <v>0</v>
      </c>
      <c r="H33">
        <v>0</v>
      </c>
    </row>
    <row r="34" spans="2:8">
      <c r="B34" t="s">
        <v>5762</v>
      </c>
      <c r="C34">
        <v>67</v>
      </c>
      <c r="D34">
        <v>3</v>
      </c>
      <c r="E34">
        <v>0</v>
      </c>
      <c r="F34">
        <v>0</v>
      </c>
      <c r="G34">
        <v>0</v>
      </c>
      <c r="H34">
        <v>0</v>
      </c>
    </row>
    <row r="35" spans="2:8">
      <c r="B35" t="s">
        <v>5762</v>
      </c>
      <c r="C35">
        <v>67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2:8">
      <c r="B36" t="s">
        <v>5762</v>
      </c>
      <c r="C36">
        <v>69</v>
      </c>
      <c r="D36">
        <v>4</v>
      </c>
      <c r="E36">
        <v>0</v>
      </c>
      <c r="F36">
        <v>0</v>
      </c>
      <c r="G36">
        <v>0</v>
      </c>
      <c r="H36">
        <v>0</v>
      </c>
    </row>
    <row r="37" spans="2:8">
      <c r="B37" t="s">
        <v>5762</v>
      </c>
      <c r="C37">
        <v>69</v>
      </c>
      <c r="D37">
        <v>1</v>
      </c>
      <c r="E37">
        <v>0</v>
      </c>
      <c r="F37">
        <v>0</v>
      </c>
      <c r="G37">
        <v>0</v>
      </c>
      <c r="H37">
        <v>0</v>
      </c>
    </row>
    <row r="38" spans="2:8">
      <c r="B38" t="s">
        <v>5762</v>
      </c>
      <c r="C38">
        <v>69</v>
      </c>
      <c r="D38">
        <v>2</v>
      </c>
      <c r="E38">
        <v>0</v>
      </c>
      <c r="F38">
        <v>0</v>
      </c>
      <c r="G38">
        <v>0</v>
      </c>
      <c r="H38">
        <v>0</v>
      </c>
    </row>
    <row r="39" spans="2:8">
      <c r="B39" t="s">
        <v>5762</v>
      </c>
      <c r="C39">
        <v>70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2:8">
      <c r="B40" t="s">
        <v>5762</v>
      </c>
      <c r="C40">
        <v>74</v>
      </c>
      <c r="D40">
        <v>4</v>
      </c>
      <c r="E40">
        <v>0</v>
      </c>
      <c r="F40">
        <v>0</v>
      </c>
      <c r="G40">
        <v>0</v>
      </c>
      <c r="H40">
        <v>0</v>
      </c>
    </row>
    <row r="41" spans="2:8">
      <c r="B41" t="s">
        <v>5762</v>
      </c>
      <c r="C41">
        <v>74</v>
      </c>
      <c r="D41">
        <v>2</v>
      </c>
      <c r="E41">
        <v>2</v>
      </c>
      <c r="F41">
        <v>0</v>
      </c>
      <c r="G41">
        <v>0</v>
      </c>
      <c r="H41">
        <v>2</v>
      </c>
    </row>
    <row r="42" spans="2:8">
      <c r="B42" t="s">
        <v>5762</v>
      </c>
      <c r="C42">
        <v>74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2:8">
      <c r="B43" t="s">
        <v>5762</v>
      </c>
      <c r="C43">
        <v>75</v>
      </c>
      <c r="D43">
        <v>1</v>
      </c>
      <c r="E43">
        <v>0</v>
      </c>
      <c r="F43">
        <v>0</v>
      </c>
      <c r="G43">
        <v>0</v>
      </c>
      <c r="H43">
        <v>0</v>
      </c>
    </row>
    <row r="44" spans="2:8">
      <c r="B44" t="s">
        <v>5762</v>
      </c>
      <c r="C44">
        <v>76</v>
      </c>
      <c r="D44">
        <v>4</v>
      </c>
      <c r="E44">
        <v>0</v>
      </c>
      <c r="F44">
        <v>0</v>
      </c>
      <c r="G44">
        <v>0</v>
      </c>
      <c r="H44">
        <v>0</v>
      </c>
    </row>
    <row r="45" spans="2:8">
      <c r="B45" t="s">
        <v>5762</v>
      </c>
      <c r="C45">
        <v>76</v>
      </c>
      <c r="D45">
        <v>2</v>
      </c>
      <c r="E45">
        <v>0</v>
      </c>
      <c r="F45">
        <v>0</v>
      </c>
      <c r="G45">
        <v>0</v>
      </c>
      <c r="H45">
        <v>0</v>
      </c>
    </row>
    <row r="46" spans="2:8">
      <c r="B46" t="s">
        <v>5762</v>
      </c>
      <c r="C46">
        <v>76</v>
      </c>
      <c r="D46">
        <v>1</v>
      </c>
      <c r="E46">
        <v>0</v>
      </c>
      <c r="F46">
        <v>0</v>
      </c>
      <c r="G46">
        <v>0</v>
      </c>
      <c r="H46">
        <v>0</v>
      </c>
    </row>
    <row r="47" spans="2:8">
      <c r="B47" t="s">
        <v>5762</v>
      </c>
      <c r="C47">
        <v>76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2:8">
      <c r="B48" t="s">
        <v>5762</v>
      </c>
      <c r="C48">
        <v>77</v>
      </c>
      <c r="D48">
        <v>1</v>
      </c>
      <c r="E48">
        <v>0</v>
      </c>
      <c r="F48">
        <v>0</v>
      </c>
      <c r="G48">
        <v>0</v>
      </c>
      <c r="H48">
        <v>0</v>
      </c>
    </row>
    <row r="49" spans="2:8">
      <c r="B49" t="s">
        <v>5762</v>
      </c>
      <c r="C49">
        <v>78</v>
      </c>
      <c r="D49">
        <v>5</v>
      </c>
      <c r="E49">
        <v>0</v>
      </c>
      <c r="F49">
        <v>0</v>
      </c>
      <c r="G49">
        <v>0</v>
      </c>
      <c r="H49">
        <v>0</v>
      </c>
    </row>
    <row r="50" spans="2:8">
      <c r="B50" t="s">
        <v>5762</v>
      </c>
      <c r="C50">
        <v>78</v>
      </c>
      <c r="D50">
        <v>1</v>
      </c>
      <c r="E50">
        <v>0</v>
      </c>
      <c r="F50">
        <v>0</v>
      </c>
      <c r="G50">
        <v>0</v>
      </c>
      <c r="H50">
        <v>0</v>
      </c>
    </row>
    <row r="51" spans="2:8">
      <c r="B51" t="s">
        <v>5762</v>
      </c>
      <c r="C51">
        <v>78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2:8">
      <c r="B52" t="s">
        <v>5762</v>
      </c>
      <c r="C52">
        <v>79</v>
      </c>
      <c r="D52">
        <v>4</v>
      </c>
      <c r="E52">
        <v>2</v>
      </c>
      <c r="F52">
        <v>0</v>
      </c>
      <c r="G52">
        <v>0</v>
      </c>
      <c r="H52">
        <v>2</v>
      </c>
    </row>
    <row r="53" spans="2:8">
      <c r="B53" t="s">
        <v>5762</v>
      </c>
      <c r="C53">
        <v>79</v>
      </c>
      <c r="D53">
        <v>4</v>
      </c>
      <c r="E53">
        <v>0</v>
      </c>
      <c r="F53">
        <v>0</v>
      </c>
      <c r="G53">
        <v>0</v>
      </c>
      <c r="H53">
        <v>0</v>
      </c>
    </row>
    <row r="54" spans="2:8">
      <c r="B54" t="s">
        <v>5762</v>
      </c>
      <c r="C54">
        <v>79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2:8">
      <c r="B55" t="s">
        <v>5762</v>
      </c>
      <c r="C55">
        <v>79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2:8">
      <c r="B56" t="s">
        <v>5762</v>
      </c>
      <c r="C56">
        <v>80</v>
      </c>
      <c r="D56">
        <v>3</v>
      </c>
      <c r="E56">
        <v>0</v>
      </c>
      <c r="F56">
        <v>0</v>
      </c>
      <c r="G56">
        <v>0</v>
      </c>
      <c r="H56">
        <v>0</v>
      </c>
    </row>
    <row r="57" spans="2:8">
      <c r="B57" t="s">
        <v>5762</v>
      </c>
      <c r="C57">
        <v>81</v>
      </c>
      <c r="D57">
        <v>2</v>
      </c>
      <c r="E57">
        <v>0</v>
      </c>
      <c r="F57">
        <v>0</v>
      </c>
      <c r="G57">
        <v>0</v>
      </c>
      <c r="H57">
        <v>0</v>
      </c>
    </row>
    <row r="58" spans="2:8">
      <c r="B58" t="s">
        <v>5762</v>
      </c>
      <c r="C58">
        <v>81</v>
      </c>
      <c r="D58">
        <v>1</v>
      </c>
      <c r="E58">
        <v>0</v>
      </c>
      <c r="F58">
        <v>0</v>
      </c>
      <c r="G58">
        <v>0</v>
      </c>
      <c r="H58">
        <v>0</v>
      </c>
    </row>
    <row r="59" spans="2:8">
      <c r="B59" t="s">
        <v>5762</v>
      </c>
      <c r="C59">
        <v>82</v>
      </c>
      <c r="D59">
        <v>4</v>
      </c>
      <c r="E59">
        <v>0</v>
      </c>
      <c r="F59">
        <v>0</v>
      </c>
      <c r="G59">
        <v>0</v>
      </c>
      <c r="H59">
        <v>0</v>
      </c>
    </row>
    <row r="60" spans="2:8">
      <c r="B60" t="s">
        <v>5762</v>
      </c>
      <c r="C60">
        <v>82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2:8">
      <c r="B61" t="s">
        <v>5762</v>
      </c>
      <c r="C61">
        <v>82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2:8">
      <c r="B62" t="s">
        <v>5762</v>
      </c>
      <c r="C62">
        <v>83</v>
      </c>
      <c r="D62">
        <v>2</v>
      </c>
      <c r="E62">
        <v>2</v>
      </c>
      <c r="F62">
        <v>0</v>
      </c>
      <c r="G62">
        <v>0</v>
      </c>
      <c r="H62">
        <v>2</v>
      </c>
    </row>
    <row r="63" spans="2:8">
      <c r="B63" t="s">
        <v>5762</v>
      </c>
      <c r="C63">
        <v>84</v>
      </c>
      <c r="D63">
        <v>3</v>
      </c>
      <c r="E63">
        <v>0</v>
      </c>
      <c r="F63">
        <v>0</v>
      </c>
      <c r="G63">
        <v>0</v>
      </c>
      <c r="H63">
        <v>0</v>
      </c>
    </row>
    <row r="64" spans="2:8">
      <c r="B64" t="s">
        <v>5762</v>
      </c>
      <c r="C64">
        <v>84</v>
      </c>
      <c r="D64">
        <v>3</v>
      </c>
      <c r="E64">
        <v>0</v>
      </c>
      <c r="F64">
        <v>0</v>
      </c>
      <c r="G64">
        <v>0</v>
      </c>
      <c r="H64">
        <v>0</v>
      </c>
    </row>
    <row r="65" spans="2:8">
      <c r="B65" t="s">
        <v>5762</v>
      </c>
      <c r="C65">
        <v>84</v>
      </c>
      <c r="D65">
        <v>1</v>
      </c>
      <c r="E65">
        <v>0</v>
      </c>
      <c r="F65">
        <v>0</v>
      </c>
      <c r="G65">
        <v>0</v>
      </c>
      <c r="H65">
        <v>0</v>
      </c>
    </row>
    <row r="66" spans="2:8">
      <c r="B66" t="s">
        <v>5762</v>
      </c>
      <c r="C66">
        <v>85</v>
      </c>
      <c r="D66">
        <v>2</v>
      </c>
      <c r="E66">
        <v>0</v>
      </c>
      <c r="F66">
        <v>0</v>
      </c>
      <c r="G66">
        <v>0</v>
      </c>
      <c r="H66">
        <v>0</v>
      </c>
    </row>
    <row r="67" spans="2:8">
      <c r="B67" t="s">
        <v>5762</v>
      </c>
      <c r="C67">
        <v>85</v>
      </c>
      <c r="D67">
        <v>1</v>
      </c>
      <c r="E67">
        <v>0</v>
      </c>
      <c r="F67">
        <v>0</v>
      </c>
      <c r="G67">
        <v>0</v>
      </c>
      <c r="H67">
        <v>0</v>
      </c>
    </row>
    <row r="68" spans="2:8">
      <c r="B68" t="s">
        <v>5762</v>
      </c>
      <c r="C68">
        <v>85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2:8">
      <c r="B69" t="s">
        <v>5762</v>
      </c>
      <c r="C69">
        <v>86</v>
      </c>
      <c r="D69">
        <v>7</v>
      </c>
      <c r="E69">
        <v>0</v>
      </c>
      <c r="F69">
        <v>0</v>
      </c>
      <c r="G69">
        <v>0</v>
      </c>
      <c r="H69">
        <v>0</v>
      </c>
    </row>
    <row r="70" spans="2:8">
      <c r="B70" t="s">
        <v>5762</v>
      </c>
      <c r="C70">
        <v>86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2:8">
      <c r="B71" t="s">
        <v>5762</v>
      </c>
      <c r="C71">
        <v>87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2:8">
      <c r="B72" t="s">
        <v>5762</v>
      </c>
      <c r="C72">
        <v>88</v>
      </c>
      <c r="D72">
        <v>4</v>
      </c>
      <c r="E72">
        <v>0</v>
      </c>
      <c r="F72">
        <v>0</v>
      </c>
      <c r="G72">
        <v>0</v>
      </c>
      <c r="H72">
        <v>0</v>
      </c>
    </row>
    <row r="73" spans="2:8">
      <c r="B73" t="s">
        <v>5762</v>
      </c>
      <c r="C73">
        <v>88</v>
      </c>
      <c r="D73">
        <v>7</v>
      </c>
      <c r="E73">
        <v>0</v>
      </c>
      <c r="F73">
        <v>0</v>
      </c>
      <c r="G73">
        <v>0</v>
      </c>
      <c r="H73">
        <v>0</v>
      </c>
    </row>
    <row r="74" spans="2:8">
      <c r="B74" t="s">
        <v>5762</v>
      </c>
      <c r="C74">
        <v>88</v>
      </c>
      <c r="D74">
        <v>3</v>
      </c>
      <c r="E74">
        <v>0</v>
      </c>
      <c r="F74">
        <v>0</v>
      </c>
      <c r="G74">
        <v>0</v>
      </c>
      <c r="H74">
        <v>0</v>
      </c>
    </row>
    <row r="75" spans="2:8">
      <c r="B75" t="s">
        <v>5762</v>
      </c>
      <c r="C75">
        <v>88</v>
      </c>
      <c r="D75">
        <v>2</v>
      </c>
      <c r="E75">
        <v>0</v>
      </c>
      <c r="F75">
        <v>0</v>
      </c>
      <c r="G75">
        <v>0</v>
      </c>
      <c r="H75">
        <v>0</v>
      </c>
    </row>
    <row r="76" spans="2:8">
      <c r="B76" t="s">
        <v>5762</v>
      </c>
      <c r="C76">
        <v>89</v>
      </c>
      <c r="D76">
        <v>5</v>
      </c>
      <c r="E76">
        <v>0</v>
      </c>
      <c r="F76">
        <v>0</v>
      </c>
      <c r="G76">
        <v>0</v>
      </c>
      <c r="H76">
        <v>0</v>
      </c>
    </row>
    <row r="77" spans="2:8">
      <c r="B77" t="s">
        <v>5762</v>
      </c>
      <c r="C77">
        <v>90</v>
      </c>
      <c r="D77">
        <v>4</v>
      </c>
      <c r="E77">
        <v>0</v>
      </c>
      <c r="F77">
        <v>0</v>
      </c>
      <c r="G77">
        <v>0</v>
      </c>
      <c r="H77">
        <v>0</v>
      </c>
    </row>
    <row r="78" spans="2:8">
      <c r="B78" t="s">
        <v>5762</v>
      </c>
      <c r="C78">
        <v>90</v>
      </c>
      <c r="D78">
        <v>2</v>
      </c>
      <c r="E78">
        <v>0</v>
      </c>
      <c r="F78">
        <v>0</v>
      </c>
      <c r="G78">
        <v>0</v>
      </c>
      <c r="H78">
        <v>0</v>
      </c>
    </row>
    <row r="79" spans="2:8">
      <c r="B79" t="s">
        <v>5762</v>
      </c>
      <c r="C79">
        <v>90</v>
      </c>
      <c r="D79">
        <v>1</v>
      </c>
      <c r="E79">
        <v>0</v>
      </c>
      <c r="F79">
        <v>0</v>
      </c>
      <c r="G79">
        <v>0</v>
      </c>
      <c r="H79">
        <v>0</v>
      </c>
    </row>
    <row r="80" spans="2:8">
      <c r="B80" t="s">
        <v>5762</v>
      </c>
      <c r="C80">
        <v>90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2:8">
      <c r="B81" t="s">
        <v>5762</v>
      </c>
      <c r="C81">
        <v>91</v>
      </c>
      <c r="D81">
        <v>3</v>
      </c>
      <c r="E81">
        <v>0</v>
      </c>
      <c r="F81">
        <v>0</v>
      </c>
      <c r="G81">
        <v>0</v>
      </c>
      <c r="H81">
        <v>0</v>
      </c>
    </row>
    <row r="82" spans="2:8">
      <c r="B82" t="s">
        <v>5762</v>
      </c>
      <c r="C82">
        <v>91</v>
      </c>
      <c r="D82">
        <v>2</v>
      </c>
      <c r="E82">
        <v>0</v>
      </c>
      <c r="F82">
        <v>0</v>
      </c>
      <c r="G82">
        <v>0</v>
      </c>
      <c r="H82">
        <v>0</v>
      </c>
    </row>
    <row r="83" spans="2:8">
      <c r="B83" t="s">
        <v>5762</v>
      </c>
      <c r="C83">
        <v>93</v>
      </c>
      <c r="D83">
        <v>1</v>
      </c>
      <c r="E83">
        <v>0</v>
      </c>
      <c r="F83">
        <v>0</v>
      </c>
      <c r="G83">
        <v>0</v>
      </c>
      <c r="H83">
        <v>0</v>
      </c>
    </row>
    <row r="84" spans="2:8">
      <c r="B84" t="s">
        <v>5762</v>
      </c>
      <c r="C84">
        <v>93</v>
      </c>
      <c r="D84">
        <v>4</v>
      </c>
      <c r="E84">
        <v>2</v>
      </c>
      <c r="F84">
        <v>0</v>
      </c>
      <c r="G84">
        <v>0</v>
      </c>
      <c r="H84">
        <v>2</v>
      </c>
    </row>
    <row r="85" spans="2:8">
      <c r="B85" t="s">
        <v>5762</v>
      </c>
      <c r="C85">
        <v>93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2:8">
      <c r="B86" t="s">
        <v>5762</v>
      </c>
      <c r="C86">
        <v>95</v>
      </c>
      <c r="D86">
        <v>4</v>
      </c>
      <c r="E86">
        <v>0</v>
      </c>
      <c r="F86">
        <v>0</v>
      </c>
      <c r="G86">
        <v>0</v>
      </c>
      <c r="H86">
        <v>0</v>
      </c>
    </row>
    <row r="87" spans="2:8">
      <c r="B87" t="s">
        <v>5762</v>
      </c>
      <c r="C87">
        <v>95</v>
      </c>
      <c r="D87">
        <v>1</v>
      </c>
      <c r="E87">
        <v>0</v>
      </c>
      <c r="F87">
        <v>0</v>
      </c>
      <c r="G87">
        <v>0</v>
      </c>
      <c r="H87">
        <v>0</v>
      </c>
    </row>
    <row r="88" spans="2:8">
      <c r="B88" t="s">
        <v>5762</v>
      </c>
      <c r="C88">
        <v>96</v>
      </c>
      <c r="D88">
        <v>2</v>
      </c>
      <c r="E88">
        <v>0</v>
      </c>
      <c r="F88">
        <v>0</v>
      </c>
      <c r="G88">
        <v>0</v>
      </c>
      <c r="H88">
        <v>0</v>
      </c>
    </row>
    <row r="89" spans="2:8">
      <c r="B89" t="s">
        <v>5762</v>
      </c>
      <c r="C89">
        <v>96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2:8">
      <c r="B90" t="s">
        <v>5762</v>
      </c>
      <c r="C90">
        <v>97</v>
      </c>
      <c r="D90">
        <v>7</v>
      </c>
      <c r="E90">
        <v>0</v>
      </c>
      <c r="F90">
        <v>0</v>
      </c>
      <c r="G90">
        <v>0</v>
      </c>
      <c r="H90">
        <v>0</v>
      </c>
    </row>
    <row r="91" spans="2:8">
      <c r="B91" t="s">
        <v>5762</v>
      </c>
      <c r="C91">
        <v>97</v>
      </c>
      <c r="D91">
        <v>1</v>
      </c>
      <c r="E91">
        <v>0</v>
      </c>
      <c r="F91">
        <v>0</v>
      </c>
      <c r="G91">
        <v>0</v>
      </c>
      <c r="H91">
        <v>0</v>
      </c>
    </row>
    <row r="92" spans="2:8">
      <c r="B92" t="s">
        <v>5762</v>
      </c>
      <c r="C92">
        <v>98</v>
      </c>
      <c r="D92">
        <v>6</v>
      </c>
      <c r="E92">
        <v>2</v>
      </c>
      <c r="F92">
        <v>0</v>
      </c>
      <c r="G92">
        <v>0</v>
      </c>
      <c r="H92">
        <v>2</v>
      </c>
    </row>
    <row r="93" spans="2:8">
      <c r="B93" t="s">
        <v>5762</v>
      </c>
      <c r="C93">
        <v>100</v>
      </c>
      <c r="D93">
        <v>2</v>
      </c>
      <c r="E93">
        <v>0</v>
      </c>
      <c r="F93">
        <v>0</v>
      </c>
      <c r="G93">
        <v>0</v>
      </c>
      <c r="H93">
        <v>0</v>
      </c>
    </row>
    <row r="94" spans="2:8">
      <c r="B94" t="s">
        <v>5762</v>
      </c>
      <c r="C94">
        <v>100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2:8">
      <c r="B95" t="s">
        <v>5762</v>
      </c>
      <c r="C95">
        <v>101</v>
      </c>
      <c r="D95">
        <v>2</v>
      </c>
      <c r="E95">
        <v>0</v>
      </c>
      <c r="F95">
        <v>0</v>
      </c>
      <c r="G95">
        <v>0</v>
      </c>
      <c r="H95">
        <v>0</v>
      </c>
    </row>
    <row r="96" spans="2:8">
      <c r="B96" t="s">
        <v>5762</v>
      </c>
      <c r="C96">
        <v>102</v>
      </c>
      <c r="D96">
        <v>3</v>
      </c>
      <c r="E96">
        <v>0</v>
      </c>
      <c r="F96">
        <v>0</v>
      </c>
      <c r="G96">
        <v>0</v>
      </c>
      <c r="H96">
        <v>0</v>
      </c>
    </row>
    <row r="97" spans="2:8">
      <c r="B97" t="s">
        <v>5762</v>
      </c>
      <c r="C97">
        <v>102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2:8">
      <c r="B98" t="s">
        <v>5762</v>
      </c>
      <c r="C98">
        <v>103</v>
      </c>
      <c r="D98">
        <v>5</v>
      </c>
      <c r="E98">
        <v>0</v>
      </c>
      <c r="F98">
        <v>0</v>
      </c>
      <c r="G98">
        <v>0</v>
      </c>
      <c r="H98">
        <v>0</v>
      </c>
    </row>
    <row r="99" spans="2:8">
      <c r="B99" t="s">
        <v>5762</v>
      </c>
      <c r="C99">
        <v>104</v>
      </c>
      <c r="D99">
        <v>1</v>
      </c>
      <c r="E99">
        <v>0</v>
      </c>
      <c r="F99">
        <v>0</v>
      </c>
      <c r="G99">
        <v>0</v>
      </c>
      <c r="H99">
        <v>0</v>
      </c>
    </row>
    <row r="100" spans="2:8">
      <c r="B100" t="s">
        <v>5762</v>
      </c>
      <c r="C100">
        <v>104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2:8">
      <c r="B101" t="s">
        <v>5762</v>
      </c>
      <c r="C101">
        <v>105</v>
      </c>
      <c r="D101">
        <v>2</v>
      </c>
      <c r="E101">
        <v>0</v>
      </c>
      <c r="F101">
        <v>0</v>
      </c>
      <c r="G101">
        <v>0</v>
      </c>
      <c r="H101">
        <v>0</v>
      </c>
    </row>
    <row r="102" spans="2:8">
      <c r="B102" t="s">
        <v>5762</v>
      </c>
      <c r="C102">
        <v>105</v>
      </c>
      <c r="D102">
        <v>1</v>
      </c>
      <c r="E102">
        <v>0</v>
      </c>
      <c r="F102">
        <v>0</v>
      </c>
      <c r="G102">
        <v>0</v>
      </c>
      <c r="H102">
        <v>0</v>
      </c>
    </row>
    <row r="103" spans="2:8">
      <c r="B103" t="s">
        <v>5762</v>
      </c>
      <c r="C103">
        <v>106</v>
      </c>
      <c r="D103">
        <v>10</v>
      </c>
      <c r="E103">
        <v>2</v>
      </c>
      <c r="F103">
        <v>0</v>
      </c>
      <c r="G103">
        <v>2</v>
      </c>
      <c r="H103">
        <v>0</v>
      </c>
    </row>
    <row r="104" spans="2:8">
      <c r="B104" t="s">
        <v>5762</v>
      </c>
      <c r="C104">
        <v>107</v>
      </c>
      <c r="D104">
        <v>3</v>
      </c>
      <c r="E104">
        <v>0</v>
      </c>
      <c r="F104">
        <v>0</v>
      </c>
      <c r="G104">
        <v>0</v>
      </c>
      <c r="H104">
        <v>0</v>
      </c>
    </row>
    <row r="105" spans="2:8">
      <c r="B105" t="s">
        <v>5762</v>
      </c>
      <c r="C105">
        <v>107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2:8">
      <c r="B106" t="s">
        <v>5762</v>
      </c>
      <c r="C106">
        <v>108</v>
      </c>
      <c r="D106">
        <v>8</v>
      </c>
      <c r="E106">
        <v>4</v>
      </c>
      <c r="F106">
        <v>0</v>
      </c>
      <c r="G106">
        <v>2</v>
      </c>
      <c r="H106">
        <v>2</v>
      </c>
    </row>
    <row r="107" spans="2:8">
      <c r="B107" t="s">
        <v>5762</v>
      </c>
      <c r="C107">
        <v>109</v>
      </c>
      <c r="D107">
        <v>1</v>
      </c>
      <c r="E107">
        <v>0</v>
      </c>
      <c r="F107">
        <v>0</v>
      </c>
      <c r="G107">
        <v>0</v>
      </c>
      <c r="H107">
        <v>0</v>
      </c>
    </row>
    <row r="108" spans="2:8">
      <c r="B108" t="s">
        <v>5762</v>
      </c>
      <c r="C108">
        <v>110</v>
      </c>
      <c r="D108">
        <v>1</v>
      </c>
      <c r="E108">
        <v>0</v>
      </c>
      <c r="F108">
        <v>0</v>
      </c>
      <c r="G108">
        <v>0</v>
      </c>
      <c r="H108">
        <v>0</v>
      </c>
    </row>
    <row r="109" spans="2:8">
      <c r="B109" t="s">
        <v>5762</v>
      </c>
      <c r="C109">
        <v>110</v>
      </c>
      <c r="D109">
        <v>4</v>
      </c>
      <c r="E109">
        <v>0</v>
      </c>
      <c r="F109">
        <v>0</v>
      </c>
      <c r="G109">
        <v>0</v>
      </c>
      <c r="H109">
        <v>0</v>
      </c>
    </row>
    <row r="110" spans="2:8">
      <c r="B110" t="s">
        <v>5762</v>
      </c>
      <c r="C110">
        <v>111</v>
      </c>
      <c r="D110">
        <v>3</v>
      </c>
      <c r="E110">
        <v>0</v>
      </c>
      <c r="F110">
        <v>0</v>
      </c>
      <c r="G110">
        <v>0</v>
      </c>
      <c r="H110">
        <v>0</v>
      </c>
    </row>
    <row r="111" spans="2:8">
      <c r="B111" t="s">
        <v>5762</v>
      </c>
      <c r="C111">
        <v>111</v>
      </c>
      <c r="D111">
        <v>2</v>
      </c>
      <c r="E111">
        <v>0</v>
      </c>
      <c r="F111">
        <v>0</v>
      </c>
      <c r="G111">
        <v>0</v>
      </c>
      <c r="H111">
        <v>0</v>
      </c>
    </row>
    <row r="112" spans="2:8">
      <c r="B112" t="s">
        <v>5762</v>
      </c>
      <c r="C112">
        <v>112</v>
      </c>
      <c r="D112">
        <v>3</v>
      </c>
      <c r="E112">
        <v>0</v>
      </c>
      <c r="F112">
        <v>0</v>
      </c>
      <c r="G112">
        <v>0</v>
      </c>
      <c r="H112">
        <v>0</v>
      </c>
    </row>
    <row r="113" spans="2:8">
      <c r="B113" t="s">
        <v>5762</v>
      </c>
      <c r="C113">
        <v>112</v>
      </c>
      <c r="D113">
        <v>2</v>
      </c>
      <c r="E113">
        <v>0</v>
      </c>
      <c r="F113">
        <v>0</v>
      </c>
      <c r="G113">
        <v>0</v>
      </c>
      <c r="H113">
        <v>0</v>
      </c>
    </row>
    <row r="114" spans="2:8">
      <c r="B114" t="s">
        <v>5762</v>
      </c>
      <c r="C114">
        <v>113</v>
      </c>
      <c r="D114">
        <v>4</v>
      </c>
      <c r="E114">
        <v>0</v>
      </c>
      <c r="F114">
        <v>0</v>
      </c>
      <c r="G114">
        <v>0</v>
      </c>
      <c r="H114">
        <v>0</v>
      </c>
    </row>
    <row r="115" spans="2:8">
      <c r="B115" t="s">
        <v>5762</v>
      </c>
      <c r="C115">
        <v>113</v>
      </c>
      <c r="D115">
        <v>4</v>
      </c>
      <c r="E115">
        <v>2</v>
      </c>
      <c r="F115">
        <v>0</v>
      </c>
      <c r="G115">
        <v>0</v>
      </c>
      <c r="H115">
        <v>2</v>
      </c>
    </row>
    <row r="116" spans="2:8">
      <c r="B116" t="s">
        <v>5762</v>
      </c>
      <c r="C116">
        <v>114</v>
      </c>
      <c r="D116">
        <v>6</v>
      </c>
      <c r="E116">
        <v>2</v>
      </c>
      <c r="F116">
        <v>0</v>
      </c>
      <c r="G116">
        <v>0</v>
      </c>
      <c r="H116">
        <v>2</v>
      </c>
    </row>
    <row r="117" spans="2:8">
      <c r="B117" t="s">
        <v>5762</v>
      </c>
      <c r="C117">
        <v>114</v>
      </c>
      <c r="D117">
        <v>4</v>
      </c>
      <c r="E117">
        <v>2</v>
      </c>
      <c r="F117">
        <v>0</v>
      </c>
      <c r="G117">
        <v>0</v>
      </c>
      <c r="H117">
        <v>2</v>
      </c>
    </row>
    <row r="118" spans="2:8">
      <c r="B118" t="s">
        <v>5762</v>
      </c>
      <c r="C118">
        <v>114</v>
      </c>
      <c r="D118">
        <v>3</v>
      </c>
      <c r="E118">
        <v>0</v>
      </c>
      <c r="F118">
        <v>0</v>
      </c>
      <c r="G118">
        <v>0</v>
      </c>
      <c r="H118">
        <v>0</v>
      </c>
    </row>
    <row r="119" spans="2:8">
      <c r="B119" t="s">
        <v>5762</v>
      </c>
      <c r="C119">
        <v>114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2:8">
      <c r="B120" t="s">
        <v>5762</v>
      </c>
      <c r="C120">
        <v>115</v>
      </c>
      <c r="D120">
        <v>6</v>
      </c>
      <c r="E120">
        <v>2</v>
      </c>
      <c r="F120">
        <v>0</v>
      </c>
      <c r="G120">
        <v>2</v>
      </c>
      <c r="H120">
        <v>0</v>
      </c>
    </row>
    <row r="121" spans="2:8">
      <c r="B121" t="s">
        <v>5762</v>
      </c>
      <c r="C121">
        <v>116</v>
      </c>
      <c r="D121">
        <v>4</v>
      </c>
      <c r="E121">
        <v>0</v>
      </c>
      <c r="F121">
        <v>0</v>
      </c>
      <c r="G121">
        <v>0</v>
      </c>
      <c r="H121">
        <v>0</v>
      </c>
    </row>
    <row r="122" spans="2:8">
      <c r="B122" t="s">
        <v>5762</v>
      </c>
      <c r="C122">
        <v>116</v>
      </c>
      <c r="D122">
        <v>2</v>
      </c>
      <c r="E122">
        <v>0</v>
      </c>
      <c r="F122">
        <v>0</v>
      </c>
      <c r="G122">
        <v>0</v>
      </c>
      <c r="H122">
        <v>0</v>
      </c>
    </row>
    <row r="123" spans="2:8">
      <c r="B123" t="s">
        <v>5762</v>
      </c>
      <c r="C123">
        <v>117</v>
      </c>
      <c r="D123">
        <v>2</v>
      </c>
      <c r="E123">
        <v>0</v>
      </c>
      <c r="F123">
        <v>0</v>
      </c>
      <c r="G123">
        <v>0</v>
      </c>
      <c r="H123">
        <v>0</v>
      </c>
    </row>
    <row r="124" spans="2:8">
      <c r="B124" t="s">
        <v>5762</v>
      </c>
      <c r="C124">
        <v>117</v>
      </c>
      <c r="D124">
        <v>1</v>
      </c>
      <c r="E124">
        <v>0</v>
      </c>
      <c r="F124">
        <v>0</v>
      </c>
      <c r="G124">
        <v>0</v>
      </c>
      <c r="H124">
        <v>0</v>
      </c>
    </row>
    <row r="125" spans="2:8">
      <c r="B125" t="s">
        <v>5762</v>
      </c>
      <c r="C125">
        <v>117</v>
      </c>
      <c r="D125">
        <v>1</v>
      </c>
      <c r="E125">
        <v>0</v>
      </c>
      <c r="F125">
        <v>0</v>
      </c>
      <c r="G125">
        <v>0</v>
      </c>
      <c r="H125">
        <v>0</v>
      </c>
    </row>
    <row r="126" spans="2:8">
      <c r="B126" t="s">
        <v>5762</v>
      </c>
      <c r="C126">
        <v>118</v>
      </c>
      <c r="D126">
        <v>5</v>
      </c>
      <c r="E126">
        <v>0</v>
      </c>
      <c r="F126">
        <v>0</v>
      </c>
      <c r="G126">
        <v>0</v>
      </c>
      <c r="H126">
        <v>0</v>
      </c>
    </row>
    <row r="127" spans="2:8">
      <c r="B127" t="s">
        <v>5762</v>
      </c>
      <c r="C127">
        <v>118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2:8">
      <c r="B128" t="s">
        <v>5762</v>
      </c>
      <c r="C128">
        <v>119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2:8">
      <c r="B129" t="s">
        <v>5762</v>
      </c>
      <c r="C129">
        <v>120</v>
      </c>
      <c r="D129">
        <v>6</v>
      </c>
      <c r="E129">
        <v>0</v>
      </c>
      <c r="F129">
        <v>0</v>
      </c>
      <c r="G129">
        <v>0</v>
      </c>
      <c r="H129">
        <v>0</v>
      </c>
    </row>
    <row r="130" spans="2:8">
      <c r="B130" t="s">
        <v>5762</v>
      </c>
      <c r="C130">
        <v>120</v>
      </c>
      <c r="D130">
        <v>2</v>
      </c>
      <c r="E130">
        <v>0</v>
      </c>
      <c r="F130">
        <v>0</v>
      </c>
      <c r="G130">
        <v>0</v>
      </c>
      <c r="H130">
        <v>0</v>
      </c>
    </row>
    <row r="131" spans="2:8">
      <c r="B131" t="s">
        <v>5762</v>
      </c>
      <c r="C131">
        <v>120</v>
      </c>
      <c r="D131">
        <v>3</v>
      </c>
      <c r="E131">
        <v>0</v>
      </c>
      <c r="F131">
        <v>0</v>
      </c>
      <c r="G131">
        <v>0</v>
      </c>
      <c r="H131">
        <v>0</v>
      </c>
    </row>
    <row r="132" spans="2:8">
      <c r="B132" t="s">
        <v>5762</v>
      </c>
      <c r="C132">
        <v>120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2:8">
      <c r="B133" t="s">
        <v>5762</v>
      </c>
      <c r="C133">
        <v>121</v>
      </c>
      <c r="D133">
        <v>3</v>
      </c>
      <c r="E133">
        <v>0</v>
      </c>
      <c r="F133">
        <v>0</v>
      </c>
      <c r="G133">
        <v>0</v>
      </c>
      <c r="H133">
        <v>0</v>
      </c>
    </row>
    <row r="134" spans="2:8">
      <c r="B134" t="s">
        <v>5762</v>
      </c>
      <c r="C134">
        <v>121</v>
      </c>
      <c r="D134">
        <v>2</v>
      </c>
      <c r="E134">
        <v>0</v>
      </c>
      <c r="F134">
        <v>0</v>
      </c>
      <c r="G134">
        <v>0</v>
      </c>
      <c r="H134">
        <v>0</v>
      </c>
    </row>
    <row r="135" spans="2:8">
      <c r="B135" t="s">
        <v>5762</v>
      </c>
      <c r="C135">
        <v>122</v>
      </c>
      <c r="D135">
        <v>9</v>
      </c>
      <c r="E135">
        <v>2</v>
      </c>
      <c r="F135">
        <v>0</v>
      </c>
      <c r="G135">
        <v>0</v>
      </c>
      <c r="H135">
        <v>2</v>
      </c>
    </row>
    <row r="136" spans="2:8">
      <c r="B136" t="s">
        <v>5762</v>
      </c>
      <c r="C136">
        <v>123</v>
      </c>
      <c r="D136">
        <v>6</v>
      </c>
      <c r="E136">
        <v>4</v>
      </c>
      <c r="F136">
        <v>0</v>
      </c>
      <c r="G136">
        <v>2</v>
      </c>
      <c r="H136">
        <v>2</v>
      </c>
    </row>
    <row r="137" spans="2:8">
      <c r="B137" t="s">
        <v>5762</v>
      </c>
      <c r="C137">
        <v>123</v>
      </c>
      <c r="D137">
        <v>1</v>
      </c>
      <c r="E137">
        <v>0</v>
      </c>
      <c r="F137">
        <v>0</v>
      </c>
      <c r="G137">
        <v>0</v>
      </c>
      <c r="H137">
        <v>0</v>
      </c>
    </row>
    <row r="138" spans="2:8">
      <c r="B138" t="s">
        <v>5762</v>
      </c>
      <c r="C138">
        <v>123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2:8">
      <c r="B139" t="s">
        <v>5762</v>
      </c>
      <c r="C139">
        <v>124</v>
      </c>
      <c r="D139">
        <v>10</v>
      </c>
      <c r="E139">
        <v>0</v>
      </c>
      <c r="F139">
        <v>0</v>
      </c>
      <c r="G139">
        <v>0</v>
      </c>
      <c r="H139">
        <v>0</v>
      </c>
    </row>
    <row r="140" spans="2:8">
      <c r="B140" t="s">
        <v>5762</v>
      </c>
      <c r="C140">
        <v>124</v>
      </c>
      <c r="D140">
        <v>4</v>
      </c>
      <c r="E140">
        <v>0</v>
      </c>
      <c r="F140">
        <v>0</v>
      </c>
      <c r="G140">
        <v>0</v>
      </c>
      <c r="H140">
        <v>0</v>
      </c>
    </row>
    <row r="141" spans="2:8">
      <c r="B141" t="s">
        <v>5762</v>
      </c>
      <c r="C141">
        <v>124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2:8">
      <c r="B142" t="s">
        <v>5762</v>
      </c>
      <c r="C142">
        <v>124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2:8">
      <c r="B143" t="s">
        <v>5762</v>
      </c>
      <c r="C143">
        <v>125</v>
      </c>
      <c r="D143">
        <v>2</v>
      </c>
      <c r="E143">
        <v>0</v>
      </c>
      <c r="F143">
        <v>0</v>
      </c>
      <c r="G143">
        <v>0</v>
      </c>
      <c r="H143">
        <v>0</v>
      </c>
    </row>
    <row r="144" spans="2:8">
      <c r="B144" t="s">
        <v>5762</v>
      </c>
      <c r="C144">
        <v>125</v>
      </c>
      <c r="D144">
        <v>2</v>
      </c>
      <c r="E144">
        <v>0</v>
      </c>
      <c r="F144">
        <v>0</v>
      </c>
      <c r="G144">
        <v>0</v>
      </c>
      <c r="H144">
        <v>0</v>
      </c>
    </row>
    <row r="145" spans="2:8">
      <c r="B145" t="s">
        <v>5762</v>
      </c>
      <c r="C145">
        <v>126</v>
      </c>
      <c r="D145">
        <v>4</v>
      </c>
      <c r="E145">
        <v>2</v>
      </c>
      <c r="F145">
        <v>0</v>
      </c>
      <c r="G145">
        <v>0</v>
      </c>
      <c r="H145">
        <v>2</v>
      </c>
    </row>
    <row r="146" spans="2:8">
      <c r="B146" t="s">
        <v>5762</v>
      </c>
      <c r="C146">
        <v>126</v>
      </c>
      <c r="D146">
        <v>4</v>
      </c>
      <c r="E146">
        <v>0</v>
      </c>
      <c r="F146">
        <v>0</v>
      </c>
      <c r="G146">
        <v>0</v>
      </c>
      <c r="H146">
        <v>0</v>
      </c>
    </row>
    <row r="147" spans="2:8">
      <c r="B147" t="s">
        <v>5762</v>
      </c>
      <c r="C147">
        <v>126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2:8">
      <c r="B148" t="s">
        <v>5762</v>
      </c>
      <c r="C148">
        <v>127</v>
      </c>
      <c r="D148">
        <v>2</v>
      </c>
      <c r="E148">
        <v>0</v>
      </c>
      <c r="F148">
        <v>0</v>
      </c>
      <c r="G148">
        <v>0</v>
      </c>
      <c r="H148">
        <v>0</v>
      </c>
    </row>
    <row r="149" spans="2:8">
      <c r="B149" t="s">
        <v>5762</v>
      </c>
      <c r="C149">
        <v>127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2:8">
      <c r="B150" t="s">
        <v>5762</v>
      </c>
      <c r="C150">
        <v>127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2:8">
      <c r="B151" t="s">
        <v>5762</v>
      </c>
      <c r="C151">
        <v>128</v>
      </c>
      <c r="D151">
        <v>5</v>
      </c>
      <c r="E151">
        <v>2</v>
      </c>
      <c r="F151">
        <v>0</v>
      </c>
      <c r="G151">
        <v>0</v>
      </c>
      <c r="H151">
        <v>2</v>
      </c>
    </row>
    <row r="152" spans="2:8">
      <c r="B152" t="s">
        <v>5762</v>
      </c>
      <c r="C152">
        <v>129</v>
      </c>
      <c r="D152">
        <v>6</v>
      </c>
      <c r="E152">
        <v>0</v>
      </c>
      <c r="F152">
        <v>0</v>
      </c>
      <c r="G152">
        <v>0</v>
      </c>
      <c r="H152">
        <v>0</v>
      </c>
    </row>
    <row r="153" spans="2:8">
      <c r="B153" t="s">
        <v>5762</v>
      </c>
      <c r="C153">
        <v>130</v>
      </c>
      <c r="D153">
        <v>6</v>
      </c>
      <c r="E153">
        <v>2</v>
      </c>
      <c r="F153">
        <v>0</v>
      </c>
      <c r="G153">
        <v>0</v>
      </c>
      <c r="H153">
        <v>2</v>
      </c>
    </row>
    <row r="154" spans="2:8">
      <c r="B154" t="s">
        <v>5762</v>
      </c>
      <c r="C154">
        <v>130</v>
      </c>
      <c r="D154">
        <v>4</v>
      </c>
      <c r="E154">
        <v>2</v>
      </c>
      <c r="F154">
        <v>0</v>
      </c>
      <c r="G154">
        <v>0</v>
      </c>
      <c r="H154">
        <v>2</v>
      </c>
    </row>
    <row r="155" spans="2:8">
      <c r="B155" t="s">
        <v>5762</v>
      </c>
      <c r="C155">
        <v>130</v>
      </c>
      <c r="D155">
        <v>2</v>
      </c>
      <c r="E155">
        <v>0</v>
      </c>
      <c r="F155">
        <v>0</v>
      </c>
      <c r="G155">
        <v>0</v>
      </c>
      <c r="H155">
        <v>0</v>
      </c>
    </row>
    <row r="156" spans="2:8">
      <c r="B156" t="s">
        <v>5762</v>
      </c>
      <c r="C156">
        <v>130</v>
      </c>
      <c r="D156">
        <v>3</v>
      </c>
      <c r="E156">
        <v>0</v>
      </c>
      <c r="F156">
        <v>0</v>
      </c>
      <c r="G156">
        <v>0</v>
      </c>
      <c r="H156">
        <v>0</v>
      </c>
    </row>
    <row r="157" spans="2:8">
      <c r="B157" t="s">
        <v>5762</v>
      </c>
      <c r="C157">
        <v>131</v>
      </c>
      <c r="D157">
        <v>11</v>
      </c>
      <c r="E157">
        <v>2</v>
      </c>
      <c r="F157">
        <v>0</v>
      </c>
      <c r="G157">
        <v>0</v>
      </c>
      <c r="H157">
        <v>2</v>
      </c>
    </row>
    <row r="158" spans="2:8">
      <c r="B158" t="s">
        <v>5762</v>
      </c>
      <c r="C158">
        <v>131</v>
      </c>
      <c r="D158">
        <v>3</v>
      </c>
      <c r="E158">
        <v>2</v>
      </c>
      <c r="F158">
        <v>0</v>
      </c>
      <c r="G158">
        <v>2</v>
      </c>
      <c r="H158">
        <v>0</v>
      </c>
    </row>
    <row r="159" spans="2:8">
      <c r="B159" t="s">
        <v>5762</v>
      </c>
      <c r="C159">
        <v>132</v>
      </c>
      <c r="D159">
        <v>9</v>
      </c>
      <c r="E159">
        <v>0</v>
      </c>
      <c r="F159">
        <v>0</v>
      </c>
      <c r="G159">
        <v>0</v>
      </c>
      <c r="H159">
        <v>0</v>
      </c>
    </row>
    <row r="160" spans="2:8">
      <c r="B160" t="s">
        <v>5762</v>
      </c>
      <c r="C160">
        <v>132</v>
      </c>
      <c r="D160">
        <v>8</v>
      </c>
      <c r="E160">
        <v>2</v>
      </c>
      <c r="F160">
        <v>0</v>
      </c>
      <c r="G160">
        <v>2</v>
      </c>
      <c r="H160">
        <v>0</v>
      </c>
    </row>
    <row r="161" spans="2:8">
      <c r="B161" t="s">
        <v>5762</v>
      </c>
      <c r="C161">
        <v>132</v>
      </c>
      <c r="D161">
        <v>3</v>
      </c>
      <c r="E161">
        <v>0</v>
      </c>
      <c r="F161">
        <v>0</v>
      </c>
      <c r="G161">
        <v>0</v>
      </c>
      <c r="H161">
        <v>0</v>
      </c>
    </row>
    <row r="162" spans="2:8">
      <c r="B162" t="s">
        <v>5762</v>
      </c>
      <c r="C162">
        <v>132</v>
      </c>
      <c r="D162">
        <v>1</v>
      </c>
      <c r="E162">
        <v>0</v>
      </c>
      <c r="F162">
        <v>0</v>
      </c>
      <c r="G162">
        <v>0</v>
      </c>
      <c r="H162">
        <v>0</v>
      </c>
    </row>
    <row r="163" spans="2:8">
      <c r="B163" t="s">
        <v>5762</v>
      </c>
      <c r="C163">
        <v>132</v>
      </c>
      <c r="D163">
        <v>2</v>
      </c>
      <c r="E163">
        <v>0</v>
      </c>
      <c r="F163">
        <v>0</v>
      </c>
      <c r="G163">
        <v>0</v>
      </c>
      <c r="H163">
        <v>0</v>
      </c>
    </row>
    <row r="164" spans="2:8">
      <c r="B164" t="s">
        <v>5762</v>
      </c>
      <c r="C164">
        <v>133</v>
      </c>
      <c r="D164">
        <v>4</v>
      </c>
      <c r="E164">
        <v>2</v>
      </c>
      <c r="F164">
        <v>0</v>
      </c>
      <c r="G164">
        <v>2</v>
      </c>
      <c r="H164">
        <v>0</v>
      </c>
    </row>
    <row r="165" spans="2:8">
      <c r="B165" t="s">
        <v>5762</v>
      </c>
      <c r="C165">
        <v>133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2:8">
      <c r="B166" t="s">
        <v>5762</v>
      </c>
      <c r="C166">
        <v>134</v>
      </c>
      <c r="D166">
        <v>7</v>
      </c>
      <c r="E166">
        <v>2</v>
      </c>
      <c r="F166">
        <v>0</v>
      </c>
      <c r="G166">
        <v>2</v>
      </c>
      <c r="H166">
        <v>0</v>
      </c>
    </row>
    <row r="167" spans="2:8">
      <c r="B167" t="s">
        <v>5762</v>
      </c>
      <c r="C167">
        <v>134</v>
      </c>
      <c r="D167">
        <v>2</v>
      </c>
      <c r="E167">
        <v>0</v>
      </c>
      <c r="F167">
        <v>0</v>
      </c>
      <c r="G167">
        <v>0</v>
      </c>
      <c r="H167">
        <v>0</v>
      </c>
    </row>
    <row r="168" spans="2:8">
      <c r="B168" t="s">
        <v>5762</v>
      </c>
      <c r="C168">
        <v>135</v>
      </c>
      <c r="D168">
        <v>3</v>
      </c>
      <c r="E168">
        <v>0</v>
      </c>
      <c r="F168">
        <v>0</v>
      </c>
      <c r="G168">
        <v>0</v>
      </c>
      <c r="H168">
        <v>0</v>
      </c>
    </row>
    <row r="169" spans="2:8">
      <c r="B169" t="s">
        <v>5762</v>
      </c>
      <c r="C169">
        <v>135</v>
      </c>
      <c r="D169">
        <v>2</v>
      </c>
      <c r="E169">
        <v>0</v>
      </c>
      <c r="F169">
        <v>0</v>
      </c>
      <c r="G169">
        <v>0</v>
      </c>
      <c r="H169">
        <v>0</v>
      </c>
    </row>
    <row r="170" spans="2:8">
      <c r="B170" t="s">
        <v>5762</v>
      </c>
      <c r="C170">
        <v>136</v>
      </c>
      <c r="D170">
        <v>1</v>
      </c>
      <c r="E170">
        <v>0</v>
      </c>
      <c r="F170">
        <v>0</v>
      </c>
      <c r="G170">
        <v>0</v>
      </c>
      <c r="H170">
        <v>0</v>
      </c>
    </row>
    <row r="171" spans="2:8">
      <c r="B171" t="s">
        <v>5762</v>
      </c>
      <c r="C171">
        <v>137</v>
      </c>
      <c r="D171">
        <v>3</v>
      </c>
      <c r="E171">
        <v>0</v>
      </c>
      <c r="F171">
        <v>0</v>
      </c>
      <c r="G171">
        <v>0</v>
      </c>
      <c r="H171">
        <v>0</v>
      </c>
    </row>
    <row r="172" spans="2:8">
      <c r="B172" t="s">
        <v>5762</v>
      </c>
      <c r="C172">
        <v>138</v>
      </c>
      <c r="D172">
        <v>1</v>
      </c>
      <c r="E172">
        <v>0</v>
      </c>
      <c r="F172">
        <v>0</v>
      </c>
      <c r="G172">
        <v>0</v>
      </c>
      <c r="H172">
        <v>0</v>
      </c>
    </row>
    <row r="173" spans="2:8">
      <c r="B173" t="s">
        <v>5762</v>
      </c>
      <c r="C173">
        <v>138</v>
      </c>
      <c r="D173">
        <v>1</v>
      </c>
      <c r="E173">
        <v>0</v>
      </c>
      <c r="F173">
        <v>0</v>
      </c>
      <c r="G173">
        <v>0</v>
      </c>
      <c r="H173">
        <v>0</v>
      </c>
    </row>
    <row r="174" spans="2:8">
      <c r="B174" t="s">
        <v>5762</v>
      </c>
      <c r="C174">
        <v>138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2:8">
      <c r="B175" t="s">
        <v>5762</v>
      </c>
      <c r="C175">
        <v>140</v>
      </c>
      <c r="D175">
        <v>3</v>
      </c>
      <c r="E175">
        <v>0</v>
      </c>
      <c r="F175">
        <v>0</v>
      </c>
      <c r="G175">
        <v>0</v>
      </c>
      <c r="H175">
        <v>0</v>
      </c>
    </row>
    <row r="176" spans="2:8">
      <c r="B176" t="s">
        <v>5762</v>
      </c>
      <c r="C176">
        <v>140</v>
      </c>
      <c r="D176">
        <v>3</v>
      </c>
      <c r="E176">
        <v>0</v>
      </c>
      <c r="F176">
        <v>0</v>
      </c>
      <c r="G176">
        <v>0</v>
      </c>
      <c r="H176">
        <v>0</v>
      </c>
    </row>
    <row r="177" spans="2:8">
      <c r="B177" t="s">
        <v>5762</v>
      </c>
      <c r="C177">
        <v>140</v>
      </c>
      <c r="D177">
        <v>5</v>
      </c>
      <c r="E177">
        <v>2</v>
      </c>
      <c r="F177">
        <v>0</v>
      </c>
      <c r="G177">
        <v>0</v>
      </c>
      <c r="H177">
        <v>2</v>
      </c>
    </row>
    <row r="178" spans="2:8">
      <c r="B178" t="s">
        <v>5762</v>
      </c>
      <c r="C178">
        <v>140</v>
      </c>
      <c r="D178">
        <v>2</v>
      </c>
      <c r="E178">
        <v>0</v>
      </c>
      <c r="F178">
        <v>0</v>
      </c>
      <c r="G178">
        <v>0</v>
      </c>
      <c r="H178">
        <v>0</v>
      </c>
    </row>
    <row r="179" spans="2:8">
      <c r="B179" t="s">
        <v>5762</v>
      </c>
      <c r="C179">
        <v>141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2:8">
      <c r="B180" t="s">
        <v>5762</v>
      </c>
      <c r="C180">
        <v>142</v>
      </c>
      <c r="D180">
        <v>6</v>
      </c>
      <c r="E180">
        <v>0</v>
      </c>
      <c r="F180">
        <v>0</v>
      </c>
      <c r="G180">
        <v>0</v>
      </c>
      <c r="H180">
        <v>0</v>
      </c>
    </row>
    <row r="181" spans="2:8">
      <c r="B181" t="s">
        <v>5762</v>
      </c>
      <c r="C181">
        <v>142</v>
      </c>
      <c r="D181">
        <v>2</v>
      </c>
      <c r="E181">
        <v>0</v>
      </c>
      <c r="F181">
        <v>0</v>
      </c>
      <c r="G181">
        <v>0</v>
      </c>
      <c r="H181">
        <v>0</v>
      </c>
    </row>
    <row r="182" spans="2:8">
      <c r="B182" t="s">
        <v>5762</v>
      </c>
      <c r="C182">
        <v>143</v>
      </c>
      <c r="D182">
        <v>7</v>
      </c>
      <c r="E182">
        <v>2</v>
      </c>
      <c r="F182">
        <v>0</v>
      </c>
      <c r="G182">
        <v>2</v>
      </c>
      <c r="H182">
        <v>0</v>
      </c>
    </row>
    <row r="183" spans="2:8">
      <c r="B183" t="s">
        <v>5762</v>
      </c>
      <c r="C183">
        <v>143</v>
      </c>
      <c r="D183">
        <v>5</v>
      </c>
      <c r="E183">
        <v>2</v>
      </c>
      <c r="F183">
        <v>0</v>
      </c>
      <c r="G183">
        <v>0</v>
      </c>
      <c r="H183">
        <v>2</v>
      </c>
    </row>
    <row r="184" spans="2:8">
      <c r="B184" t="s">
        <v>5762</v>
      </c>
      <c r="C184">
        <v>143</v>
      </c>
      <c r="D184">
        <v>4</v>
      </c>
      <c r="E184">
        <v>0</v>
      </c>
      <c r="F184">
        <v>0</v>
      </c>
      <c r="G184">
        <v>0</v>
      </c>
      <c r="H184">
        <v>0</v>
      </c>
    </row>
    <row r="185" spans="2:8">
      <c r="B185" t="s">
        <v>5762</v>
      </c>
      <c r="C185">
        <v>143</v>
      </c>
      <c r="D185">
        <v>1</v>
      </c>
      <c r="E185">
        <v>0</v>
      </c>
      <c r="F185">
        <v>0</v>
      </c>
      <c r="G185">
        <v>0</v>
      </c>
      <c r="H185">
        <v>0</v>
      </c>
    </row>
    <row r="186" spans="2:8">
      <c r="B186" t="s">
        <v>5762</v>
      </c>
      <c r="C186">
        <v>143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2:8">
      <c r="B187" t="s">
        <v>5762</v>
      </c>
      <c r="C187">
        <v>143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2:8">
      <c r="B188" t="s">
        <v>5762</v>
      </c>
      <c r="C188">
        <v>144</v>
      </c>
      <c r="D188">
        <v>3</v>
      </c>
      <c r="E188">
        <v>0</v>
      </c>
      <c r="F188">
        <v>0</v>
      </c>
      <c r="G188">
        <v>0</v>
      </c>
      <c r="H188">
        <v>0</v>
      </c>
    </row>
    <row r="189" spans="2:8">
      <c r="B189" t="s">
        <v>5762</v>
      </c>
      <c r="C189">
        <v>145</v>
      </c>
      <c r="D189">
        <v>2</v>
      </c>
      <c r="E189">
        <v>0</v>
      </c>
      <c r="F189">
        <v>0</v>
      </c>
      <c r="G189">
        <v>0</v>
      </c>
      <c r="H189">
        <v>0</v>
      </c>
    </row>
    <row r="190" spans="2:8">
      <c r="B190" t="s">
        <v>5762</v>
      </c>
      <c r="C190">
        <v>145</v>
      </c>
      <c r="D190">
        <v>2</v>
      </c>
      <c r="E190">
        <v>0</v>
      </c>
      <c r="F190">
        <v>0</v>
      </c>
      <c r="G190">
        <v>0</v>
      </c>
      <c r="H190">
        <v>0</v>
      </c>
    </row>
    <row r="191" spans="2:8">
      <c r="B191" t="s">
        <v>5762</v>
      </c>
      <c r="C191">
        <v>145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2:8">
      <c r="B192" t="s">
        <v>5762</v>
      </c>
      <c r="C192">
        <v>146</v>
      </c>
      <c r="D192">
        <v>12</v>
      </c>
      <c r="E192">
        <v>2</v>
      </c>
      <c r="F192">
        <v>0</v>
      </c>
      <c r="G192">
        <v>2</v>
      </c>
      <c r="H192">
        <v>0</v>
      </c>
    </row>
    <row r="193" spans="2:8">
      <c r="B193" t="s">
        <v>5762</v>
      </c>
      <c r="C193">
        <v>146</v>
      </c>
      <c r="D193">
        <v>3</v>
      </c>
      <c r="E193">
        <v>0</v>
      </c>
      <c r="F193">
        <v>0</v>
      </c>
      <c r="G193">
        <v>0</v>
      </c>
      <c r="H193">
        <v>0</v>
      </c>
    </row>
    <row r="194" spans="2:8">
      <c r="B194" t="s">
        <v>5762</v>
      </c>
      <c r="C194">
        <v>146</v>
      </c>
      <c r="D194">
        <v>2</v>
      </c>
      <c r="E194">
        <v>0</v>
      </c>
      <c r="F194">
        <v>0</v>
      </c>
      <c r="G194">
        <v>0</v>
      </c>
      <c r="H194">
        <v>0</v>
      </c>
    </row>
    <row r="195" spans="2:8">
      <c r="B195" t="s">
        <v>5762</v>
      </c>
      <c r="C195">
        <v>146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2:8">
      <c r="B196" t="s">
        <v>5762</v>
      </c>
      <c r="C196">
        <v>147</v>
      </c>
      <c r="D196">
        <v>9</v>
      </c>
      <c r="E196">
        <v>2</v>
      </c>
      <c r="F196">
        <v>0</v>
      </c>
      <c r="G196">
        <v>0</v>
      </c>
      <c r="H196">
        <v>2</v>
      </c>
    </row>
    <row r="197" spans="2:8">
      <c r="B197" t="s">
        <v>5762</v>
      </c>
      <c r="C197">
        <v>147</v>
      </c>
      <c r="D197">
        <v>3</v>
      </c>
      <c r="E197">
        <v>0</v>
      </c>
      <c r="F197">
        <v>0</v>
      </c>
      <c r="G197">
        <v>0</v>
      </c>
      <c r="H197">
        <v>0</v>
      </c>
    </row>
    <row r="198" spans="2:8">
      <c r="B198" t="s">
        <v>5762</v>
      </c>
      <c r="C198">
        <v>147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2:8">
      <c r="B199" t="s">
        <v>5762</v>
      </c>
      <c r="C199">
        <v>147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2:8">
      <c r="B200" t="s">
        <v>5762</v>
      </c>
      <c r="C200">
        <v>148</v>
      </c>
      <c r="D200">
        <v>6</v>
      </c>
      <c r="E200">
        <v>0</v>
      </c>
      <c r="F200">
        <v>0</v>
      </c>
      <c r="G200">
        <v>0</v>
      </c>
      <c r="H200">
        <v>0</v>
      </c>
    </row>
    <row r="201" spans="2:8">
      <c r="B201" t="s">
        <v>5762</v>
      </c>
      <c r="C201">
        <v>148</v>
      </c>
      <c r="D201">
        <v>7</v>
      </c>
      <c r="E201">
        <v>0</v>
      </c>
      <c r="F201">
        <v>0</v>
      </c>
      <c r="G201">
        <v>0</v>
      </c>
      <c r="H201">
        <v>0</v>
      </c>
    </row>
    <row r="202" spans="2:8">
      <c r="B202" t="s">
        <v>5762</v>
      </c>
      <c r="C202">
        <v>148</v>
      </c>
      <c r="D202">
        <v>2</v>
      </c>
      <c r="E202">
        <v>0</v>
      </c>
      <c r="F202">
        <v>0</v>
      </c>
      <c r="G202">
        <v>0</v>
      </c>
      <c r="H202">
        <v>0</v>
      </c>
    </row>
    <row r="203" spans="2:8">
      <c r="B203" t="s">
        <v>5762</v>
      </c>
      <c r="C203">
        <v>149</v>
      </c>
      <c r="D203">
        <v>3</v>
      </c>
      <c r="E203">
        <v>2</v>
      </c>
      <c r="F203">
        <v>0</v>
      </c>
      <c r="G203">
        <v>0</v>
      </c>
      <c r="H203">
        <v>2</v>
      </c>
    </row>
    <row r="204" spans="2:8">
      <c r="B204" t="s">
        <v>5762</v>
      </c>
      <c r="C204">
        <v>149</v>
      </c>
      <c r="D204">
        <v>2</v>
      </c>
      <c r="E204">
        <v>0</v>
      </c>
      <c r="F204">
        <v>0</v>
      </c>
      <c r="G204">
        <v>0</v>
      </c>
      <c r="H204">
        <v>0</v>
      </c>
    </row>
    <row r="205" spans="2:8">
      <c r="B205" t="s">
        <v>5762</v>
      </c>
      <c r="C205">
        <v>149</v>
      </c>
      <c r="D205">
        <v>1</v>
      </c>
      <c r="E205">
        <v>0</v>
      </c>
      <c r="F205">
        <v>0</v>
      </c>
      <c r="G205">
        <v>0</v>
      </c>
      <c r="H205">
        <v>0</v>
      </c>
    </row>
    <row r="206" spans="2:8">
      <c r="B206" t="s">
        <v>5762</v>
      </c>
      <c r="C206">
        <v>149</v>
      </c>
      <c r="D206">
        <v>1</v>
      </c>
      <c r="E206">
        <v>0</v>
      </c>
      <c r="F206">
        <v>0</v>
      </c>
      <c r="G206">
        <v>0</v>
      </c>
      <c r="H206">
        <v>0</v>
      </c>
    </row>
    <row r="207" spans="2:8">
      <c r="B207" t="s">
        <v>5762</v>
      </c>
      <c r="C207">
        <v>149</v>
      </c>
      <c r="D207">
        <v>1</v>
      </c>
      <c r="E207">
        <v>0</v>
      </c>
      <c r="F207">
        <v>0</v>
      </c>
      <c r="G207">
        <v>0</v>
      </c>
      <c r="H207">
        <v>0</v>
      </c>
    </row>
    <row r="208" spans="2:8">
      <c r="B208" t="s">
        <v>5762</v>
      </c>
      <c r="C208">
        <v>149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2:8">
      <c r="B209" t="s">
        <v>5762</v>
      </c>
      <c r="C209">
        <v>150</v>
      </c>
      <c r="D209">
        <v>13</v>
      </c>
      <c r="E209">
        <v>4</v>
      </c>
      <c r="F209">
        <v>0</v>
      </c>
      <c r="G209">
        <v>2</v>
      </c>
      <c r="H209">
        <v>2</v>
      </c>
    </row>
    <row r="210" spans="2:8">
      <c r="B210" t="s">
        <v>5762</v>
      </c>
      <c r="C210">
        <v>150</v>
      </c>
      <c r="D210">
        <v>3</v>
      </c>
      <c r="E210">
        <v>0</v>
      </c>
      <c r="F210">
        <v>0</v>
      </c>
      <c r="G210">
        <v>0</v>
      </c>
      <c r="H210">
        <v>0</v>
      </c>
    </row>
    <row r="211" spans="2:8">
      <c r="B211" t="s">
        <v>5762</v>
      </c>
      <c r="C211">
        <v>151</v>
      </c>
      <c r="D211">
        <v>6</v>
      </c>
      <c r="E211">
        <v>0</v>
      </c>
      <c r="F211">
        <v>0</v>
      </c>
      <c r="G211">
        <v>0</v>
      </c>
      <c r="H211">
        <v>0</v>
      </c>
    </row>
    <row r="212" spans="2:8">
      <c r="B212" t="s">
        <v>5762</v>
      </c>
      <c r="C212">
        <v>151</v>
      </c>
      <c r="D212">
        <v>3</v>
      </c>
      <c r="E212">
        <v>0</v>
      </c>
      <c r="F212">
        <v>0</v>
      </c>
      <c r="G212">
        <v>0</v>
      </c>
      <c r="H212">
        <v>0</v>
      </c>
    </row>
    <row r="213" spans="2:8">
      <c r="B213" t="s">
        <v>5762</v>
      </c>
      <c r="C213">
        <v>151</v>
      </c>
      <c r="D213">
        <v>1</v>
      </c>
      <c r="E213">
        <v>0</v>
      </c>
      <c r="F213">
        <v>0</v>
      </c>
      <c r="G213">
        <v>0</v>
      </c>
      <c r="H213">
        <v>0</v>
      </c>
    </row>
    <row r="214" spans="2:8">
      <c r="B214" t="s">
        <v>5762</v>
      </c>
      <c r="C214">
        <v>152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2:8">
      <c r="B215" t="s">
        <v>5762</v>
      </c>
      <c r="C215">
        <v>154</v>
      </c>
      <c r="D215">
        <v>2</v>
      </c>
      <c r="E215">
        <v>0</v>
      </c>
      <c r="F215">
        <v>0</v>
      </c>
      <c r="G215">
        <v>0</v>
      </c>
      <c r="H215">
        <v>0</v>
      </c>
    </row>
    <row r="216" spans="2:8">
      <c r="B216" t="s">
        <v>5762</v>
      </c>
      <c r="C216">
        <v>154</v>
      </c>
      <c r="D216">
        <v>2</v>
      </c>
      <c r="E216">
        <v>0</v>
      </c>
      <c r="F216">
        <v>0</v>
      </c>
      <c r="G216">
        <v>0</v>
      </c>
      <c r="H216">
        <v>0</v>
      </c>
    </row>
    <row r="217" spans="2:8">
      <c r="B217" t="s">
        <v>5762</v>
      </c>
      <c r="C217">
        <v>154</v>
      </c>
      <c r="D217">
        <v>2</v>
      </c>
      <c r="E217">
        <v>2</v>
      </c>
      <c r="F217">
        <v>0</v>
      </c>
      <c r="G217">
        <v>0</v>
      </c>
      <c r="H217">
        <v>2</v>
      </c>
    </row>
    <row r="218" spans="2:8">
      <c r="B218" t="s">
        <v>5762</v>
      </c>
      <c r="C218">
        <v>154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2:8">
      <c r="B219" t="s">
        <v>5762</v>
      </c>
      <c r="C219">
        <v>156</v>
      </c>
      <c r="D219">
        <v>5</v>
      </c>
      <c r="E219">
        <v>0</v>
      </c>
      <c r="F219">
        <v>0</v>
      </c>
      <c r="G219">
        <v>0</v>
      </c>
      <c r="H219">
        <v>0</v>
      </c>
    </row>
    <row r="220" spans="2:8">
      <c r="B220" t="s">
        <v>5762</v>
      </c>
      <c r="C220">
        <v>156</v>
      </c>
      <c r="D220">
        <v>5</v>
      </c>
      <c r="E220">
        <v>0</v>
      </c>
      <c r="F220">
        <v>0</v>
      </c>
      <c r="G220">
        <v>0</v>
      </c>
      <c r="H220">
        <v>0</v>
      </c>
    </row>
    <row r="221" spans="2:8">
      <c r="B221" t="s">
        <v>5762</v>
      </c>
      <c r="C221">
        <v>156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2:8">
      <c r="B222" t="s">
        <v>5762</v>
      </c>
      <c r="C222">
        <v>156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2:8">
      <c r="B223" t="s">
        <v>5762</v>
      </c>
      <c r="C223">
        <v>157</v>
      </c>
      <c r="D223">
        <v>1</v>
      </c>
      <c r="E223">
        <v>0</v>
      </c>
      <c r="F223">
        <v>0</v>
      </c>
      <c r="G223">
        <v>0</v>
      </c>
      <c r="H223">
        <v>0</v>
      </c>
    </row>
    <row r="224" spans="2:8">
      <c r="B224" t="s">
        <v>5762</v>
      </c>
      <c r="C224">
        <v>157</v>
      </c>
      <c r="D224">
        <v>1</v>
      </c>
      <c r="E224">
        <v>0</v>
      </c>
      <c r="F224">
        <v>0</v>
      </c>
      <c r="G224">
        <v>0</v>
      </c>
      <c r="H224">
        <v>0</v>
      </c>
    </row>
    <row r="225" spans="2:8">
      <c r="B225" t="s">
        <v>5762</v>
      </c>
      <c r="C225">
        <v>158</v>
      </c>
      <c r="D225">
        <v>3</v>
      </c>
      <c r="E225">
        <v>0</v>
      </c>
      <c r="F225">
        <v>0</v>
      </c>
      <c r="G225">
        <v>0</v>
      </c>
      <c r="H225">
        <v>0</v>
      </c>
    </row>
    <row r="226" spans="2:8">
      <c r="B226" t="s">
        <v>5762</v>
      </c>
      <c r="C226">
        <v>159</v>
      </c>
      <c r="D226">
        <v>2</v>
      </c>
      <c r="E226">
        <v>0</v>
      </c>
      <c r="F226">
        <v>0</v>
      </c>
      <c r="G226">
        <v>0</v>
      </c>
      <c r="H226">
        <v>0</v>
      </c>
    </row>
    <row r="227" spans="2:8">
      <c r="B227" t="s">
        <v>5762</v>
      </c>
      <c r="C227">
        <v>160</v>
      </c>
      <c r="D227">
        <v>4</v>
      </c>
      <c r="E227">
        <v>2</v>
      </c>
      <c r="F227">
        <v>0</v>
      </c>
      <c r="G227">
        <v>0</v>
      </c>
      <c r="H227">
        <v>2</v>
      </c>
    </row>
    <row r="228" spans="2:8">
      <c r="B228" t="s">
        <v>5762</v>
      </c>
      <c r="C228">
        <v>161</v>
      </c>
      <c r="D228">
        <v>6</v>
      </c>
      <c r="E228">
        <v>0</v>
      </c>
      <c r="F228">
        <v>0</v>
      </c>
      <c r="G228">
        <v>0</v>
      </c>
      <c r="H228">
        <v>0</v>
      </c>
    </row>
    <row r="229" spans="2:8">
      <c r="B229" t="s">
        <v>5762</v>
      </c>
      <c r="C229">
        <v>161</v>
      </c>
      <c r="D229">
        <v>2</v>
      </c>
      <c r="E229">
        <v>0</v>
      </c>
      <c r="F229">
        <v>0</v>
      </c>
      <c r="G229">
        <v>0</v>
      </c>
      <c r="H229">
        <v>0</v>
      </c>
    </row>
    <row r="230" spans="2:8">
      <c r="B230" t="s">
        <v>5762</v>
      </c>
      <c r="C230">
        <v>162</v>
      </c>
      <c r="D230">
        <v>5</v>
      </c>
      <c r="E230">
        <v>0</v>
      </c>
      <c r="F230">
        <v>0</v>
      </c>
      <c r="G230">
        <v>0</v>
      </c>
      <c r="H230">
        <v>0</v>
      </c>
    </row>
    <row r="231" spans="2:8">
      <c r="B231" t="s">
        <v>5762</v>
      </c>
      <c r="C231">
        <v>163</v>
      </c>
      <c r="D231">
        <v>6</v>
      </c>
      <c r="E231">
        <v>0</v>
      </c>
      <c r="F231">
        <v>0</v>
      </c>
      <c r="G231">
        <v>0</v>
      </c>
      <c r="H231">
        <v>0</v>
      </c>
    </row>
    <row r="232" spans="2:8">
      <c r="B232" t="s">
        <v>5762</v>
      </c>
      <c r="C232">
        <v>164</v>
      </c>
      <c r="D232">
        <v>6</v>
      </c>
      <c r="E232">
        <v>0</v>
      </c>
      <c r="F232">
        <v>0</v>
      </c>
      <c r="G232">
        <v>0</v>
      </c>
      <c r="H232">
        <v>0</v>
      </c>
    </row>
    <row r="233" spans="2:8">
      <c r="B233" t="s">
        <v>5762</v>
      </c>
      <c r="C233">
        <v>164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2:8">
      <c r="B234" t="s">
        <v>5762</v>
      </c>
      <c r="C234">
        <v>166</v>
      </c>
      <c r="D234">
        <v>3</v>
      </c>
      <c r="E234">
        <v>0</v>
      </c>
      <c r="F234">
        <v>0</v>
      </c>
      <c r="G234">
        <v>0</v>
      </c>
      <c r="H234">
        <v>0</v>
      </c>
    </row>
    <row r="235" spans="2:8">
      <c r="B235" t="s">
        <v>5762</v>
      </c>
      <c r="C235">
        <v>166</v>
      </c>
      <c r="D235">
        <v>3</v>
      </c>
      <c r="E235">
        <v>0</v>
      </c>
      <c r="F235">
        <v>0</v>
      </c>
      <c r="G235">
        <v>0</v>
      </c>
      <c r="H235">
        <v>0</v>
      </c>
    </row>
    <row r="236" spans="2:8">
      <c r="B236" t="s">
        <v>5762</v>
      </c>
      <c r="C236">
        <v>166</v>
      </c>
      <c r="D236">
        <v>1</v>
      </c>
      <c r="E236">
        <v>0</v>
      </c>
      <c r="F236">
        <v>0</v>
      </c>
      <c r="G236">
        <v>0</v>
      </c>
      <c r="H236">
        <v>0</v>
      </c>
    </row>
    <row r="237" spans="2:8">
      <c r="B237" t="s">
        <v>5762</v>
      </c>
      <c r="C237">
        <v>167</v>
      </c>
      <c r="D237">
        <v>2</v>
      </c>
      <c r="E237">
        <v>0</v>
      </c>
      <c r="F237">
        <v>0</v>
      </c>
      <c r="G237">
        <v>0</v>
      </c>
      <c r="H237">
        <v>0</v>
      </c>
    </row>
    <row r="238" spans="2:8">
      <c r="B238" t="s">
        <v>5762</v>
      </c>
      <c r="C238">
        <v>167</v>
      </c>
      <c r="D238">
        <v>1</v>
      </c>
      <c r="E238">
        <v>0</v>
      </c>
      <c r="F238">
        <v>0</v>
      </c>
      <c r="G238">
        <v>0</v>
      </c>
      <c r="H238">
        <v>0</v>
      </c>
    </row>
    <row r="239" spans="2:8">
      <c r="B239" t="s">
        <v>5762</v>
      </c>
      <c r="C239">
        <v>168</v>
      </c>
      <c r="D239">
        <v>6</v>
      </c>
      <c r="E239">
        <v>0</v>
      </c>
      <c r="F239">
        <v>0</v>
      </c>
      <c r="G239">
        <v>0</v>
      </c>
      <c r="H239">
        <v>0</v>
      </c>
    </row>
    <row r="240" spans="2:8">
      <c r="B240" t="s">
        <v>5762</v>
      </c>
      <c r="C240">
        <v>169</v>
      </c>
      <c r="D240">
        <v>10</v>
      </c>
      <c r="E240">
        <v>4</v>
      </c>
      <c r="F240">
        <v>0</v>
      </c>
      <c r="G240">
        <v>2</v>
      </c>
      <c r="H240">
        <v>2</v>
      </c>
    </row>
    <row r="241" spans="2:8">
      <c r="B241" t="s">
        <v>5762</v>
      </c>
      <c r="C241">
        <v>170</v>
      </c>
      <c r="D241">
        <v>2</v>
      </c>
      <c r="E241">
        <v>0</v>
      </c>
      <c r="F241">
        <v>0</v>
      </c>
      <c r="G241">
        <v>0</v>
      </c>
      <c r="H241">
        <v>0</v>
      </c>
    </row>
    <row r="242" spans="2:8">
      <c r="B242" t="s">
        <v>5762</v>
      </c>
      <c r="C242">
        <v>170</v>
      </c>
      <c r="D242">
        <v>4</v>
      </c>
      <c r="E242">
        <v>2</v>
      </c>
      <c r="F242">
        <v>0</v>
      </c>
      <c r="G242">
        <v>0</v>
      </c>
      <c r="H242">
        <v>2</v>
      </c>
    </row>
    <row r="243" spans="2:8">
      <c r="B243" t="s">
        <v>5762</v>
      </c>
      <c r="C243">
        <v>170</v>
      </c>
      <c r="D243">
        <v>3</v>
      </c>
      <c r="E243">
        <v>0</v>
      </c>
      <c r="F243">
        <v>0</v>
      </c>
      <c r="G243">
        <v>0</v>
      </c>
      <c r="H243">
        <v>0</v>
      </c>
    </row>
    <row r="244" spans="2:8">
      <c r="B244" t="s">
        <v>5762</v>
      </c>
      <c r="C244">
        <v>170</v>
      </c>
      <c r="D244">
        <v>1</v>
      </c>
      <c r="E244">
        <v>0</v>
      </c>
      <c r="F244">
        <v>0</v>
      </c>
      <c r="G244">
        <v>0</v>
      </c>
      <c r="H244">
        <v>0</v>
      </c>
    </row>
    <row r="245" spans="2:8">
      <c r="B245" t="s">
        <v>5762</v>
      </c>
      <c r="C245">
        <v>171</v>
      </c>
      <c r="D245">
        <v>7</v>
      </c>
      <c r="E245">
        <v>0</v>
      </c>
      <c r="F245">
        <v>0</v>
      </c>
      <c r="G245">
        <v>0</v>
      </c>
      <c r="H245">
        <v>0</v>
      </c>
    </row>
    <row r="246" spans="2:8">
      <c r="B246" t="s">
        <v>5762</v>
      </c>
      <c r="C246">
        <v>172</v>
      </c>
      <c r="D246">
        <v>5</v>
      </c>
      <c r="E246">
        <v>0</v>
      </c>
      <c r="F246">
        <v>0</v>
      </c>
      <c r="G246">
        <v>0</v>
      </c>
      <c r="H246">
        <v>0</v>
      </c>
    </row>
    <row r="247" spans="2:8">
      <c r="B247" t="s">
        <v>5762</v>
      </c>
      <c r="C247">
        <v>172</v>
      </c>
      <c r="D247">
        <v>3</v>
      </c>
      <c r="E247">
        <v>0</v>
      </c>
      <c r="F247">
        <v>0</v>
      </c>
      <c r="G247">
        <v>0</v>
      </c>
      <c r="H247">
        <v>0</v>
      </c>
    </row>
    <row r="248" spans="2:8">
      <c r="B248" t="s">
        <v>5762</v>
      </c>
      <c r="C248">
        <v>172</v>
      </c>
      <c r="D248">
        <v>1</v>
      </c>
      <c r="E248">
        <v>0</v>
      </c>
      <c r="F248">
        <v>0</v>
      </c>
      <c r="G248">
        <v>0</v>
      </c>
      <c r="H248">
        <v>0</v>
      </c>
    </row>
    <row r="249" spans="2:8">
      <c r="B249" t="s">
        <v>5762</v>
      </c>
      <c r="C249">
        <v>172</v>
      </c>
      <c r="D249">
        <v>3</v>
      </c>
      <c r="E249">
        <v>0</v>
      </c>
      <c r="F249">
        <v>0</v>
      </c>
      <c r="G249">
        <v>0</v>
      </c>
      <c r="H249">
        <v>0</v>
      </c>
    </row>
    <row r="250" spans="2:8">
      <c r="B250" t="s">
        <v>5762</v>
      </c>
      <c r="C250">
        <v>172</v>
      </c>
      <c r="D250">
        <v>2</v>
      </c>
      <c r="E250">
        <v>0</v>
      </c>
      <c r="F250">
        <v>0</v>
      </c>
      <c r="G250">
        <v>0</v>
      </c>
      <c r="H250">
        <v>0</v>
      </c>
    </row>
    <row r="251" spans="2:8">
      <c r="B251" t="s">
        <v>5762</v>
      </c>
      <c r="C251">
        <v>172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2:8">
      <c r="B252" t="s">
        <v>5762</v>
      </c>
      <c r="C252">
        <v>173</v>
      </c>
      <c r="D252">
        <v>10</v>
      </c>
      <c r="E252">
        <v>0</v>
      </c>
      <c r="F252">
        <v>0</v>
      </c>
      <c r="G252">
        <v>0</v>
      </c>
      <c r="H252">
        <v>0</v>
      </c>
    </row>
    <row r="253" spans="2:8">
      <c r="B253" t="s">
        <v>5762</v>
      </c>
      <c r="C253">
        <v>174</v>
      </c>
      <c r="D253">
        <v>11</v>
      </c>
      <c r="E253">
        <v>2</v>
      </c>
      <c r="F253">
        <v>0</v>
      </c>
      <c r="G253">
        <v>0</v>
      </c>
      <c r="H253">
        <v>2</v>
      </c>
    </row>
    <row r="254" spans="2:8">
      <c r="B254" t="s">
        <v>5762</v>
      </c>
      <c r="C254">
        <v>176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2:8">
      <c r="B255" t="s">
        <v>5762</v>
      </c>
      <c r="C255">
        <v>177</v>
      </c>
      <c r="D255">
        <v>6</v>
      </c>
      <c r="E255">
        <v>0</v>
      </c>
      <c r="F255">
        <v>0</v>
      </c>
      <c r="G255">
        <v>0</v>
      </c>
      <c r="H255">
        <v>0</v>
      </c>
    </row>
    <row r="256" spans="2:8">
      <c r="B256" t="s">
        <v>5762</v>
      </c>
      <c r="C256">
        <v>177</v>
      </c>
      <c r="D256">
        <v>2</v>
      </c>
      <c r="E256">
        <v>0</v>
      </c>
      <c r="F256">
        <v>0</v>
      </c>
      <c r="G256">
        <v>0</v>
      </c>
      <c r="H256">
        <v>0</v>
      </c>
    </row>
    <row r="257" spans="2:8">
      <c r="B257" t="s">
        <v>5762</v>
      </c>
      <c r="C257">
        <v>177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2:8">
      <c r="B258" t="s">
        <v>5762</v>
      </c>
      <c r="C258">
        <v>179</v>
      </c>
      <c r="D258">
        <v>5</v>
      </c>
      <c r="E258">
        <v>0</v>
      </c>
      <c r="F258">
        <v>0</v>
      </c>
      <c r="G258">
        <v>0</v>
      </c>
      <c r="H258">
        <v>0</v>
      </c>
    </row>
    <row r="259" spans="2:8">
      <c r="B259" t="s">
        <v>5762</v>
      </c>
      <c r="C259">
        <v>179</v>
      </c>
      <c r="D259">
        <v>3</v>
      </c>
      <c r="E259">
        <v>0</v>
      </c>
      <c r="F259">
        <v>0</v>
      </c>
      <c r="G259">
        <v>0</v>
      </c>
      <c r="H259">
        <v>0</v>
      </c>
    </row>
    <row r="260" spans="2:8">
      <c r="B260" t="s">
        <v>5762</v>
      </c>
      <c r="C260">
        <v>179</v>
      </c>
      <c r="D260">
        <v>4</v>
      </c>
      <c r="E260">
        <v>0</v>
      </c>
      <c r="F260">
        <v>0</v>
      </c>
      <c r="G260">
        <v>0</v>
      </c>
      <c r="H260">
        <v>0</v>
      </c>
    </row>
    <row r="261" spans="2:8">
      <c r="B261" t="s">
        <v>5762</v>
      </c>
      <c r="C261">
        <v>180</v>
      </c>
      <c r="D261">
        <v>2</v>
      </c>
      <c r="E261">
        <v>0</v>
      </c>
      <c r="F261">
        <v>0</v>
      </c>
      <c r="G261">
        <v>0</v>
      </c>
      <c r="H261">
        <v>0</v>
      </c>
    </row>
    <row r="262" spans="2:8">
      <c r="B262" t="s">
        <v>5762</v>
      </c>
      <c r="C262">
        <v>181</v>
      </c>
      <c r="D262">
        <v>10</v>
      </c>
      <c r="E262">
        <v>0</v>
      </c>
      <c r="F262">
        <v>0</v>
      </c>
      <c r="G262">
        <v>0</v>
      </c>
      <c r="H262">
        <v>0</v>
      </c>
    </row>
    <row r="263" spans="2:8">
      <c r="B263" t="s">
        <v>5762</v>
      </c>
      <c r="C263">
        <v>181</v>
      </c>
      <c r="D263">
        <v>1</v>
      </c>
      <c r="E263">
        <v>0</v>
      </c>
      <c r="F263">
        <v>0</v>
      </c>
      <c r="G263">
        <v>0</v>
      </c>
      <c r="H263">
        <v>0</v>
      </c>
    </row>
    <row r="264" spans="2:8">
      <c r="B264" t="s">
        <v>5762</v>
      </c>
      <c r="C264">
        <v>183</v>
      </c>
      <c r="D264">
        <v>6</v>
      </c>
      <c r="E264">
        <v>0</v>
      </c>
      <c r="F264">
        <v>0</v>
      </c>
      <c r="G264">
        <v>0</v>
      </c>
      <c r="H264">
        <v>0</v>
      </c>
    </row>
    <row r="265" spans="2:8">
      <c r="B265" t="s">
        <v>5762</v>
      </c>
      <c r="C265">
        <v>184</v>
      </c>
      <c r="D265">
        <v>13</v>
      </c>
      <c r="E265">
        <v>4</v>
      </c>
      <c r="F265">
        <v>0</v>
      </c>
      <c r="G265">
        <v>2</v>
      </c>
      <c r="H265">
        <v>2</v>
      </c>
    </row>
    <row r="266" spans="2:8">
      <c r="B266" t="s">
        <v>5762</v>
      </c>
      <c r="C266">
        <v>184</v>
      </c>
      <c r="D266">
        <v>5</v>
      </c>
      <c r="E266">
        <v>0</v>
      </c>
      <c r="F266">
        <v>0</v>
      </c>
      <c r="G266">
        <v>0</v>
      </c>
      <c r="H266">
        <v>0</v>
      </c>
    </row>
    <row r="267" spans="2:8">
      <c r="B267" t="s">
        <v>5762</v>
      </c>
      <c r="C267">
        <v>185</v>
      </c>
      <c r="D267">
        <v>5</v>
      </c>
      <c r="E267">
        <v>0</v>
      </c>
      <c r="F267">
        <v>0</v>
      </c>
      <c r="G267">
        <v>0</v>
      </c>
      <c r="H267">
        <v>0</v>
      </c>
    </row>
    <row r="268" spans="2:8">
      <c r="B268" t="s">
        <v>5762</v>
      </c>
      <c r="C268">
        <v>185</v>
      </c>
      <c r="D268">
        <v>3</v>
      </c>
      <c r="E268">
        <v>0</v>
      </c>
      <c r="F268">
        <v>0</v>
      </c>
      <c r="G268">
        <v>0</v>
      </c>
      <c r="H268">
        <v>0</v>
      </c>
    </row>
    <row r="269" spans="2:8">
      <c r="B269" t="s">
        <v>5762</v>
      </c>
      <c r="C269">
        <v>185</v>
      </c>
      <c r="D269">
        <v>5</v>
      </c>
      <c r="E269">
        <v>0</v>
      </c>
      <c r="F269">
        <v>0</v>
      </c>
      <c r="G269">
        <v>0</v>
      </c>
      <c r="H269">
        <v>0</v>
      </c>
    </row>
    <row r="270" spans="2:8">
      <c r="B270" t="s">
        <v>5762</v>
      </c>
      <c r="C270">
        <v>185</v>
      </c>
      <c r="D270">
        <v>1</v>
      </c>
      <c r="E270">
        <v>0</v>
      </c>
      <c r="F270">
        <v>0</v>
      </c>
      <c r="G270">
        <v>0</v>
      </c>
      <c r="H270">
        <v>0</v>
      </c>
    </row>
    <row r="271" spans="2:8">
      <c r="B271" t="s">
        <v>5762</v>
      </c>
      <c r="C271">
        <v>186</v>
      </c>
      <c r="D271">
        <v>9</v>
      </c>
      <c r="E271">
        <v>2</v>
      </c>
      <c r="F271">
        <v>0</v>
      </c>
      <c r="G271">
        <v>0</v>
      </c>
      <c r="H271">
        <v>2</v>
      </c>
    </row>
    <row r="272" spans="2:8">
      <c r="B272" t="s">
        <v>5762</v>
      </c>
      <c r="C272">
        <v>186</v>
      </c>
      <c r="D272">
        <v>5</v>
      </c>
      <c r="E272">
        <v>0</v>
      </c>
      <c r="F272">
        <v>0</v>
      </c>
      <c r="G272">
        <v>0</v>
      </c>
      <c r="H272">
        <v>0</v>
      </c>
    </row>
    <row r="273" spans="2:8">
      <c r="B273" t="s">
        <v>5762</v>
      </c>
      <c r="C273">
        <v>187</v>
      </c>
      <c r="D273">
        <v>6</v>
      </c>
      <c r="E273">
        <v>2</v>
      </c>
      <c r="F273">
        <v>0</v>
      </c>
      <c r="G273">
        <v>0</v>
      </c>
      <c r="H273">
        <v>2</v>
      </c>
    </row>
    <row r="274" spans="2:8">
      <c r="B274" t="s">
        <v>5762</v>
      </c>
      <c r="C274">
        <v>187</v>
      </c>
      <c r="D274">
        <v>2</v>
      </c>
      <c r="E274">
        <v>0</v>
      </c>
      <c r="F274">
        <v>0</v>
      </c>
      <c r="G274">
        <v>0</v>
      </c>
      <c r="H274">
        <v>0</v>
      </c>
    </row>
    <row r="275" spans="2:8">
      <c r="B275" t="s">
        <v>5762</v>
      </c>
      <c r="C275">
        <v>188</v>
      </c>
      <c r="D275">
        <v>7</v>
      </c>
      <c r="E275">
        <v>0</v>
      </c>
      <c r="F275">
        <v>0</v>
      </c>
      <c r="G275">
        <v>0</v>
      </c>
      <c r="H275">
        <v>0</v>
      </c>
    </row>
    <row r="276" spans="2:8">
      <c r="B276" t="s">
        <v>5762</v>
      </c>
      <c r="C276">
        <v>188</v>
      </c>
      <c r="D276">
        <v>2</v>
      </c>
      <c r="E276">
        <v>0</v>
      </c>
      <c r="F276">
        <v>0</v>
      </c>
      <c r="G276">
        <v>0</v>
      </c>
      <c r="H276">
        <v>0</v>
      </c>
    </row>
    <row r="277" spans="2:8">
      <c r="B277" t="s">
        <v>5762</v>
      </c>
      <c r="C277">
        <v>189</v>
      </c>
      <c r="D277">
        <v>11</v>
      </c>
      <c r="E277">
        <v>0</v>
      </c>
      <c r="F277">
        <v>0</v>
      </c>
      <c r="G277">
        <v>0</v>
      </c>
      <c r="H277">
        <v>0</v>
      </c>
    </row>
    <row r="278" spans="2:8">
      <c r="B278" t="s">
        <v>5762</v>
      </c>
      <c r="C278">
        <v>189</v>
      </c>
      <c r="D278">
        <v>5</v>
      </c>
      <c r="E278">
        <v>0</v>
      </c>
      <c r="F278">
        <v>0</v>
      </c>
      <c r="G278">
        <v>0</v>
      </c>
      <c r="H278">
        <v>0</v>
      </c>
    </row>
    <row r="279" spans="2:8">
      <c r="B279" t="s">
        <v>5762</v>
      </c>
      <c r="C279">
        <v>189</v>
      </c>
      <c r="D279">
        <v>4</v>
      </c>
      <c r="E279">
        <v>0</v>
      </c>
      <c r="F279">
        <v>0</v>
      </c>
      <c r="G279">
        <v>0</v>
      </c>
      <c r="H279">
        <v>0</v>
      </c>
    </row>
    <row r="280" spans="2:8">
      <c r="B280" t="s">
        <v>5762</v>
      </c>
      <c r="C280">
        <v>189</v>
      </c>
      <c r="D280">
        <v>2</v>
      </c>
      <c r="E280">
        <v>0</v>
      </c>
      <c r="F280">
        <v>0</v>
      </c>
      <c r="G280">
        <v>0</v>
      </c>
      <c r="H280">
        <v>0</v>
      </c>
    </row>
    <row r="281" spans="2:8">
      <c r="B281" t="s">
        <v>5762</v>
      </c>
      <c r="C281">
        <v>190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2:8">
      <c r="B282" t="s">
        <v>5762</v>
      </c>
      <c r="C282">
        <v>191</v>
      </c>
      <c r="D282">
        <v>13</v>
      </c>
      <c r="E282">
        <v>0</v>
      </c>
      <c r="F282">
        <v>0</v>
      </c>
      <c r="G282">
        <v>0</v>
      </c>
      <c r="H282">
        <v>0</v>
      </c>
    </row>
    <row r="283" spans="2:8">
      <c r="B283" t="s">
        <v>5762</v>
      </c>
      <c r="C283">
        <v>192</v>
      </c>
      <c r="D283">
        <v>2</v>
      </c>
      <c r="E283">
        <v>0</v>
      </c>
      <c r="F283">
        <v>0</v>
      </c>
      <c r="G283">
        <v>0</v>
      </c>
      <c r="H283">
        <v>0</v>
      </c>
    </row>
    <row r="284" spans="2:8">
      <c r="B284" t="s">
        <v>5762</v>
      </c>
      <c r="C284">
        <v>192</v>
      </c>
      <c r="D284">
        <v>2</v>
      </c>
      <c r="E284">
        <v>0</v>
      </c>
      <c r="F284">
        <v>0</v>
      </c>
      <c r="G284">
        <v>0</v>
      </c>
      <c r="H284">
        <v>0</v>
      </c>
    </row>
    <row r="285" spans="2:8">
      <c r="B285" t="s">
        <v>5762</v>
      </c>
      <c r="C285">
        <v>192</v>
      </c>
      <c r="D285">
        <v>2</v>
      </c>
      <c r="E285">
        <v>0</v>
      </c>
      <c r="F285">
        <v>0</v>
      </c>
      <c r="G285">
        <v>0</v>
      </c>
      <c r="H285">
        <v>0</v>
      </c>
    </row>
    <row r="286" spans="2:8">
      <c r="B286" t="s">
        <v>5762</v>
      </c>
      <c r="C286">
        <v>193</v>
      </c>
      <c r="D286">
        <v>9</v>
      </c>
      <c r="E286">
        <v>0</v>
      </c>
      <c r="F286">
        <v>0</v>
      </c>
      <c r="G286">
        <v>0</v>
      </c>
      <c r="H286">
        <v>0</v>
      </c>
    </row>
    <row r="287" spans="2:8">
      <c r="B287" t="s">
        <v>5762</v>
      </c>
      <c r="C287">
        <v>193</v>
      </c>
      <c r="D287">
        <v>3</v>
      </c>
      <c r="E287">
        <v>0</v>
      </c>
      <c r="F287">
        <v>0</v>
      </c>
      <c r="G287">
        <v>0</v>
      </c>
      <c r="H287">
        <v>0</v>
      </c>
    </row>
    <row r="288" spans="2:8">
      <c r="B288" t="s">
        <v>5762</v>
      </c>
      <c r="C288">
        <v>194</v>
      </c>
      <c r="D288">
        <v>7</v>
      </c>
      <c r="E288">
        <v>0</v>
      </c>
      <c r="F288">
        <v>0</v>
      </c>
      <c r="G288">
        <v>0</v>
      </c>
      <c r="H288">
        <v>0</v>
      </c>
    </row>
    <row r="289" spans="2:8">
      <c r="B289" t="s">
        <v>5762</v>
      </c>
      <c r="C289">
        <v>194</v>
      </c>
      <c r="D289">
        <v>3</v>
      </c>
      <c r="E289">
        <v>0</v>
      </c>
      <c r="F289">
        <v>0</v>
      </c>
      <c r="G289">
        <v>0</v>
      </c>
      <c r="H289">
        <v>0</v>
      </c>
    </row>
    <row r="290" spans="2:8">
      <c r="B290" t="s">
        <v>5762</v>
      </c>
      <c r="C290">
        <v>197</v>
      </c>
      <c r="D290">
        <v>1</v>
      </c>
      <c r="E290">
        <v>0</v>
      </c>
      <c r="F290">
        <v>0</v>
      </c>
      <c r="G290">
        <v>0</v>
      </c>
      <c r="H290">
        <v>0</v>
      </c>
    </row>
    <row r="291" spans="2:8">
      <c r="B291" t="s">
        <v>5762</v>
      </c>
      <c r="C291">
        <v>198</v>
      </c>
      <c r="D291">
        <v>3</v>
      </c>
      <c r="E291">
        <v>0</v>
      </c>
      <c r="F291">
        <v>0</v>
      </c>
      <c r="G291">
        <v>0</v>
      </c>
      <c r="H291">
        <v>0</v>
      </c>
    </row>
    <row r="292" spans="2:8">
      <c r="B292" t="s">
        <v>5762</v>
      </c>
      <c r="C292">
        <v>198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2:8">
      <c r="B293" t="s">
        <v>5762</v>
      </c>
      <c r="C293">
        <v>199</v>
      </c>
      <c r="D293">
        <v>8</v>
      </c>
      <c r="E293">
        <v>0</v>
      </c>
      <c r="F293">
        <v>0</v>
      </c>
      <c r="G293">
        <v>0</v>
      </c>
      <c r="H293">
        <v>0</v>
      </c>
    </row>
    <row r="294" spans="2:8">
      <c r="B294" t="s">
        <v>5762</v>
      </c>
      <c r="C294">
        <v>199</v>
      </c>
      <c r="D294">
        <v>9</v>
      </c>
      <c r="E294">
        <v>0</v>
      </c>
      <c r="F294">
        <v>0</v>
      </c>
      <c r="G294">
        <v>0</v>
      </c>
      <c r="H294">
        <v>0</v>
      </c>
    </row>
    <row r="295" spans="2:8">
      <c r="B295" t="s">
        <v>5762</v>
      </c>
      <c r="C295">
        <v>199</v>
      </c>
      <c r="D295">
        <v>4</v>
      </c>
      <c r="E295">
        <v>0</v>
      </c>
      <c r="F295">
        <v>0</v>
      </c>
      <c r="G295">
        <v>0</v>
      </c>
      <c r="H295">
        <v>0</v>
      </c>
    </row>
    <row r="296" spans="2:8">
      <c r="B296" t="s">
        <v>5762</v>
      </c>
      <c r="C296">
        <v>201</v>
      </c>
      <c r="D296">
        <v>9</v>
      </c>
      <c r="E296">
        <v>0</v>
      </c>
      <c r="F296">
        <v>0</v>
      </c>
      <c r="G296">
        <v>0</v>
      </c>
      <c r="H296">
        <v>0</v>
      </c>
    </row>
    <row r="297" spans="2:8">
      <c r="B297" t="s">
        <v>5762</v>
      </c>
      <c r="C297">
        <v>202</v>
      </c>
      <c r="D297">
        <v>3</v>
      </c>
      <c r="E297">
        <v>0</v>
      </c>
      <c r="F297">
        <v>0</v>
      </c>
      <c r="G297">
        <v>0</v>
      </c>
      <c r="H297">
        <v>0</v>
      </c>
    </row>
    <row r="298" spans="2:8">
      <c r="B298" t="s">
        <v>5762</v>
      </c>
      <c r="C298">
        <v>202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2:8">
      <c r="B299" t="s">
        <v>5762</v>
      </c>
      <c r="C299">
        <v>203</v>
      </c>
      <c r="D299">
        <v>8</v>
      </c>
      <c r="E299">
        <v>0</v>
      </c>
      <c r="F299">
        <v>0</v>
      </c>
      <c r="G299">
        <v>0</v>
      </c>
      <c r="H299">
        <v>0</v>
      </c>
    </row>
    <row r="300" spans="2:8">
      <c r="B300" t="s">
        <v>5762</v>
      </c>
      <c r="C300">
        <v>204</v>
      </c>
      <c r="D300">
        <v>15</v>
      </c>
      <c r="E300">
        <v>0</v>
      </c>
      <c r="F300">
        <v>0</v>
      </c>
      <c r="G300">
        <v>0</v>
      </c>
      <c r="H300">
        <v>0</v>
      </c>
    </row>
    <row r="301" spans="2:8">
      <c r="B301" t="s">
        <v>5762</v>
      </c>
      <c r="C301">
        <v>204</v>
      </c>
      <c r="D301">
        <v>4</v>
      </c>
      <c r="E301">
        <v>0</v>
      </c>
      <c r="F301">
        <v>0</v>
      </c>
      <c r="G301">
        <v>0</v>
      </c>
      <c r="H301">
        <v>0</v>
      </c>
    </row>
    <row r="302" spans="2:8">
      <c r="B302" t="s">
        <v>5762</v>
      </c>
      <c r="C302">
        <v>204</v>
      </c>
      <c r="D302">
        <v>7</v>
      </c>
      <c r="E302">
        <v>2</v>
      </c>
      <c r="F302">
        <v>0</v>
      </c>
      <c r="G302">
        <v>0</v>
      </c>
      <c r="H302">
        <v>2</v>
      </c>
    </row>
    <row r="303" spans="2:8">
      <c r="B303" t="s">
        <v>5762</v>
      </c>
      <c r="C303">
        <v>204</v>
      </c>
      <c r="D303">
        <v>4</v>
      </c>
      <c r="E303">
        <v>0</v>
      </c>
      <c r="F303">
        <v>0</v>
      </c>
      <c r="G303">
        <v>0</v>
      </c>
      <c r="H303">
        <v>0</v>
      </c>
    </row>
    <row r="304" spans="2:8">
      <c r="B304" t="s">
        <v>5762</v>
      </c>
      <c r="C304">
        <v>204</v>
      </c>
      <c r="D304">
        <v>3</v>
      </c>
      <c r="E304">
        <v>0</v>
      </c>
      <c r="F304">
        <v>0</v>
      </c>
      <c r="G304">
        <v>0</v>
      </c>
      <c r="H304">
        <v>0</v>
      </c>
    </row>
    <row r="305" spans="2:8">
      <c r="B305" t="s">
        <v>5762</v>
      </c>
      <c r="C305">
        <v>204</v>
      </c>
      <c r="D305">
        <v>1</v>
      </c>
      <c r="E305">
        <v>0</v>
      </c>
      <c r="F305">
        <v>0</v>
      </c>
      <c r="G305">
        <v>0</v>
      </c>
      <c r="H305">
        <v>0</v>
      </c>
    </row>
    <row r="306" spans="2:8">
      <c r="B306" t="s">
        <v>5762</v>
      </c>
      <c r="C306">
        <v>206</v>
      </c>
      <c r="D306">
        <v>11</v>
      </c>
      <c r="E306">
        <v>4</v>
      </c>
      <c r="F306">
        <v>0</v>
      </c>
      <c r="G306">
        <v>0</v>
      </c>
      <c r="H306">
        <v>4</v>
      </c>
    </row>
    <row r="307" spans="2:8">
      <c r="B307" t="s">
        <v>5762</v>
      </c>
      <c r="C307">
        <v>207</v>
      </c>
      <c r="D307">
        <v>16</v>
      </c>
      <c r="E307">
        <v>4</v>
      </c>
      <c r="F307">
        <v>0</v>
      </c>
      <c r="G307">
        <v>4</v>
      </c>
      <c r="H307">
        <v>0</v>
      </c>
    </row>
    <row r="308" spans="2:8">
      <c r="B308" t="s">
        <v>5762</v>
      </c>
      <c r="C308">
        <v>207</v>
      </c>
      <c r="D308">
        <v>8</v>
      </c>
      <c r="E308">
        <v>2</v>
      </c>
      <c r="F308">
        <v>0</v>
      </c>
      <c r="G308">
        <v>0</v>
      </c>
      <c r="H308">
        <v>2</v>
      </c>
    </row>
    <row r="309" spans="2:8">
      <c r="B309" t="s">
        <v>5762</v>
      </c>
      <c r="C309">
        <v>207</v>
      </c>
      <c r="D309">
        <v>3</v>
      </c>
      <c r="E309">
        <v>0</v>
      </c>
      <c r="F309">
        <v>0</v>
      </c>
      <c r="G309">
        <v>0</v>
      </c>
      <c r="H309">
        <v>0</v>
      </c>
    </row>
    <row r="310" spans="2:8">
      <c r="B310" t="s">
        <v>5762</v>
      </c>
      <c r="C310">
        <v>207</v>
      </c>
      <c r="D310">
        <v>1</v>
      </c>
      <c r="E310">
        <v>0</v>
      </c>
      <c r="F310">
        <v>0</v>
      </c>
      <c r="G310">
        <v>0</v>
      </c>
      <c r="H310">
        <v>0</v>
      </c>
    </row>
    <row r="311" spans="2:8">
      <c r="B311" t="s">
        <v>5762</v>
      </c>
      <c r="C311">
        <v>208</v>
      </c>
      <c r="D311">
        <v>8</v>
      </c>
      <c r="E311">
        <v>0</v>
      </c>
      <c r="F311">
        <v>0</v>
      </c>
      <c r="G311">
        <v>0</v>
      </c>
      <c r="H311">
        <v>0</v>
      </c>
    </row>
    <row r="312" spans="2:8">
      <c r="B312" t="s">
        <v>5762</v>
      </c>
      <c r="C312">
        <v>209</v>
      </c>
      <c r="D312">
        <v>2</v>
      </c>
      <c r="E312">
        <v>0</v>
      </c>
      <c r="F312">
        <v>0</v>
      </c>
      <c r="G312">
        <v>0</v>
      </c>
      <c r="H312">
        <v>0</v>
      </c>
    </row>
    <row r="313" spans="2:8">
      <c r="B313" t="s">
        <v>5762</v>
      </c>
      <c r="C313">
        <v>209</v>
      </c>
      <c r="D313">
        <v>2</v>
      </c>
      <c r="E313">
        <v>0</v>
      </c>
      <c r="F313">
        <v>0</v>
      </c>
      <c r="G313">
        <v>0</v>
      </c>
      <c r="H313">
        <v>0</v>
      </c>
    </row>
    <row r="314" spans="2:8">
      <c r="B314" t="s">
        <v>5762</v>
      </c>
      <c r="C314">
        <v>210</v>
      </c>
      <c r="D314">
        <v>3</v>
      </c>
      <c r="E314">
        <v>0</v>
      </c>
      <c r="F314">
        <v>0</v>
      </c>
      <c r="G314">
        <v>0</v>
      </c>
      <c r="H314">
        <v>0</v>
      </c>
    </row>
    <row r="315" spans="2:8">
      <c r="B315" t="s">
        <v>5762</v>
      </c>
      <c r="C315">
        <v>210</v>
      </c>
      <c r="D315">
        <v>2</v>
      </c>
      <c r="E315">
        <v>0</v>
      </c>
      <c r="F315">
        <v>0</v>
      </c>
      <c r="G315">
        <v>0</v>
      </c>
      <c r="H315">
        <v>0</v>
      </c>
    </row>
    <row r="316" spans="2:8">
      <c r="B316" t="s">
        <v>5762</v>
      </c>
      <c r="C316">
        <v>211</v>
      </c>
      <c r="D316">
        <v>18</v>
      </c>
      <c r="E316">
        <v>2</v>
      </c>
      <c r="F316">
        <v>0</v>
      </c>
      <c r="G316">
        <v>0</v>
      </c>
      <c r="H316">
        <v>2</v>
      </c>
    </row>
    <row r="317" spans="2:8">
      <c r="B317" t="s">
        <v>5762</v>
      </c>
      <c r="C317">
        <v>211</v>
      </c>
      <c r="D317">
        <v>2</v>
      </c>
      <c r="E317">
        <v>0</v>
      </c>
      <c r="F317">
        <v>0</v>
      </c>
      <c r="G317">
        <v>0</v>
      </c>
      <c r="H317">
        <v>0</v>
      </c>
    </row>
    <row r="318" spans="2:8">
      <c r="B318" t="s">
        <v>5762</v>
      </c>
      <c r="C318">
        <v>211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2:8">
      <c r="B319" t="s">
        <v>5762</v>
      </c>
      <c r="C319">
        <v>212</v>
      </c>
      <c r="D319">
        <v>5</v>
      </c>
      <c r="E319">
        <v>0</v>
      </c>
      <c r="F319">
        <v>0</v>
      </c>
      <c r="G319">
        <v>0</v>
      </c>
      <c r="H319">
        <v>0</v>
      </c>
    </row>
    <row r="320" spans="2:8">
      <c r="B320" t="s">
        <v>5762</v>
      </c>
      <c r="C320">
        <v>212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2:8">
      <c r="B321" t="s">
        <v>5762</v>
      </c>
      <c r="C321">
        <v>213</v>
      </c>
      <c r="D321">
        <v>9</v>
      </c>
      <c r="E321">
        <v>2</v>
      </c>
      <c r="F321">
        <v>0</v>
      </c>
      <c r="G321">
        <v>2</v>
      </c>
      <c r="H321">
        <v>0</v>
      </c>
    </row>
    <row r="322" spans="2:8">
      <c r="B322" t="s">
        <v>5762</v>
      </c>
      <c r="C322">
        <v>213</v>
      </c>
      <c r="D322">
        <v>3</v>
      </c>
      <c r="E322">
        <v>0</v>
      </c>
      <c r="F322">
        <v>0</v>
      </c>
      <c r="G322">
        <v>0</v>
      </c>
      <c r="H322">
        <v>0</v>
      </c>
    </row>
    <row r="323" spans="2:8">
      <c r="B323" t="s">
        <v>5762</v>
      </c>
      <c r="C323">
        <v>214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2:8">
      <c r="B324" t="s">
        <v>5762</v>
      </c>
      <c r="C324">
        <v>215</v>
      </c>
      <c r="D324">
        <v>10</v>
      </c>
      <c r="E324">
        <v>0</v>
      </c>
      <c r="F324">
        <v>0</v>
      </c>
      <c r="G324">
        <v>0</v>
      </c>
      <c r="H324">
        <v>0</v>
      </c>
    </row>
    <row r="325" spans="2:8">
      <c r="B325" t="s">
        <v>5762</v>
      </c>
      <c r="C325">
        <v>215</v>
      </c>
      <c r="D325">
        <v>1</v>
      </c>
      <c r="E325">
        <v>0</v>
      </c>
      <c r="F325">
        <v>0</v>
      </c>
      <c r="G325">
        <v>0</v>
      </c>
      <c r="H325">
        <v>0</v>
      </c>
    </row>
    <row r="326" spans="2:8">
      <c r="B326" t="s">
        <v>5762</v>
      </c>
      <c r="C326">
        <v>217</v>
      </c>
      <c r="D326">
        <v>8</v>
      </c>
      <c r="E326">
        <v>0</v>
      </c>
      <c r="F326">
        <v>0</v>
      </c>
      <c r="G326">
        <v>0</v>
      </c>
      <c r="H326">
        <v>0</v>
      </c>
    </row>
    <row r="327" spans="2:8">
      <c r="B327" t="s">
        <v>5762</v>
      </c>
      <c r="C327">
        <v>217</v>
      </c>
      <c r="D327">
        <v>11</v>
      </c>
      <c r="E327">
        <v>2</v>
      </c>
      <c r="F327">
        <v>0</v>
      </c>
      <c r="G327">
        <v>0</v>
      </c>
      <c r="H327">
        <v>2</v>
      </c>
    </row>
    <row r="328" spans="2:8">
      <c r="B328" t="s">
        <v>5762</v>
      </c>
      <c r="C328">
        <v>217</v>
      </c>
      <c r="D328">
        <v>2</v>
      </c>
      <c r="E328">
        <v>0</v>
      </c>
      <c r="F328">
        <v>0</v>
      </c>
      <c r="G328">
        <v>0</v>
      </c>
      <c r="H328">
        <v>0</v>
      </c>
    </row>
    <row r="329" spans="2:8">
      <c r="B329" t="s">
        <v>5762</v>
      </c>
      <c r="C329">
        <v>217</v>
      </c>
      <c r="D329">
        <v>1</v>
      </c>
      <c r="E329">
        <v>0</v>
      </c>
      <c r="F329">
        <v>0</v>
      </c>
      <c r="G329">
        <v>0</v>
      </c>
      <c r="H329">
        <v>0</v>
      </c>
    </row>
    <row r="330" spans="2:8">
      <c r="B330" t="s">
        <v>5762</v>
      </c>
      <c r="C330">
        <v>218</v>
      </c>
      <c r="D330">
        <v>2</v>
      </c>
      <c r="E330">
        <v>0</v>
      </c>
      <c r="F330">
        <v>0</v>
      </c>
      <c r="G330">
        <v>0</v>
      </c>
      <c r="H330">
        <v>0</v>
      </c>
    </row>
    <row r="331" spans="2:8">
      <c r="B331" t="s">
        <v>5762</v>
      </c>
      <c r="C331">
        <v>218</v>
      </c>
      <c r="D331">
        <v>6</v>
      </c>
      <c r="E331">
        <v>0</v>
      </c>
      <c r="F331">
        <v>0</v>
      </c>
      <c r="G331">
        <v>0</v>
      </c>
      <c r="H331">
        <v>0</v>
      </c>
    </row>
    <row r="332" spans="2:8">
      <c r="B332" t="s">
        <v>5762</v>
      </c>
      <c r="C332">
        <v>218</v>
      </c>
      <c r="D332">
        <v>1</v>
      </c>
      <c r="E332">
        <v>0</v>
      </c>
      <c r="F332">
        <v>0</v>
      </c>
      <c r="G332">
        <v>0</v>
      </c>
      <c r="H332">
        <v>0</v>
      </c>
    </row>
    <row r="333" spans="2:8">
      <c r="B333" t="s">
        <v>5762</v>
      </c>
      <c r="C333">
        <v>219</v>
      </c>
      <c r="D333">
        <v>10</v>
      </c>
      <c r="E333">
        <v>0</v>
      </c>
      <c r="F333">
        <v>0</v>
      </c>
      <c r="G333">
        <v>0</v>
      </c>
      <c r="H333">
        <v>0</v>
      </c>
    </row>
    <row r="334" spans="2:8">
      <c r="B334" t="s">
        <v>5762</v>
      </c>
      <c r="C334">
        <v>219</v>
      </c>
      <c r="D334">
        <v>3</v>
      </c>
      <c r="E334">
        <v>0</v>
      </c>
      <c r="F334">
        <v>0</v>
      </c>
      <c r="G334">
        <v>0</v>
      </c>
      <c r="H334">
        <v>0</v>
      </c>
    </row>
    <row r="335" spans="2:8">
      <c r="B335" t="s">
        <v>5762</v>
      </c>
      <c r="C335">
        <v>220</v>
      </c>
      <c r="D335">
        <v>4</v>
      </c>
      <c r="E335">
        <v>0</v>
      </c>
      <c r="F335">
        <v>0</v>
      </c>
      <c r="G335">
        <v>0</v>
      </c>
      <c r="H335">
        <v>0</v>
      </c>
    </row>
    <row r="336" spans="2:8">
      <c r="B336" t="s">
        <v>5762</v>
      </c>
      <c r="C336">
        <v>221</v>
      </c>
      <c r="D336">
        <v>5</v>
      </c>
      <c r="E336">
        <v>0</v>
      </c>
      <c r="F336">
        <v>0</v>
      </c>
      <c r="G336">
        <v>0</v>
      </c>
      <c r="H336">
        <v>0</v>
      </c>
    </row>
    <row r="337" spans="2:8">
      <c r="B337" t="s">
        <v>5762</v>
      </c>
      <c r="C337">
        <v>221</v>
      </c>
      <c r="D337">
        <v>2</v>
      </c>
      <c r="E337">
        <v>0</v>
      </c>
      <c r="F337">
        <v>0</v>
      </c>
      <c r="G337">
        <v>0</v>
      </c>
      <c r="H337">
        <v>0</v>
      </c>
    </row>
    <row r="338" spans="2:8">
      <c r="B338" t="s">
        <v>5762</v>
      </c>
      <c r="C338">
        <v>224</v>
      </c>
      <c r="D338">
        <v>6</v>
      </c>
      <c r="E338">
        <v>0</v>
      </c>
      <c r="F338">
        <v>0</v>
      </c>
      <c r="G338">
        <v>0</v>
      </c>
      <c r="H338">
        <v>0</v>
      </c>
    </row>
    <row r="339" spans="2:8">
      <c r="B339" t="s">
        <v>5762</v>
      </c>
      <c r="C339">
        <v>224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2:8">
      <c r="B340" t="s">
        <v>5762</v>
      </c>
      <c r="C340">
        <v>225</v>
      </c>
      <c r="D340">
        <v>3</v>
      </c>
      <c r="E340">
        <v>0</v>
      </c>
      <c r="F340">
        <v>0</v>
      </c>
      <c r="G340">
        <v>0</v>
      </c>
      <c r="H340">
        <v>0</v>
      </c>
    </row>
    <row r="341" spans="2:8">
      <c r="B341" t="s">
        <v>5762</v>
      </c>
      <c r="C341">
        <v>226</v>
      </c>
      <c r="D341">
        <v>5</v>
      </c>
      <c r="E341">
        <v>0</v>
      </c>
      <c r="F341">
        <v>0</v>
      </c>
      <c r="G341">
        <v>0</v>
      </c>
      <c r="H341">
        <v>0</v>
      </c>
    </row>
    <row r="342" spans="2:8">
      <c r="B342" t="s">
        <v>5762</v>
      </c>
      <c r="C342">
        <v>226</v>
      </c>
      <c r="D342">
        <v>5</v>
      </c>
      <c r="E342">
        <v>0</v>
      </c>
      <c r="F342">
        <v>0</v>
      </c>
      <c r="G342">
        <v>0</v>
      </c>
      <c r="H342">
        <v>0</v>
      </c>
    </row>
    <row r="343" spans="2:8">
      <c r="B343" t="s">
        <v>5762</v>
      </c>
      <c r="C343">
        <v>227</v>
      </c>
      <c r="D343">
        <v>6</v>
      </c>
      <c r="E343">
        <v>2</v>
      </c>
      <c r="F343">
        <v>0</v>
      </c>
      <c r="G343">
        <v>0</v>
      </c>
      <c r="H343">
        <v>2</v>
      </c>
    </row>
    <row r="344" spans="2:8">
      <c r="B344" t="s">
        <v>5762</v>
      </c>
      <c r="C344">
        <v>227</v>
      </c>
      <c r="D344">
        <v>6</v>
      </c>
      <c r="E344">
        <v>0</v>
      </c>
      <c r="F344">
        <v>0</v>
      </c>
      <c r="G344">
        <v>0</v>
      </c>
      <c r="H344">
        <v>0</v>
      </c>
    </row>
    <row r="345" spans="2:8">
      <c r="B345" t="s">
        <v>5762</v>
      </c>
      <c r="C345">
        <v>227</v>
      </c>
      <c r="D345">
        <v>5</v>
      </c>
      <c r="E345">
        <v>0</v>
      </c>
      <c r="F345">
        <v>0</v>
      </c>
      <c r="G345">
        <v>0</v>
      </c>
      <c r="H345">
        <v>0</v>
      </c>
    </row>
    <row r="346" spans="2:8">
      <c r="B346" t="s">
        <v>5762</v>
      </c>
      <c r="C346">
        <v>227</v>
      </c>
      <c r="D346">
        <v>3</v>
      </c>
      <c r="E346">
        <v>0</v>
      </c>
      <c r="F346">
        <v>0</v>
      </c>
      <c r="G346">
        <v>0</v>
      </c>
      <c r="H346">
        <v>0</v>
      </c>
    </row>
    <row r="347" spans="2:8">
      <c r="B347" t="s">
        <v>5762</v>
      </c>
      <c r="C347">
        <v>228</v>
      </c>
      <c r="D347">
        <v>3</v>
      </c>
      <c r="E347">
        <v>0</v>
      </c>
      <c r="F347">
        <v>0</v>
      </c>
      <c r="G347">
        <v>0</v>
      </c>
      <c r="H347">
        <v>0</v>
      </c>
    </row>
    <row r="348" spans="2:8">
      <c r="B348" t="s">
        <v>5762</v>
      </c>
      <c r="C348">
        <v>229</v>
      </c>
      <c r="D348">
        <v>9</v>
      </c>
      <c r="E348">
        <v>0</v>
      </c>
      <c r="F348">
        <v>0</v>
      </c>
      <c r="G348">
        <v>0</v>
      </c>
      <c r="H348">
        <v>0</v>
      </c>
    </row>
    <row r="349" spans="2:8">
      <c r="B349" t="s">
        <v>5762</v>
      </c>
      <c r="C349">
        <v>229</v>
      </c>
      <c r="D349">
        <v>5</v>
      </c>
      <c r="E349">
        <v>0</v>
      </c>
      <c r="F349">
        <v>0</v>
      </c>
      <c r="G349">
        <v>0</v>
      </c>
      <c r="H349">
        <v>0</v>
      </c>
    </row>
    <row r="350" spans="2:8">
      <c r="B350" t="s">
        <v>5762</v>
      </c>
      <c r="C350">
        <v>229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2:8">
      <c r="B351" t="s">
        <v>5762</v>
      </c>
      <c r="C351">
        <v>230</v>
      </c>
      <c r="D351">
        <v>14</v>
      </c>
      <c r="E351">
        <v>0</v>
      </c>
      <c r="F351">
        <v>0</v>
      </c>
      <c r="G351">
        <v>0</v>
      </c>
      <c r="H351">
        <v>0</v>
      </c>
    </row>
    <row r="352" spans="2:8">
      <c r="B352" t="s">
        <v>5762</v>
      </c>
      <c r="C352">
        <v>230</v>
      </c>
      <c r="D352">
        <v>8</v>
      </c>
      <c r="E352">
        <v>0</v>
      </c>
      <c r="F352">
        <v>0</v>
      </c>
      <c r="G352">
        <v>0</v>
      </c>
      <c r="H352">
        <v>0</v>
      </c>
    </row>
    <row r="353" spans="2:8">
      <c r="B353" t="s">
        <v>5762</v>
      </c>
      <c r="C353">
        <v>231</v>
      </c>
      <c r="D353">
        <v>7</v>
      </c>
      <c r="E353">
        <v>0</v>
      </c>
      <c r="F353">
        <v>0</v>
      </c>
      <c r="G353">
        <v>0</v>
      </c>
      <c r="H353">
        <v>0</v>
      </c>
    </row>
    <row r="354" spans="2:8">
      <c r="B354" t="s">
        <v>5762</v>
      </c>
      <c r="C354">
        <v>232</v>
      </c>
      <c r="D354">
        <v>4</v>
      </c>
      <c r="E354">
        <v>0</v>
      </c>
      <c r="F354">
        <v>0</v>
      </c>
      <c r="G354">
        <v>0</v>
      </c>
      <c r="H354">
        <v>0</v>
      </c>
    </row>
    <row r="355" spans="2:8">
      <c r="B355" t="s">
        <v>5762</v>
      </c>
      <c r="C355">
        <v>233</v>
      </c>
      <c r="D355">
        <v>8</v>
      </c>
      <c r="E355">
        <v>0</v>
      </c>
      <c r="F355">
        <v>0</v>
      </c>
      <c r="G355">
        <v>0</v>
      </c>
      <c r="H355">
        <v>0</v>
      </c>
    </row>
    <row r="356" spans="2:8">
      <c r="B356" t="s">
        <v>5762</v>
      </c>
      <c r="C356">
        <v>233</v>
      </c>
      <c r="D356">
        <v>3</v>
      </c>
      <c r="E356">
        <v>0</v>
      </c>
      <c r="F356">
        <v>0</v>
      </c>
      <c r="G356">
        <v>0</v>
      </c>
      <c r="H356">
        <v>0</v>
      </c>
    </row>
    <row r="357" spans="2:8">
      <c r="B357" t="s">
        <v>5762</v>
      </c>
      <c r="C357">
        <v>233</v>
      </c>
      <c r="D357">
        <v>2</v>
      </c>
      <c r="E357">
        <v>0</v>
      </c>
      <c r="F357">
        <v>0</v>
      </c>
      <c r="G357">
        <v>0</v>
      </c>
      <c r="H357">
        <v>0</v>
      </c>
    </row>
    <row r="358" spans="2:8">
      <c r="B358" t="s">
        <v>5762</v>
      </c>
      <c r="C358">
        <v>234</v>
      </c>
      <c r="D358">
        <v>12</v>
      </c>
      <c r="E358">
        <v>2</v>
      </c>
      <c r="F358">
        <v>0</v>
      </c>
      <c r="G358">
        <v>2</v>
      </c>
      <c r="H358">
        <v>0</v>
      </c>
    </row>
    <row r="359" spans="2:8">
      <c r="B359" t="s">
        <v>5762</v>
      </c>
      <c r="C359">
        <v>235</v>
      </c>
      <c r="D359">
        <v>5</v>
      </c>
      <c r="E359">
        <v>0</v>
      </c>
      <c r="F359">
        <v>0</v>
      </c>
      <c r="G359">
        <v>0</v>
      </c>
      <c r="H359">
        <v>0</v>
      </c>
    </row>
    <row r="360" spans="2:8">
      <c r="B360" t="s">
        <v>5762</v>
      </c>
      <c r="C360">
        <v>235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2:8">
      <c r="B361" t="s">
        <v>5762</v>
      </c>
      <c r="C361">
        <v>236</v>
      </c>
      <c r="D361">
        <v>2</v>
      </c>
      <c r="E361">
        <v>0</v>
      </c>
      <c r="F361">
        <v>0</v>
      </c>
      <c r="G361">
        <v>0</v>
      </c>
      <c r="H361">
        <v>0</v>
      </c>
    </row>
    <row r="362" spans="2:8">
      <c r="B362" t="s">
        <v>5762</v>
      </c>
      <c r="C362">
        <v>237</v>
      </c>
      <c r="D362">
        <v>7</v>
      </c>
      <c r="E362">
        <v>0</v>
      </c>
      <c r="F362">
        <v>0</v>
      </c>
      <c r="G362">
        <v>0</v>
      </c>
      <c r="H362">
        <v>0</v>
      </c>
    </row>
    <row r="363" spans="2:8">
      <c r="B363" t="s">
        <v>5762</v>
      </c>
      <c r="C363">
        <v>239</v>
      </c>
      <c r="D363">
        <v>7</v>
      </c>
      <c r="E363">
        <v>2</v>
      </c>
      <c r="F363">
        <v>0</v>
      </c>
      <c r="G363">
        <v>0</v>
      </c>
      <c r="H363">
        <v>2</v>
      </c>
    </row>
    <row r="364" spans="2:8">
      <c r="B364" t="s">
        <v>5762</v>
      </c>
      <c r="C364">
        <v>240</v>
      </c>
      <c r="D364">
        <v>5</v>
      </c>
      <c r="E364">
        <v>2</v>
      </c>
      <c r="F364">
        <v>0</v>
      </c>
      <c r="G364">
        <v>2</v>
      </c>
      <c r="H364">
        <v>0</v>
      </c>
    </row>
    <row r="365" spans="2:8">
      <c r="B365" t="s">
        <v>5762</v>
      </c>
      <c r="C365">
        <v>240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2:8">
      <c r="B366" t="s">
        <v>5762</v>
      </c>
      <c r="C366">
        <v>241</v>
      </c>
      <c r="D366">
        <v>11</v>
      </c>
      <c r="E366">
        <v>2</v>
      </c>
      <c r="F366">
        <v>0</v>
      </c>
      <c r="G366">
        <v>2</v>
      </c>
      <c r="H366">
        <v>0</v>
      </c>
    </row>
    <row r="367" spans="2:8">
      <c r="B367" t="s">
        <v>5762</v>
      </c>
      <c r="C367">
        <v>241</v>
      </c>
      <c r="D367">
        <v>5</v>
      </c>
      <c r="E367">
        <v>0</v>
      </c>
      <c r="F367">
        <v>0</v>
      </c>
      <c r="G367">
        <v>0</v>
      </c>
      <c r="H367">
        <v>0</v>
      </c>
    </row>
    <row r="368" spans="2:8">
      <c r="B368" t="s">
        <v>5762</v>
      </c>
      <c r="C368">
        <v>244</v>
      </c>
      <c r="D368">
        <v>8</v>
      </c>
      <c r="E368">
        <v>0</v>
      </c>
      <c r="F368">
        <v>0</v>
      </c>
      <c r="G368">
        <v>0</v>
      </c>
      <c r="H368">
        <v>0</v>
      </c>
    </row>
    <row r="369" spans="2:8">
      <c r="B369" t="s">
        <v>5762</v>
      </c>
      <c r="C369">
        <v>244</v>
      </c>
      <c r="D369">
        <v>2</v>
      </c>
      <c r="E369">
        <v>0</v>
      </c>
      <c r="F369">
        <v>0</v>
      </c>
      <c r="G369">
        <v>0</v>
      </c>
      <c r="H369">
        <v>0</v>
      </c>
    </row>
    <row r="370" spans="2:8">
      <c r="B370" t="s">
        <v>5762</v>
      </c>
      <c r="C370">
        <v>245</v>
      </c>
      <c r="D370">
        <v>3</v>
      </c>
      <c r="E370">
        <v>0</v>
      </c>
      <c r="F370">
        <v>0</v>
      </c>
      <c r="G370">
        <v>0</v>
      </c>
      <c r="H370">
        <v>0</v>
      </c>
    </row>
    <row r="371" spans="2:8">
      <c r="B371" t="s">
        <v>5762</v>
      </c>
      <c r="C371">
        <v>246</v>
      </c>
      <c r="D371">
        <v>23</v>
      </c>
      <c r="E371">
        <v>4</v>
      </c>
      <c r="F371">
        <v>0</v>
      </c>
      <c r="G371">
        <v>0</v>
      </c>
      <c r="H371">
        <v>4</v>
      </c>
    </row>
    <row r="372" spans="2:8">
      <c r="B372" t="s">
        <v>5762</v>
      </c>
      <c r="C372">
        <v>246</v>
      </c>
      <c r="D372">
        <v>11</v>
      </c>
      <c r="E372">
        <v>0</v>
      </c>
      <c r="F372">
        <v>0</v>
      </c>
      <c r="G372">
        <v>0</v>
      </c>
      <c r="H372">
        <v>0</v>
      </c>
    </row>
    <row r="373" spans="2:8">
      <c r="B373" t="s">
        <v>5762</v>
      </c>
      <c r="C373">
        <v>246</v>
      </c>
      <c r="D373">
        <v>2</v>
      </c>
      <c r="E373">
        <v>0</v>
      </c>
      <c r="F373">
        <v>0</v>
      </c>
      <c r="G373">
        <v>0</v>
      </c>
      <c r="H373">
        <v>0</v>
      </c>
    </row>
    <row r="374" spans="2:8">
      <c r="B374" t="s">
        <v>5762</v>
      </c>
      <c r="C374">
        <v>246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2:8">
      <c r="B375" t="s">
        <v>5762</v>
      </c>
      <c r="C375">
        <v>247</v>
      </c>
      <c r="D375">
        <v>12</v>
      </c>
      <c r="E375">
        <v>0</v>
      </c>
      <c r="F375">
        <v>0</v>
      </c>
      <c r="G375">
        <v>0</v>
      </c>
      <c r="H375">
        <v>0</v>
      </c>
    </row>
    <row r="376" spans="2:8">
      <c r="B376" t="s">
        <v>5762</v>
      </c>
      <c r="C376">
        <v>247</v>
      </c>
      <c r="D376">
        <v>3</v>
      </c>
      <c r="E376">
        <v>0</v>
      </c>
      <c r="F376">
        <v>0</v>
      </c>
      <c r="G376">
        <v>0</v>
      </c>
      <c r="H376">
        <v>0</v>
      </c>
    </row>
    <row r="377" spans="2:8">
      <c r="B377" t="s">
        <v>5762</v>
      </c>
      <c r="C377">
        <v>248</v>
      </c>
      <c r="D377">
        <v>8</v>
      </c>
      <c r="E377">
        <v>0</v>
      </c>
      <c r="F377">
        <v>0</v>
      </c>
      <c r="G377">
        <v>0</v>
      </c>
      <c r="H377">
        <v>0</v>
      </c>
    </row>
    <row r="378" spans="2:8">
      <c r="B378" t="s">
        <v>5762</v>
      </c>
      <c r="C378">
        <v>249</v>
      </c>
      <c r="D378">
        <v>7</v>
      </c>
      <c r="E378">
        <v>0</v>
      </c>
      <c r="F378">
        <v>0</v>
      </c>
      <c r="G378">
        <v>0</v>
      </c>
      <c r="H378">
        <v>0</v>
      </c>
    </row>
    <row r="379" spans="2:8">
      <c r="B379" t="s">
        <v>5762</v>
      </c>
      <c r="C379">
        <v>249</v>
      </c>
      <c r="D379">
        <v>3</v>
      </c>
      <c r="E379">
        <v>0</v>
      </c>
      <c r="F379">
        <v>0</v>
      </c>
      <c r="G379">
        <v>0</v>
      </c>
      <c r="H379">
        <v>0</v>
      </c>
    </row>
    <row r="380" spans="2:8">
      <c r="B380" t="s">
        <v>5762</v>
      </c>
      <c r="C380">
        <v>249</v>
      </c>
      <c r="D380">
        <v>2</v>
      </c>
      <c r="E380">
        <v>0</v>
      </c>
      <c r="F380">
        <v>0</v>
      </c>
      <c r="G380">
        <v>0</v>
      </c>
      <c r="H380">
        <v>0</v>
      </c>
    </row>
    <row r="381" spans="2:8">
      <c r="B381" t="s">
        <v>5762</v>
      </c>
      <c r="C381">
        <v>250</v>
      </c>
      <c r="D381">
        <v>5</v>
      </c>
      <c r="E381">
        <v>0</v>
      </c>
      <c r="F381">
        <v>0</v>
      </c>
      <c r="G381">
        <v>0</v>
      </c>
      <c r="H381">
        <v>0</v>
      </c>
    </row>
    <row r="382" spans="2:8">
      <c r="B382" t="s">
        <v>5762</v>
      </c>
      <c r="C382">
        <v>251</v>
      </c>
      <c r="D382">
        <v>5</v>
      </c>
      <c r="E382">
        <v>0</v>
      </c>
      <c r="F382">
        <v>0</v>
      </c>
      <c r="G382">
        <v>0</v>
      </c>
      <c r="H382">
        <v>0</v>
      </c>
    </row>
    <row r="383" spans="2:8">
      <c r="B383" t="s">
        <v>5762</v>
      </c>
      <c r="C383">
        <v>251</v>
      </c>
      <c r="D383">
        <v>6</v>
      </c>
      <c r="E383">
        <v>0</v>
      </c>
      <c r="F383">
        <v>0</v>
      </c>
      <c r="G383">
        <v>0</v>
      </c>
      <c r="H383">
        <v>0</v>
      </c>
    </row>
    <row r="384" spans="2:8">
      <c r="B384" t="s">
        <v>5762</v>
      </c>
      <c r="C384">
        <v>251</v>
      </c>
      <c r="D384">
        <v>7</v>
      </c>
      <c r="E384">
        <v>0</v>
      </c>
      <c r="F384">
        <v>0</v>
      </c>
      <c r="G384">
        <v>0</v>
      </c>
      <c r="H384">
        <v>0</v>
      </c>
    </row>
    <row r="385" spans="2:8">
      <c r="B385" t="s">
        <v>5762</v>
      </c>
      <c r="C385">
        <v>251</v>
      </c>
      <c r="D385">
        <v>4</v>
      </c>
      <c r="E385">
        <v>2</v>
      </c>
      <c r="F385">
        <v>0</v>
      </c>
      <c r="G385">
        <v>0</v>
      </c>
      <c r="H385">
        <v>2</v>
      </c>
    </row>
    <row r="386" spans="2:8">
      <c r="B386" t="s">
        <v>5762</v>
      </c>
      <c r="C386">
        <v>253</v>
      </c>
      <c r="D386">
        <v>4</v>
      </c>
      <c r="E386">
        <v>2</v>
      </c>
      <c r="F386">
        <v>0</v>
      </c>
      <c r="G386">
        <v>2</v>
      </c>
      <c r="H386">
        <v>0</v>
      </c>
    </row>
    <row r="387" spans="2:8">
      <c r="B387" t="s">
        <v>5762</v>
      </c>
      <c r="C387">
        <v>254</v>
      </c>
      <c r="D387">
        <v>12</v>
      </c>
      <c r="E387">
        <v>0</v>
      </c>
      <c r="F387">
        <v>0</v>
      </c>
      <c r="G387">
        <v>0</v>
      </c>
      <c r="H387">
        <v>0</v>
      </c>
    </row>
    <row r="388" spans="2:8">
      <c r="B388" t="s">
        <v>5762</v>
      </c>
      <c r="C388">
        <v>254</v>
      </c>
      <c r="D388">
        <v>13</v>
      </c>
      <c r="E388">
        <v>2</v>
      </c>
      <c r="F388">
        <v>0</v>
      </c>
      <c r="G388">
        <v>0</v>
      </c>
      <c r="H388">
        <v>2</v>
      </c>
    </row>
    <row r="389" spans="2:8">
      <c r="B389" t="s">
        <v>5762</v>
      </c>
      <c r="C389">
        <v>254</v>
      </c>
      <c r="D389">
        <v>8</v>
      </c>
      <c r="E389">
        <v>0</v>
      </c>
      <c r="F389">
        <v>0</v>
      </c>
      <c r="G389">
        <v>0</v>
      </c>
      <c r="H389">
        <v>0</v>
      </c>
    </row>
    <row r="390" spans="2:8">
      <c r="B390" t="s">
        <v>5762</v>
      </c>
      <c r="C390">
        <v>254</v>
      </c>
      <c r="D390">
        <v>1</v>
      </c>
      <c r="E390">
        <v>0</v>
      </c>
      <c r="F390">
        <v>0</v>
      </c>
      <c r="G390">
        <v>0</v>
      </c>
      <c r="H390">
        <v>0</v>
      </c>
    </row>
    <row r="391" spans="2:8">
      <c r="B391" t="s">
        <v>5762</v>
      </c>
      <c r="C391">
        <v>255</v>
      </c>
      <c r="D391">
        <v>15</v>
      </c>
      <c r="E391">
        <v>0</v>
      </c>
      <c r="F391">
        <v>0</v>
      </c>
      <c r="G391">
        <v>0</v>
      </c>
      <c r="H391">
        <v>0</v>
      </c>
    </row>
    <row r="392" spans="2:8">
      <c r="B392" t="s">
        <v>5762</v>
      </c>
      <c r="C392">
        <v>255</v>
      </c>
      <c r="D392">
        <v>6</v>
      </c>
      <c r="E392">
        <v>0</v>
      </c>
      <c r="F392">
        <v>0</v>
      </c>
      <c r="G392">
        <v>0</v>
      </c>
      <c r="H392">
        <v>0</v>
      </c>
    </row>
    <row r="393" spans="2:8">
      <c r="B393" t="s">
        <v>5762</v>
      </c>
      <c r="C393">
        <v>255</v>
      </c>
      <c r="D393">
        <v>3</v>
      </c>
      <c r="E393">
        <v>0</v>
      </c>
      <c r="F393">
        <v>0</v>
      </c>
      <c r="G393">
        <v>0</v>
      </c>
      <c r="H393">
        <v>0</v>
      </c>
    </row>
    <row r="394" spans="2:8">
      <c r="B394" t="s">
        <v>5762</v>
      </c>
      <c r="C394">
        <v>255</v>
      </c>
      <c r="D394">
        <v>2</v>
      </c>
      <c r="E394">
        <v>0</v>
      </c>
      <c r="F394">
        <v>0</v>
      </c>
      <c r="G394">
        <v>0</v>
      </c>
      <c r="H394">
        <v>0</v>
      </c>
    </row>
    <row r="395" spans="2:8">
      <c r="B395" t="s">
        <v>5762</v>
      </c>
      <c r="C395">
        <v>255</v>
      </c>
      <c r="D395">
        <v>1</v>
      </c>
      <c r="E395">
        <v>0</v>
      </c>
      <c r="F395">
        <v>0</v>
      </c>
      <c r="G395">
        <v>0</v>
      </c>
      <c r="H395">
        <v>0</v>
      </c>
    </row>
    <row r="396" spans="2:8">
      <c r="B396" t="s">
        <v>5762</v>
      </c>
      <c r="C396">
        <v>256</v>
      </c>
      <c r="D396">
        <v>18</v>
      </c>
      <c r="E396">
        <v>0</v>
      </c>
      <c r="F396">
        <v>0</v>
      </c>
      <c r="G396">
        <v>0</v>
      </c>
      <c r="H396">
        <v>0</v>
      </c>
    </row>
    <row r="397" spans="2:8">
      <c r="B397" t="s">
        <v>5762</v>
      </c>
      <c r="C397">
        <v>256</v>
      </c>
      <c r="D397">
        <v>10</v>
      </c>
      <c r="E397">
        <v>0</v>
      </c>
      <c r="F397">
        <v>0</v>
      </c>
      <c r="G397">
        <v>0</v>
      </c>
      <c r="H397">
        <v>0</v>
      </c>
    </row>
    <row r="398" spans="2:8">
      <c r="B398" t="s">
        <v>5762</v>
      </c>
      <c r="C398">
        <v>256</v>
      </c>
      <c r="D398">
        <v>15</v>
      </c>
      <c r="E398">
        <v>4</v>
      </c>
      <c r="F398">
        <v>0</v>
      </c>
      <c r="G398">
        <v>2</v>
      </c>
      <c r="H398">
        <v>2</v>
      </c>
    </row>
    <row r="399" spans="2:8">
      <c r="B399" t="s">
        <v>5762</v>
      </c>
      <c r="C399">
        <v>257</v>
      </c>
      <c r="D399">
        <v>7</v>
      </c>
      <c r="E399">
        <v>0</v>
      </c>
      <c r="F399">
        <v>0</v>
      </c>
      <c r="G399">
        <v>0</v>
      </c>
      <c r="H399">
        <v>0</v>
      </c>
    </row>
    <row r="400" spans="2:8">
      <c r="B400" t="s">
        <v>5762</v>
      </c>
      <c r="C400">
        <v>257</v>
      </c>
      <c r="D400">
        <v>11</v>
      </c>
      <c r="E400">
        <v>2</v>
      </c>
      <c r="F400">
        <v>0</v>
      </c>
      <c r="G400">
        <v>2</v>
      </c>
      <c r="H400">
        <v>0</v>
      </c>
    </row>
    <row r="401" spans="2:8">
      <c r="B401" t="s">
        <v>5762</v>
      </c>
      <c r="C401">
        <v>257</v>
      </c>
      <c r="D401">
        <v>12</v>
      </c>
      <c r="E401">
        <v>2</v>
      </c>
      <c r="F401">
        <v>0</v>
      </c>
      <c r="G401">
        <v>2</v>
      </c>
      <c r="H401">
        <v>0</v>
      </c>
    </row>
    <row r="402" spans="2:8">
      <c r="B402" t="s">
        <v>5762</v>
      </c>
      <c r="C402">
        <v>257</v>
      </c>
      <c r="D402">
        <v>12</v>
      </c>
      <c r="E402">
        <v>2</v>
      </c>
      <c r="F402">
        <v>0</v>
      </c>
      <c r="G402">
        <v>0</v>
      </c>
      <c r="H402">
        <v>2</v>
      </c>
    </row>
    <row r="403" spans="2:8">
      <c r="B403" t="s">
        <v>5762</v>
      </c>
      <c r="C403">
        <v>257</v>
      </c>
      <c r="D403">
        <v>8</v>
      </c>
      <c r="E403">
        <v>2</v>
      </c>
      <c r="F403">
        <v>0</v>
      </c>
      <c r="G403">
        <v>2</v>
      </c>
      <c r="H403">
        <v>0</v>
      </c>
    </row>
    <row r="404" spans="2:8">
      <c r="B404" t="s">
        <v>5762</v>
      </c>
      <c r="C404">
        <v>257</v>
      </c>
      <c r="D404">
        <v>8</v>
      </c>
      <c r="E404">
        <v>0</v>
      </c>
      <c r="F404">
        <v>0</v>
      </c>
      <c r="G404">
        <v>0</v>
      </c>
      <c r="H404">
        <v>0</v>
      </c>
    </row>
    <row r="405" spans="2:8">
      <c r="B405" t="s">
        <v>5762</v>
      </c>
      <c r="C405">
        <v>257</v>
      </c>
      <c r="D405">
        <v>5</v>
      </c>
      <c r="E405">
        <v>0</v>
      </c>
      <c r="F405">
        <v>0</v>
      </c>
      <c r="G405">
        <v>0</v>
      </c>
      <c r="H405">
        <v>0</v>
      </c>
    </row>
    <row r="406" spans="2:8">
      <c r="B406" t="s">
        <v>5762</v>
      </c>
      <c r="C406">
        <v>258</v>
      </c>
      <c r="D406">
        <v>2</v>
      </c>
      <c r="E406">
        <v>0</v>
      </c>
      <c r="F406">
        <v>0</v>
      </c>
      <c r="G406">
        <v>0</v>
      </c>
      <c r="H406">
        <v>0</v>
      </c>
    </row>
    <row r="407" spans="2:8">
      <c r="B407" t="s">
        <v>5762</v>
      </c>
      <c r="C407">
        <v>259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2:8">
      <c r="B408" t="s">
        <v>5762</v>
      </c>
      <c r="C408">
        <v>260</v>
      </c>
      <c r="D408">
        <v>8</v>
      </c>
      <c r="E408">
        <v>2</v>
      </c>
      <c r="F408">
        <v>0</v>
      </c>
      <c r="G408">
        <v>0</v>
      </c>
      <c r="H408">
        <v>2</v>
      </c>
    </row>
    <row r="409" spans="2:8">
      <c r="B409" t="s">
        <v>5762</v>
      </c>
      <c r="C409">
        <v>260</v>
      </c>
      <c r="D409">
        <v>1</v>
      </c>
      <c r="E409">
        <v>0</v>
      </c>
      <c r="F409">
        <v>0</v>
      </c>
      <c r="G409">
        <v>0</v>
      </c>
      <c r="H409">
        <v>0</v>
      </c>
    </row>
    <row r="410" spans="2:8">
      <c r="B410" t="s">
        <v>5762</v>
      </c>
      <c r="C410">
        <v>261</v>
      </c>
      <c r="D410">
        <v>4</v>
      </c>
      <c r="E410">
        <v>2</v>
      </c>
      <c r="F410">
        <v>0</v>
      </c>
      <c r="G410">
        <v>2</v>
      </c>
      <c r="H410">
        <v>0</v>
      </c>
    </row>
    <row r="411" spans="2:8">
      <c r="B411" t="s">
        <v>5762</v>
      </c>
      <c r="C411">
        <v>261</v>
      </c>
      <c r="D411">
        <v>2</v>
      </c>
      <c r="E411">
        <v>0</v>
      </c>
      <c r="F411">
        <v>0</v>
      </c>
      <c r="G411">
        <v>0</v>
      </c>
      <c r="H411">
        <v>0</v>
      </c>
    </row>
    <row r="412" spans="2:8">
      <c r="B412" t="s">
        <v>5762</v>
      </c>
      <c r="C412">
        <v>262</v>
      </c>
      <c r="D412">
        <v>5</v>
      </c>
      <c r="E412">
        <v>0</v>
      </c>
      <c r="F412">
        <v>0</v>
      </c>
      <c r="G412">
        <v>0</v>
      </c>
      <c r="H412">
        <v>0</v>
      </c>
    </row>
    <row r="413" spans="2:8">
      <c r="B413" t="s">
        <v>5762</v>
      </c>
      <c r="C413">
        <v>262</v>
      </c>
      <c r="D413">
        <v>4</v>
      </c>
      <c r="E413">
        <v>0</v>
      </c>
      <c r="F413">
        <v>0</v>
      </c>
      <c r="G413">
        <v>0</v>
      </c>
      <c r="H413">
        <v>0</v>
      </c>
    </row>
    <row r="414" spans="2:8">
      <c r="B414" t="s">
        <v>5762</v>
      </c>
      <c r="C414">
        <v>263</v>
      </c>
      <c r="D414">
        <v>4</v>
      </c>
      <c r="E414">
        <v>0</v>
      </c>
      <c r="F414">
        <v>0</v>
      </c>
      <c r="G414">
        <v>0</v>
      </c>
      <c r="H414">
        <v>0</v>
      </c>
    </row>
    <row r="415" spans="2:8">
      <c r="B415" t="s">
        <v>5762</v>
      </c>
      <c r="C415">
        <v>264</v>
      </c>
      <c r="D415">
        <v>8</v>
      </c>
      <c r="E415">
        <v>0</v>
      </c>
      <c r="F415">
        <v>0</v>
      </c>
      <c r="G415">
        <v>0</v>
      </c>
      <c r="H415">
        <v>0</v>
      </c>
    </row>
    <row r="416" spans="2:8">
      <c r="B416" t="s">
        <v>5762</v>
      </c>
      <c r="C416">
        <v>266</v>
      </c>
      <c r="D416">
        <v>1</v>
      </c>
      <c r="E416">
        <v>0</v>
      </c>
      <c r="F416">
        <v>0</v>
      </c>
      <c r="G416">
        <v>0</v>
      </c>
      <c r="H416">
        <v>0</v>
      </c>
    </row>
    <row r="417" spans="2:8">
      <c r="B417" t="s">
        <v>5762</v>
      </c>
      <c r="C417">
        <v>267</v>
      </c>
      <c r="D417">
        <v>18</v>
      </c>
      <c r="E417">
        <v>0</v>
      </c>
      <c r="F417">
        <v>0</v>
      </c>
      <c r="G417">
        <v>0</v>
      </c>
      <c r="H417">
        <v>0</v>
      </c>
    </row>
    <row r="418" spans="2:8">
      <c r="B418" t="s">
        <v>5762</v>
      </c>
      <c r="C418">
        <v>267</v>
      </c>
      <c r="D418">
        <v>2</v>
      </c>
      <c r="E418">
        <v>0</v>
      </c>
      <c r="F418">
        <v>0</v>
      </c>
      <c r="G418">
        <v>0</v>
      </c>
      <c r="H418">
        <v>0</v>
      </c>
    </row>
    <row r="419" spans="2:8">
      <c r="B419" t="s">
        <v>5762</v>
      </c>
      <c r="C419">
        <v>268</v>
      </c>
      <c r="D419">
        <v>6</v>
      </c>
      <c r="E419">
        <v>0</v>
      </c>
      <c r="F419">
        <v>0</v>
      </c>
      <c r="G419">
        <v>0</v>
      </c>
      <c r="H419">
        <v>0</v>
      </c>
    </row>
    <row r="420" spans="2:8">
      <c r="B420" t="s">
        <v>5762</v>
      </c>
      <c r="C420">
        <v>269</v>
      </c>
      <c r="D420">
        <v>9</v>
      </c>
      <c r="E420">
        <v>0</v>
      </c>
      <c r="F420">
        <v>0</v>
      </c>
      <c r="G420">
        <v>0</v>
      </c>
      <c r="H420">
        <v>0</v>
      </c>
    </row>
    <row r="421" spans="2:8">
      <c r="B421" t="s">
        <v>5762</v>
      </c>
      <c r="C421">
        <v>269</v>
      </c>
      <c r="D421">
        <v>5</v>
      </c>
      <c r="E421">
        <v>0</v>
      </c>
      <c r="F421">
        <v>0</v>
      </c>
      <c r="G421">
        <v>0</v>
      </c>
      <c r="H421">
        <v>0</v>
      </c>
    </row>
    <row r="422" spans="2:8">
      <c r="B422" t="s">
        <v>5762</v>
      </c>
      <c r="C422">
        <v>269</v>
      </c>
      <c r="D422">
        <v>3</v>
      </c>
      <c r="E422">
        <v>0</v>
      </c>
      <c r="F422">
        <v>0</v>
      </c>
      <c r="G422">
        <v>0</v>
      </c>
      <c r="H422">
        <v>0</v>
      </c>
    </row>
    <row r="423" spans="2:8">
      <c r="B423" t="s">
        <v>5762</v>
      </c>
      <c r="C423">
        <v>270</v>
      </c>
      <c r="D423">
        <v>12</v>
      </c>
      <c r="E423">
        <v>2</v>
      </c>
      <c r="F423">
        <v>0</v>
      </c>
      <c r="G423">
        <v>2</v>
      </c>
      <c r="H423">
        <v>0</v>
      </c>
    </row>
    <row r="424" spans="2:8">
      <c r="B424" t="s">
        <v>5762</v>
      </c>
      <c r="C424">
        <v>270</v>
      </c>
      <c r="D424">
        <v>1</v>
      </c>
      <c r="E424">
        <v>0</v>
      </c>
      <c r="F424">
        <v>0</v>
      </c>
      <c r="G424">
        <v>0</v>
      </c>
      <c r="H424">
        <v>0</v>
      </c>
    </row>
    <row r="425" spans="2:8">
      <c r="B425" t="s">
        <v>5762</v>
      </c>
      <c r="C425">
        <v>271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2:8">
      <c r="B426" t="s">
        <v>5762</v>
      </c>
      <c r="C426">
        <v>273</v>
      </c>
      <c r="D426">
        <v>13</v>
      </c>
      <c r="E426">
        <v>0</v>
      </c>
      <c r="F426">
        <v>0</v>
      </c>
      <c r="G426">
        <v>0</v>
      </c>
      <c r="H426">
        <v>0</v>
      </c>
    </row>
    <row r="427" spans="2:8">
      <c r="B427" t="s">
        <v>5762</v>
      </c>
      <c r="C427">
        <v>273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2:8">
      <c r="B428" t="s">
        <v>5762</v>
      </c>
      <c r="C428">
        <v>274</v>
      </c>
      <c r="D428">
        <v>5</v>
      </c>
      <c r="E428">
        <v>0</v>
      </c>
      <c r="F428">
        <v>0</v>
      </c>
      <c r="G428">
        <v>0</v>
      </c>
      <c r="H428">
        <v>0</v>
      </c>
    </row>
    <row r="429" spans="2:8">
      <c r="B429" t="s">
        <v>5762</v>
      </c>
      <c r="C429">
        <v>274</v>
      </c>
      <c r="D429">
        <v>2</v>
      </c>
      <c r="E429">
        <v>0</v>
      </c>
      <c r="F429">
        <v>0</v>
      </c>
      <c r="G429">
        <v>0</v>
      </c>
      <c r="H429">
        <v>0</v>
      </c>
    </row>
    <row r="430" spans="2:8">
      <c r="B430" t="s">
        <v>5762</v>
      </c>
      <c r="C430">
        <v>275</v>
      </c>
      <c r="D430">
        <v>10</v>
      </c>
      <c r="E430">
        <v>2</v>
      </c>
      <c r="F430">
        <v>0</v>
      </c>
      <c r="G430">
        <v>0</v>
      </c>
      <c r="H430">
        <v>2</v>
      </c>
    </row>
    <row r="431" spans="2:8">
      <c r="B431" t="s">
        <v>5762</v>
      </c>
      <c r="C431">
        <v>275</v>
      </c>
      <c r="D431">
        <v>3</v>
      </c>
      <c r="E431">
        <v>0</v>
      </c>
      <c r="F431">
        <v>0</v>
      </c>
      <c r="G431">
        <v>0</v>
      </c>
      <c r="H431">
        <v>0</v>
      </c>
    </row>
    <row r="432" spans="2:8">
      <c r="B432" t="s">
        <v>5762</v>
      </c>
      <c r="C432">
        <v>275</v>
      </c>
      <c r="D432">
        <v>3</v>
      </c>
      <c r="E432">
        <v>0</v>
      </c>
      <c r="F432">
        <v>0</v>
      </c>
      <c r="G432">
        <v>0</v>
      </c>
      <c r="H432">
        <v>0</v>
      </c>
    </row>
    <row r="433" spans="2:8">
      <c r="B433" t="s">
        <v>5762</v>
      </c>
      <c r="C433">
        <v>276</v>
      </c>
      <c r="D433">
        <v>6</v>
      </c>
      <c r="E433">
        <v>0</v>
      </c>
      <c r="F433">
        <v>0</v>
      </c>
      <c r="G433">
        <v>0</v>
      </c>
      <c r="H433">
        <v>0</v>
      </c>
    </row>
    <row r="434" spans="2:8">
      <c r="B434" t="s">
        <v>5762</v>
      </c>
      <c r="C434">
        <v>276</v>
      </c>
      <c r="D434">
        <v>6</v>
      </c>
      <c r="E434">
        <v>2</v>
      </c>
      <c r="F434">
        <v>0</v>
      </c>
      <c r="G434">
        <v>0</v>
      </c>
      <c r="H434">
        <v>2</v>
      </c>
    </row>
    <row r="435" spans="2:8">
      <c r="B435" t="s">
        <v>5762</v>
      </c>
      <c r="C435">
        <v>276</v>
      </c>
      <c r="D435">
        <v>2</v>
      </c>
      <c r="E435">
        <v>0</v>
      </c>
      <c r="F435">
        <v>0</v>
      </c>
      <c r="G435">
        <v>0</v>
      </c>
      <c r="H435">
        <v>0</v>
      </c>
    </row>
    <row r="436" spans="2:8">
      <c r="B436" t="s">
        <v>5762</v>
      </c>
      <c r="C436">
        <v>276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2:8">
      <c r="B437" t="s">
        <v>5762</v>
      </c>
      <c r="C437">
        <v>277</v>
      </c>
      <c r="D437">
        <v>7</v>
      </c>
      <c r="E437">
        <v>0</v>
      </c>
      <c r="F437">
        <v>0</v>
      </c>
      <c r="G437">
        <v>0</v>
      </c>
      <c r="H437">
        <v>0</v>
      </c>
    </row>
    <row r="438" spans="2:8">
      <c r="B438" t="s">
        <v>5762</v>
      </c>
      <c r="C438">
        <v>277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2:8">
      <c r="B439" t="s">
        <v>5762</v>
      </c>
      <c r="C439">
        <v>278</v>
      </c>
      <c r="D439">
        <v>18</v>
      </c>
      <c r="E439">
        <v>2</v>
      </c>
      <c r="F439">
        <v>0</v>
      </c>
      <c r="G439">
        <v>0</v>
      </c>
      <c r="H439">
        <v>2</v>
      </c>
    </row>
    <row r="440" spans="2:8">
      <c r="B440" t="s">
        <v>5762</v>
      </c>
      <c r="C440">
        <v>278</v>
      </c>
      <c r="D440">
        <v>7</v>
      </c>
      <c r="E440">
        <v>2</v>
      </c>
      <c r="F440">
        <v>0</v>
      </c>
      <c r="G440">
        <v>2</v>
      </c>
      <c r="H440">
        <v>0</v>
      </c>
    </row>
    <row r="441" spans="2:8">
      <c r="B441" t="s">
        <v>5762</v>
      </c>
      <c r="C441">
        <v>278</v>
      </c>
      <c r="D441">
        <v>6</v>
      </c>
      <c r="E441">
        <v>0</v>
      </c>
      <c r="F441">
        <v>0</v>
      </c>
      <c r="G441">
        <v>0</v>
      </c>
      <c r="H441">
        <v>0</v>
      </c>
    </row>
    <row r="442" spans="2:8">
      <c r="B442" t="s">
        <v>5762</v>
      </c>
      <c r="C442">
        <v>280</v>
      </c>
      <c r="D442">
        <v>3</v>
      </c>
      <c r="E442">
        <v>0</v>
      </c>
      <c r="F442">
        <v>0</v>
      </c>
      <c r="G442">
        <v>0</v>
      </c>
      <c r="H442">
        <v>0</v>
      </c>
    </row>
    <row r="443" spans="2:8">
      <c r="B443" t="s">
        <v>5762</v>
      </c>
      <c r="C443">
        <v>281</v>
      </c>
      <c r="D443">
        <v>6</v>
      </c>
      <c r="E443">
        <v>0</v>
      </c>
      <c r="F443">
        <v>0</v>
      </c>
      <c r="G443">
        <v>0</v>
      </c>
      <c r="H443">
        <v>0</v>
      </c>
    </row>
    <row r="444" spans="2:8">
      <c r="B444" t="s">
        <v>5762</v>
      </c>
      <c r="C444">
        <v>281</v>
      </c>
      <c r="D444">
        <v>4</v>
      </c>
      <c r="E444">
        <v>0</v>
      </c>
      <c r="F444">
        <v>0</v>
      </c>
      <c r="G444">
        <v>0</v>
      </c>
      <c r="H444">
        <v>0</v>
      </c>
    </row>
    <row r="445" spans="2:8">
      <c r="B445" t="s">
        <v>5762</v>
      </c>
      <c r="C445">
        <v>281</v>
      </c>
      <c r="D445">
        <v>7</v>
      </c>
      <c r="E445">
        <v>0</v>
      </c>
      <c r="F445">
        <v>0</v>
      </c>
      <c r="G445">
        <v>0</v>
      </c>
      <c r="H445">
        <v>0</v>
      </c>
    </row>
    <row r="446" spans="2:8">
      <c r="B446" t="s">
        <v>5762</v>
      </c>
      <c r="C446">
        <v>282</v>
      </c>
      <c r="D446">
        <v>7</v>
      </c>
      <c r="E446">
        <v>0</v>
      </c>
      <c r="F446">
        <v>0</v>
      </c>
      <c r="G446">
        <v>0</v>
      </c>
      <c r="H446">
        <v>0</v>
      </c>
    </row>
    <row r="447" spans="2:8">
      <c r="B447" t="s">
        <v>5762</v>
      </c>
      <c r="C447">
        <v>282</v>
      </c>
      <c r="D447">
        <v>6</v>
      </c>
      <c r="E447">
        <v>2</v>
      </c>
      <c r="F447">
        <v>0</v>
      </c>
      <c r="G447">
        <v>2</v>
      </c>
      <c r="H447">
        <v>0</v>
      </c>
    </row>
    <row r="448" spans="2:8">
      <c r="B448" t="s">
        <v>5762</v>
      </c>
      <c r="C448">
        <v>282</v>
      </c>
      <c r="D448">
        <v>4</v>
      </c>
      <c r="E448">
        <v>0</v>
      </c>
      <c r="F448">
        <v>0</v>
      </c>
      <c r="G448">
        <v>0</v>
      </c>
      <c r="H448">
        <v>0</v>
      </c>
    </row>
    <row r="449" spans="2:8">
      <c r="B449" t="s">
        <v>5762</v>
      </c>
      <c r="C449">
        <v>283</v>
      </c>
      <c r="D449">
        <v>3</v>
      </c>
      <c r="E449">
        <v>0</v>
      </c>
      <c r="F449">
        <v>0</v>
      </c>
      <c r="G449">
        <v>0</v>
      </c>
      <c r="H449">
        <v>0</v>
      </c>
    </row>
    <row r="450" spans="2:8">
      <c r="B450" t="s">
        <v>5762</v>
      </c>
      <c r="C450">
        <v>283</v>
      </c>
      <c r="D450">
        <v>2</v>
      </c>
      <c r="E450">
        <v>0</v>
      </c>
      <c r="F450">
        <v>0</v>
      </c>
      <c r="G450">
        <v>0</v>
      </c>
      <c r="H450">
        <v>0</v>
      </c>
    </row>
    <row r="451" spans="2:8">
      <c r="B451" t="s">
        <v>5762</v>
      </c>
      <c r="C451">
        <v>285</v>
      </c>
      <c r="D451">
        <v>5</v>
      </c>
      <c r="E451">
        <v>0</v>
      </c>
      <c r="F451">
        <v>0</v>
      </c>
      <c r="G451">
        <v>0</v>
      </c>
      <c r="H451">
        <v>0</v>
      </c>
    </row>
    <row r="452" spans="2:8">
      <c r="B452" t="s">
        <v>5762</v>
      </c>
      <c r="C452">
        <v>285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2:8">
      <c r="B453" t="s">
        <v>5762</v>
      </c>
      <c r="C453">
        <v>286</v>
      </c>
      <c r="D453">
        <v>2</v>
      </c>
      <c r="E453">
        <v>0</v>
      </c>
      <c r="F453">
        <v>0</v>
      </c>
      <c r="G453">
        <v>0</v>
      </c>
      <c r="H453">
        <v>0</v>
      </c>
    </row>
    <row r="454" spans="2:8">
      <c r="B454" t="s">
        <v>5762</v>
      </c>
      <c r="C454">
        <v>287</v>
      </c>
      <c r="D454">
        <v>8</v>
      </c>
      <c r="E454">
        <v>0</v>
      </c>
      <c r="F454">
        <v>0</v>
      </c>
      <c r="G454">
        <v>0</v>
      </c>
      <c r="H454">
        <v>0</v>
      </c>
    </row>
    <row r="455" spans="2:8">
      <c r="B455" t="s">
        <v>5762</v>
      </c>
      <c r="C455">
        <v>287</v>
      </c>
      <c r="D455">
        <v>3</v>
      </c>
      <c r="E455">
        <v>0</v>
      </c>
      <c r="F455">
        <v>0</v>
      </c>
      <c r="G455">
        <v>0</v>
      </c>
      <c r="H455">
        <v>0</v>
      </c>
    </row>
    <row r="456" spans="2:8">
      <c r="B456" t="s">
        <v>5762</v>
      </c>
      <c r="C456">
        <v>288</v>
      </c>
      <c r="D456">
        <v>1</v>
      </c>
      <c r="E456">
        <v>0</v>
      </c>
      <c r="F456">
        <v>0</v>
      </c>
      <c r="G456">
        <v>0</v>
      </c>
      <c r="H456">
        <v>0</v>
      </c>
    </row>
    <row r="457" spans="2:8">
      <c r="B457" t="s">
        <v>5762</v>
      </c>
      <c r="C457">
        <v>289</v>
      </c>
      <c r="D457">
        <v>6</v>
      </c>
      <c r="E457">
        <v>0</v>
      </c>
      <c r="F457">
        <v>0</v>
      </c>
      <c r="G457">
        <v>0</v>
      </c>
      <c r="H457">
        <v>0</v>
      </c>
    </row>
    <row r="458" spans="2:8">
      <c r="B458" t="s">
        <v>5762</v>
      </c>
      <c r="C458">
        <v>289</v>
      </c>
      <c r="D458">
        <v>4</v>
      </c>
      <c r="E458">
        <v>0</v>
      </c>
      <c r="F458">
        <v>0</v>
      </c>
      <c r="G458">
        <v>0</v>
      </c>
      <c r="H458">
        <v>0</v>
      </c>
    </row>
    <row r="459" spans="2:8">
      <c r="B459" t="s">
        <v>5762</v>
      </c>
      <c r="C459">
        <v>290</v>
      </c>
      <c r="D459">
        <v>12</v>
      </c>
      <c r="E459">
        <v>2</v>
      </c>
      <c r="F459">
        <v>0</v>
      </c>
      <c r="G459">
        <v>0</v>
      </c>
      <c r="H459">
        <v>2</v>
      </c>
    </row>
    <row r="460" spans="2:8">
      <c r="B460" t="s">
        <v>5762</v>
      </c>
      <c r="C460">
        <v>290</v>
      </c>
      <c r="D460">
        <v>3</v>
      </c>
      <c r="E460">
        <v>0</v>
      </c>
      <c r="F460">
        <v>0</v>
      </c>
      <c r="G460">
        <v>0</v>
      </c>
      <c r="H460">
        <v>0</v>
      </c>
    </row>
    <row r="461" spans="2:8">
      <c r="B461" t="s">
        <v>5762</v>
      </c>
      <c r="C461">
        <v>290</v>
      </c>
      <c r="D461">
        <v>3</v>
      </c>
      <c r="E461">
        <v>0</v>
      </c>
      <c r="F461">
        <v>0</v>
      </c>
      <c r="G461">
        <v>0</v>
      </c>
      <c r="H461">
        <v>0</v>
      </c>
    </row>
    <row r="462" spans="2:8">
      <c r="B462" t="s">
        <v>5762</v>
      </c>
      <c r="C462">
        <v>290</v>
      </c>
      <c r="D462">
        <v>1</v>
      </c>
      <c r="E462">
        <v>0</v>
      </c>
      <c r="F462">
        <v>0</v>
      </c>
      <c r="G462">
        <v>0</v>
      </c>
      <c r="H462">
        <v>0</v>
      </c>
    </row>
    <row r="463" spans="2:8">
      <c r="B463" t="s">
        <v>5762</v>
      </c>
      <c r="C463">
        <v>291</v>
      </c>
      <c r="D463">
        <v>13</v>
      </c>
      <c r="E463">
        <v>2</v>
      </c>
      <c r="F463">
        <v>0</v>
      </c>
      <c r="G463">
        <v>0</v>
      </c>
      <c r="H463">
        <v>2</v>
      </c>
    </row>
    <row r="464" spans="2:8">
      <c r="B464" t="s">
        <v>5762</v>
      </c>
      <c r="C464">
        <v>291</v>
      </c>
      <c r="D464">
        <v>11</v>
      </c>
      <c r="E464">
        <v>4</v>
      </c>
      <c r="F464">
        <v>0</v>
      </c>
      <c r="G464">
        <v>4</v>
      </c>
      <c r="H464">
        <v>0</v>
      </c>
    </row>
    <row r="465" spans="2:8">
      <c r="B465" t="s">
        <v>5762</v>
      </c>
      <c r="C465">
        <v>291</v>
      </c>
      <c r="D465">
        <v>5</v>
      </c>
      <c r="E465">
        <v>0</v>
      </c>
      <c r="F465">
        <v>0</v>
      </c>
      <c r="G465">
        <v>0</v>
      </c>
      <c r="H465">
        <v>0</v>
      </c>
    </row>
    <row r="466" spans="2:8">
      <c r="B466" t="s">
        <v>5762</v>
      </c>
      <c r="C466">
        <v>292</v>
      </c>
      <c r="D466">
        <v>3</v>
      </c>
      <c r="E466">
        <v>0</v>
      </c>
      <c r="F466">
        <v>0</v>
      </c>
      <c r="G466">
        <v>0</v>
      </c>
      <c r="H466">
        <v>0</v>
      </c>
    </row>
    <row r="467" spans="2:8">
      <c r="B467" t="s">
        <v>5762</v>
      </c>
      <c r="C467">
        <v>293</v>
      </c>
      <c r="D467">
        <v>6</v>
      </c>
      <c r="E467">
        <v>0</v>
      </c>
      <c r="F467">
        <v>0</v>
      </c>
      <c r="G467">
        <v>0</v>
      </c>
      <c r="H467">
        <v>0</v>
      </c>
    </row>
    <row r="468" spans="2:8">
      <c r="B468" t="s">
        <v>5762</v>
      </c>
      <c r="C468">
        <v>294</v>
      </c>
      <c r="D468">
        <v>1</v>
      </c>
      <c r="E468">
        <v>0</v>
      </c>
      <c r="F468">
        <v>0</v>
      </c>
      <c r="G468">
        <v>0</v>
      </c>
      <c r="H468">
        <v>0</v>
      </c>
    </row>
    <row r="469" spans="2:8">
      <c r="B469" t="s">
        <v>5762</v>
      </c>
      <c r="C469">
        <v>295</v>
      </c>
      <c r="D469">
        <v>5</v>
      </c>
      <c r="E469">
        <v>0</v>
      </c>
      <c r="F469">
        <v>0</v>
      </c>
      <c r="G469">
        <v>0</v>
      </c>
      <c r="H469">
        <v>0</v>
      </c>
    </row>
    <row r="470" spans="2:8">
      <c r="B470" t="s">
        <v>5762</v>
      </c>
      <c r="C470">
        <v>295</v>
      </c>
      <c r="D470">
        <v>2</v>
      </c>
      <c r="E470">
        <v>0</v>
      </c>
      <c r="F470">
        <v>0</v>
      </c>
      <c r="G470">
        <v>0</v>
      </c>
      <c r="H470">
        <v>0</v>
      </c>
    </row>
    <row r="471" spans="2:8">
      <c r="B471" t="s">
        <v>5762</v>
      </c>
      <c r="C471">
        <v>295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2:8">
      <c r="B472" t="s">
        <v>5762</v>
      </c>
      <c r="C472">
        <v>296</v>
      </c>
      <c r="D472">
        <v>8</v>
      </c>
      <c r="E472">
        <v>0</v>
      </c>
      <c r="F472">
        <v>0</v>
      </c>
      <c r="G472">
        <v>0</v>
      </c>
      <c r="H472">
        <v>0</v>
      </c>
    </row>
    <row r="473" spans="2:8">
      <c r="B473" t="s">
        <v>5762</v>
      </c>
      <c r="C473">
        <v>297</v>
      </c>
      <c r="D473">
        <v>7</v>
      </c>
      <c r="E473">
        <v>2</v>
      </c>
      <c r="F473">
        <v>0</v>
      </c>
      <c r="G473">
        <v>0</v>
      </c>
      <c r="H473">
        <v>2</v>
      </c>
    </row>
    <row r="474" spans="2:8">
      <c r="B474" t="s">
        <v>5762</v>
      </c>
      <c r="C474">
        <v>298</v>
      </c>
      <c r="D474">
        <v>9</v>
      </c>
      <c r="E474">
        <v>0</v>
      </c>
      <c r="F474">
        <v>0</v>
      </c>
      <c r="G474">
        <v>0</v>
      </c>
      <c r="H474">
        <v>0</v>
      </c>
    </row>
    <row r="475" spans="2:8">
      <c r="B475" t="s">
        <v>5762</v>
      </c>
      <c r="C475">
        <v>298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2:8">
      <c r="B476" t="s">
        <v>5762</v>
      </c>
      <c r="C476">
        <v>300</v>
      </c>
      <c r="D476">
        <v>10</v>
      </c>
      <c r="E476">
        <v>0</v>
      </c>
      <c r="F476">
        <v>0</v>
      </c>
      <c r="G476">
        <v>0</v>
      </c>
      <c r="H476">
        <v>0</v>
      </c>
    </row>
    <row r="477" spans="2:8">
      <c r="B477" t="s">
        <v>5762</v>
      </c>
      <c r="C477">
        <v>300</v>
      </c>
      <c r="D477">
        <v>10</v>
      </c>
      <c r="E477">
        <v>0</v>
      </c>
      <c r="F477">
        <v>0</v>
      </c>
      <c r="G477">
        <v>0</v>
      </c>
      <c r="H477">
        <v>0</v>
      </c>
    </row>
    <row r="478" spans="2:8">
      <c r="B478" t="s">
        <v>5762</v>
      </c>
      <c r="C478">
        <v>300</v>
      </c>
      <c r="D478">
        <v>5</v>
      </c>
      <c r="E478">
        <v>0</v>
      </c>
      <c r="F478">
        <v>0</v>
      </c>
      <c r="G478">
        <v>0</v>
      </c>
      <c r="H478">
        <v>0</v>
      </c>
    </row>
    <row r="479" spans="2:8">
      <c r="B479" t="s">
        <v>5762</v>
      </c>
      <c r="C479">
        <v>300</v>
      </c>
      <c r="D479">
        <v>1</v>
      </c>
      <c r="E479">
        <v>0</v>
      </c>
      <c r="F479">
        <v>0</v>
      </c>
      <c r="G479">
        <v>0</v>
      </c>
      <c r="H479">
        <v>0</v>
      </c>
    </row>
    <row r="480" spans="2:8">
      <c r="B480" t="s">
        <v>5762</v>
      </c>
      <c r="C480">
        <v>301</v>
      </c>
      <c r="D480">
        <v>9</v>
      </c>
      <c r="E480">
        <v>0</v>
      </c>
      <c r="F480">
        <v>0</v>
      </c>
      <c r="G480">
        <v>0</v>
      </c>
      <c r="H480">
        <v>0</v>
      </c>
    </row>
    <row r="481" spans="2:8">
      <c r="B481" t="s">
        <v>5762</v>
      </c>
      <c r="C481">
        <v>301</v>
      </c>
      <c r="D481">
        <v>5</v>
      </c>
      <c r="E481">
        <v>4</v>
      </c>
      <c r="F481">
        <v>0</v>
      </c>
      <c r="G481">
        <v>0</v>
      </c>
      <c r="H481">
        <v>4</v>
      </c>
    </row>
    <row r="482" spans="2:8">
      <c r="B482" t="s">
        <v>5762</v>
      </c>
      <c r="C482">
        <v>303</v>
      </c>
      <c r="D482">
        <v>14</v>
      </c>
      <c r="E482">
        <v>2</v>
      </c>
      <c r="F482">
        <v>0</v>
      </c>
      <c r="G482">
        <v>2</v>
      </c>
      <c r="H482">
        <v>0</v>
      </c>
    </row>
    <row r="483" spans="2:8">
      <c r="B483" t="s">
        <v>5762</v>
      </c>
      <c r="C483">
        <v>303</v>
      </c>
      <c r="D483">
        <v>7</v>
      </c>
      <c r="E483">
        <v>2</v>
      </c>
      <c r="F483">
        <v>0</v>
      </c>
      <c r="G483">
        <v>0</v>
      </c>
      <c r="H483">
        <v>2</v>
      </c>
    </row>
    <row r="484" spans="2:8">
      <c r="B484" t="s">
        <v>5762</v>
      </c>
      <c r="C484">
        <v>303</v>
      </c>
      <c r="D484">
        <v>4</v>
      </c>
      <c r="E484">
        <v>0</v>
      </c>
      <c r="F484">
        <v>0</v>
      </c>
      <c r="G484">
        <v>0</v>
      </c>
      <c r="H484">
        <v>0</v>
      </c>
    </row>
    <row r="485" spans="2:8">
      <c r="B485" t="s">
        <v>5762</v>
      </c>
      <c r="C485">
        <v>303</v>
      </c>
      <c r="D485">
        <v>2</v>
      </c>
      <c r="E485">
        <v>0</v>
      </c>
      <c r="F485">
        <v>0</v>
      </c>
      <c r="G485">
        <v>0</v>
      </c>
      <c r="H485">
        <v>0</v>
      </c>
    </row>
    <row r="486" spans="2:8">
      <c r="B486" t="s">
        <v>5762</v>
      </c>
      <c r="C486">
        <v>304</v>
      </c>
      <c r="D486">
        <v>6</v>
      </c>
      <c r="E486">
        <v>0</v>
      </c>
      <c r="F486">
        <v>0</v>
      </c>
      <c r="G486">
        <v>0</v>
      </c>
      <c r="H486">
        <v>0</v>
      </c>
    </row>
    <row r="487" spans="2:8">
      <c r="B487" t="s">
        <v>5762</v>
      </c>
      <c r="C487">
        <v>305</v>
      </c>
      <c r="D487">
        <v>4</v>
      </c>
      <c r="E487">
        <v>0</v>
      </c>
      <c r="F487">
        <v>0</v>
      </c>
      <c r="G487">
        <v>0</v>
      </c>
      <c r="H487">
        <v>0</v>
      </c>
    </row>
    <row r="488" spans="2:8">
      <c r="B488" t="s">
        <v>5762</v>
      </c>
      <c r="C488">
        <v>305</v>
      </c>
      <c r="D488">
        <v>2</v>
      </c>
      <c r="E488">
        <v>0</v>
      </c>
      <c r="F488">
        <v>0</v>
      </c>
      <c r="G488">
        <v>0</v>
      </c>
      <c r="H488">
        <v>0</v>
      </c>
    </row>
    <row r="489" spans="2:8">
      <c r="B489" t="s">
        <v>5762</v>
      </c>
      <c r="C489">
        <v>305</v>
      </c>
      <c r="D489">
        <v>3</v>
      </c>
      <c r="E489">
        <v>0</v>
      </c>
      <c r="F489">
        <v>0</v>
      </c>
      <c r="G489">
        <v>0</v>
      </c>
      <c r="H489">
        <v>0</v>
      </c>
    </row>
    <row r="490" spans="2:8">
      <c r="B490" t="s">
        <v>5762</v>
      </c>
      <c r="C490">
        <v>308</v>
      </c>
      <c r="D490">
        <v>6</v>
      </c>
      <c r="E490">
        <v>0</v>
      </c>
      <c r="F490">
        <v>0</v>
      </c>
      <c r="G490">
        <v>0</v>
      </c>
      <c r="H490">
        <v>0</v>
      </c>
    </row>
    <row r="491" spans="2:8">
      <c r="B491" t="s">
        <v>5762</v>
      </c>
      <c r="C491">
        <v>308</v>
      </c>
      <c r="D491">
        <v>3</v>
      </c>
      <c r="E491">
        <v>0</v>
      </c>
      <c r="F491">
        <v>0</v>
      </c>
      <c r="G491">
        <v>0</v>
      </c>
      <c r="H491">
        <v>0</v>
      </c>
    </row>
    <row r="492" spans="2:8">
      <c r="B492" t="s">
        <v>5762</v>
      </c>
      <c r="C492">
        <v>309</v>
      </c>
      <c r="D492">
        <v>24</v>
      </c>
      <c r="E492">
        <v>4</v>
      </c>
      <c r="F492">
        <v>0</v>
      </c>
      <c r="G492">
        <v>0</v>
      </c>
      <c r="H492">
        <v>4</v>
      </c>
    </row>
    <row r="493" spans="2:8">
      <c r="B493" t="s">
        <v>5762</v>
      </c>
      <c r="C493">
        <v>309</v>
      </c>
      <c r="D493">
        <v>6</v>
      </c>
      <c r="E493">
        <v>0</v>
      </c>
      <c r="F493">
        <v>0</v>
      </c>
      <c r="G493">
        <v>0</v>
      </c>
      <c r="H493">
        <v>0</v>
      </c>
    </row>
    <row r="494" spans="2:8">
      <c r="B494" t="s">
        <v>5762</v>
      </c>
      <c r="C494">
        <v>309</v>
      </c>
      <c r="D494">
        <v>8</v>
      </c>
      <c r="E494">
        <v>0</v>
      </c>
      <c r="F494">
        <v>0</v>
      </c>
      <c r="G494">
        <v>0</v>
      </c>
      <c r="H494">
        <v>0</v>
      </c>
    </row>
    <row r="495" spans="2:8">
      <c r="B495" t="s">
        <v>5762</v>
      </c>
      <c r="C495">
        <v>311</v>
      </c>
      <c r="D495">
        <v>9</v>
      </c>
      <c r="E495">
        <v>0</v>
      </c>
      <c r="F495">
        <v>0</v>
      </c>
      <c r="G495">
        <v>0</v>
      </c>
      <c r="H495">
        <v>0</v>
      </c>
    </row>
    <row r="496" spans="2:8">
      <c r="B496" t="s">
        <v>5762</v>
      </c>
      <c r="C496">
        <v>311</v>
      </c>
      <c r="D496">
        <v>6</v>
      </c>
      <c r="E496">
        <v>2</v>
      </c>
      <c r="F496">
        <v>0</v>
      </c>
      <c r="G496">
        <v>0</v>
      </c>
      <c r="H496">
        <v>2</v>
      </c>
    </row>
    <row r="497" spans="2:8">
      <c r="B497" t="s">
        <v>5762</v>
      </c>
      <c r="C497">
        <v>311</v>
      </c>
      <c r="D497">
        <v>3</v>
      </c>
      <c r="E497">
        <v>0</v>
      </c>
      <c r="F497">
        <v>0</v>
      </c>
      <c r="G497">
        <v>0</v>
      </c>
      <c r="H497">
        <v>0</v>
      </c>
    </row>
    <row r="498" spans="2:8">
      <c r="B498" t="s">
        <v>5762</v>
      </c>
      <c r="C498">
        <v>311</v>
      </c>
      <c r="D498">
        <v>3</v>
      </c>
      <c r="E498">
        <v>0</v>
      </c>
      <c r="F498">
        <v>0</v>
      </c>
      <c r="G498">
        <v>0</v>
      </c>
      <c r="H498">
        <v>0</v>
      </c>
    </row>
    <row r="499" spans="2:8">
      <c r="B499" t="s">
        <v>5762</v>
      </c>
      <c r="C499">
        <v>311</v>
      </c>
      <c r="D499">
        <v>1</v>
      </c>
      <c r="E499">
        <v>0</v>
      </c>
      <c r="F499">
        <v>0</v>
      </c>
      <c r="G499">
        <v>0</v>
      </c>
      <c r="H499">
        <v>0</v>
      </c>
    </row>
    <row r="500" spans="2:8">
      <c r="B500" t="s">
        <v>5762</v>
      </c>
      <c r="C500">
        <v>312</v>
      </c>
      <c r="D500">
        <v>3</v>
      </c>
      <c r="E500">
        <v>0</v>
      </c>
      <c r="F500">
        <v>0</v>
      </c>
      <c r="G500">
        <v>0</v>
      </c>
      <c r="H500">
        <v>0</v>
      </c>
    </row>
    <row r="501" spans="2:8">
      <c r="B501" t="s">
        <v>5762</v>
      </c>
      <c r="C501">
        <v>313</v>
      </c>
      <c r="D501">
        <v>6</v>
      </c>
      <c r="E501">
        <v>2</v>
      </c>
      <c r="F501">
        <v>0</v>
      </c>
      <c r="G501">
        <v>0</v>
      </c>
      <c r="H501">
        <v>2</v>
      </c>
    </row>
    <row r="502" spans="2:8">
      <c r="B502" t="s">
        <v>5762</v>
      </c>
      <c r="C502">
        <v>313</v>
      </c>
      <c r="D502">
        <v>5</v>
      </c>
      <c r="E502">
        <v>2</v>
      </c>
      <c r="F502">
        <v>0</v>
      </c>
      <c r="G502">
        <v>0</v>
      </c>
      <c r="H502">
        <v>2</v>
      </c>
    </row>
    <row r="503" spans="2:8">
      <c r="B503" t="s">
        <v>5762</v>
      </c>
      <c r="C503">
        <v>314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2:8">
      <c r="B504" t="s">
        <v>5762</v>
      </c>
      <c r="C504">
        <v>315</v>
      </c>
      <c r="D504">
        <v>8</v>
      </c>
      <c r="E504">
        <v>0</v>
      </c>
      <c r="F504">
        <v>0</v>
      </c>
      <c r="G504">
        <v>0</v>
      </c>
      <c r="H504">
        <v>0</v>
      </c>
    </row>
    <row r="505" spans="2:8">
      <c r="B505" t="s">
        <v>5762</v>
      </c>
      <c r="C505">
        <v>316</v>
      </c>
      <c r="D505">
        <v>6</v>
      </c>
      <c r="E505">
        <v>0</v>
      </c>
      <c r="F505">
        <v>0</v>
      </c>
      <c r="G505">
        <v>0</v>
      </c>
      <c r="H505">
        <v>0</v>
      </c>
    </row>
    <row r="506" spans="2:8">
      <c r="B506" t="s">
        <v>5762</v>
      </c>
      <c r="C506">
        <v>316</v>
      </c>
      <c r="D506">
        <v>2</v>
      </c>
      <c r="E506">
        <v>0</v>
      </c>
      <c r="F506">
        <v>0</v>
      </c>
      <c r="G506">
        <v>0</v>
      </c>
      <c r="H506">
        <v>0</v>
      </c>
    </row>
    <row r="507" spans="2:8">
      <c r="B507" t="s">
        <v>5762</v>
      </c>
      <c r="C507">
        <v>316</v>
      </c>
      <c r="D507">
        <v>1</v>
      </c>
      <c r="E507">
        <v>0</v>
      </c>
      <c r="F507">
        <v>0</v>
      </c>
      <c r="G507">
        <v>0</v>
      </c>
      <c r="H507">
        <v>0</v>
      </c>
    </row>
    <row r="508" spans="2:8">
      <c r="B508" t="s">
        <v>5762</v>
      </c>
      <c r="C508">
        <v>317</v>
      </c>
      <c r="D508">
        <v>8</v>
      </c>
      <c r="E508">
        <v>0</v>
      </c>
      <c r="F508">
        <v>0</v>
      </c>
      <c r="G508">
        <v>0</v>
      </c>
      <c r="H508">
        <v>0</v>
      </c>
    </row>
    <row r="509" spans="2:8">
      <c r="B509" t="s">
        <v>5762</v>
      </c>
      <c r="C509">
        <v>317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2:8">
      <c r="B510" t="s">
        <v>5762</v>
      </c>
      <c r="C510">
        <v>318</v>
      </c>
      <c r="D510">
        <v>6</v>
      </c>
      <c r="E510">
        <v>0</v>
      </c>
      <c r="F510">
        <v>0</v>
      </c>
      <c r="G510">
        <v>0</v>
      </c>
      <c r="H510">
        <v>0</v>
      </c>
    </row>
    <row r="511" spans="2:8">
      <c r="B511" t="s">
        <v>5762</v>
      </c>
      <c r="C511">
        <v>319</v>
      </c>
      <c r="D511">
        <v>7</v>
      </c>
      <c r="E511">
        <v>0</v>
      </c>
      <c r="F511">
        <v>0</v>
      </c>
      <c r="G511">
        <v>0</v>
      </c>
      <c r="H511">
        <v>0</v>
      </c>
    </row>
    <row r="512" spans="2:8">
      <c r="B512" t="s">
        <v>5762</v>
      </c>
      <c r="C512">
        <v>319</v>
      </c>
      <c r="D512">
        <v>2</v>
      </c>
      <c r="E512">
        <v>0</v>
      </c>
      <c r="F512">
        <v>0</v>
      </c>
      <c r="G512">
        <v>0</v>
      </c>
      <c r="H512">
        <v>0</v>
      </c>
    </row>
    <row r="513" spans="2:8">
      <c r="B513" t="s">
        <v>5762</v>
      </c>
      <c r="C513">
        <v>321</v>
      </c>
      <c r="D513">
        <v>9</v>
      </c>
      <c r="E513">
        <v>3</v>
      </c>
      <c r="F513">
        <v>0</v>
      </c>
      <c r="G513">
        <v>2</v>
      </c>
      <c r="H513">
        <v>1</v>
      </c>
    </row>
    <row r="514" spans="2:8">
      <c r="B514" t="s">
        <v>5762</v>
      </c>
      <c r="C514">
        <v>321</v>
      </c>
      <c r="D514">
        <v>6</v>
      </c>
      <c r="E514">
        <v>0</v>
      </c>
      <c r="F514">
        <v>0</v>
      </c>
      <c r="G514">
        <v>0</v>
      </c>
      <c r="H514">
        <v>0</v>
      </c>
    </row>
    <row r="515" spans="2:8">
      <c r="B515" t="s">
        <v>5762</v>
      </c>
      <c r="C515">
        <v>321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2:8">
      <c r="B516" t="s">
        <v>5762</v>
      </c>
      <c r="C516">
        <v>322</v>
      </c>
      <c r="D516">
        <v>7</v>
      </c>
      <c r="E516">
        <v>0</v>
      </c>
      <c r="F516">
        <v>0</v>
      </c>
      <c r="G516">
        <v>0</v>
      </c>
      <c r="H516">
        <v>0</v>
      </c>
    </row>
    <row r="517" spans="2:8">
      <c r="B517" t="s">
        <v>5762</v>
      </c>
      <c r="C517">
        <v>322</v>
      </c>
      <c r="D517">
        <v>3</v>
      </c>
      <c r="E517">
        <v>0</v>
      </c>
      <c r="F517">
        <v>0</v>
      </c>
      <c r="G517">
        <v>0</v>
      </c>
      <c r="H517">
        <v>0</v>
      </c>
    </row>
    <row r="518" spans="2:8">
      <c r="B518" t="s">
        <v>5762</v>
      </c>
      <c r="C518">
        <v>323</v>
      </c>
      <c r="D518">
        <v>9</v>
      </c>
      <c r="E518">
        <v>0</v>
      </c>
      <c r="F518">
        <v>0</v>
      </c>
      <c r="G518">
        <v>0</v>
      </c>
      <c r="H518">
        <v>0</v>
      </c>
    </row>
    <row r="519" spans="2:8">
      <c r="B519" t="s">
        <v>5762</v>
      </c>
      <c r="C519">
        <v>323</v>
      </c>
      <c r="D519">
        <v>7</v>
      </c>
      <c r="E519">
        <v>2</v>
      </c>
      <c r="F519">
        <v>0</v>
      </c>
      <c r="G519">
        <v>0</v>
      </c>
      <c r="H519">
        <v>2</v>
      </c>
    </row>
    <row r="520" spans="2:8">
      <c r="B520" t="s">
        <v>5762</v>
      </c>
      <c r="C520">
        <v>324</v>
      </c>
      <c r="D520">
        <v>6</v>
      </c>
      <c r="E520">
        <v>2</v>
      </c>
      <c r="F520">
        <v>0</v>
      </c>
      <c r="G520">
        <v>0</v>
      </c>
      <c r="H520">
        <v>2</v>
      </c>
    </row>
    <row r="521" spans="2:8">
      <c r="B521" t="s">
        <v>5762</v>
      </c>
      <c r="C521">
        <v>324</v>
      </c>
      <c r="D521">
        <v>5</v>
      </c>
      <c r="E521">
        <v>2</v>
      </c>
      <c r="F521">
        <v>0</v>
      </c>
      <c r="G521">
        <v>2</v>
      </c>
      <c r="H521">
        <v>0</v>
      </c>
    </row>
    <row r="522" spans="2:8">
      <c r="B522" t="s">
        <v>5762</v>
      </c>
      <c r="C522">
        <v>325</v>
      </c>
      <c r="D522">
        <v>11</v>
      </c>
      <c r="E522">
        <v>0</v>
      </c>
      <c r="F522">
        <v>0</v>
      </c>
      <c r="G522">
        <v>0</v>
      </c>
      <c r="H522">
        <v>0</v>
      </c>
    </row>
    <row r="523" spans="2:8">
      <c r="B523" t="s">
        <v>5762</v>
      </c>
      <c r="C523">
        <v>325</v>
      </c>
      <c r="D523">
        <v>12</v>
      </c>
      <c r="E523">
        <v>0</v>
      </c>
      <c r="F523">
        <v>0</v>
      </c>
      <c r="G523">
        <v>0</v>
      </c>
      <c r="H523">
        <v>0</v>
      </c>
    </row>
    <row r="524" spans="2:8">
      <c r="B524" t="s">
        <v>5762</v>
      </c>
      <c r="C524">
        <v>325</v>
      </c>
      <c r="D524">
        <v>6</v>
      </c>
      <c r="E524">
        <v>0</v>
      </c>
      <c r="F524">
        <v>0</v>
      </c>
      <c r="G524">
        <v>0</v>
      </c>
      <c r="H524">
        <v>0</v>
      </c>
    </row>
    <row r="525" spans="2:8">
      <c r="B525" t="s">
        <v>5762</v>
      </c>
      <c r="C525">
        <v>325</v>
      </c>
      <c r="D525">
        <v>2</v>
      </c>
      <c r="E525">
        <v>0</v>
      </c>
      <c r="F525">
        <v>0</v>
      </c>
      <c r="G525">
        <v>0</v>
      </c>
      <c r="H525">
        <v>0</v>
      </c>
    </row>
    <row r="526" spans="2:8">
      <c r="B526" t="s">
        <v>5762</v>
      </c>
      <c r="C526">
        <v>328</v>
      </c>
      <c r="D526">
        <v>10</v>
      </c>
      <c r="E526">
        <v>2</v>
      </c>
      <c r="F526">
        <v>0</v>
      </c>
      <c r="G526">
        <v>2</v>
      </c>
      <c r="H526">
        <v>0</v>
      </c>
    </row>
    <row r="527" spans="2:8">
      <c r="B527" t="s">
        <v>5762</v>
      </c>
      <c r="C527">
        <v>328</v>
      </c>
      <c r="D527">
        <v>6</v>
      </c>
      <c r="E527">
        <v>0</v>
      </c>
      <c r="F527">
        <v>0</v>
      </c>
      <c r="G527">
        <v>0</v>
      </c>
      <c r="H527">
        <v>0</v>
      </c>
    </row>
    <row r="528" spans="2:8">
      <c r="B528" t="s">
        <v>5762</v>
      </c>
      <c r="C528">
        <v>329</v>
      </c>
      <c r="D528">
        <v>22</v>
      </c>
      <c r="E528">
        <v>4</v>
      </c>
      <c r="F528">
        <v>0</v>
      </c>
      <c r="G528">
        <v>0</v>
      </c>
      <c r="H528">
        <v>4</v>
      </c>
    </row>
    <row r="529" spans="2:8">
      <c r="B529" t="s">
        <v>5762</v>
      </c>
      <c r="C529">
        <v>329</v>
      </c>
      <c r="D529">
        <v>4</v>
      </c>
      <c r="E529">
        <v>0</v>
      </c>
      <c r="F529">
        <v>0</v>
      </c>
      <c r="G529">
        <v>0</v>
      </c>
      <c r="H529">
        <v>0</v>
      </c>
    </row>
    <row r="530" spans="2:8">
      <c r="B530" t="s">
        <v>5762</v>
      </c>
      <c r="C530">
        <v>329</v>
      </c>
      <c r="D530">
        <v>3</v>
      </c>
      <c r="E530">
        <v>0</v>
      </c>
      <c r="F530">
        <v>0</v>
      </c>
      <c r="G530">
        <v>0</v>
      </c>
      <c r="H530">
        <v>0</v>
      </c>
    </row>
    <row r="531" spans="2:8">
      <c r="B531" t="s">
        <v>5762</v>
      </c>
      <c r="C531">
        <v>329</v>
      </c>
      <c r="D531">
        <v>3</v>
      </c>
      <c r="E531">
        <v>0</v>
      </c>
      <c r="F531">
        <v>0</v>
      </c>
      <c r="G531">
        <v>0</v>
      </c>
      <c r="H531">
        <v>0</v>
      </c>
    </row>
    <row r="532" spans="2:8">
      <c r="B532" t="s">
        <v>5762</v>
      </c>
      <c r="C532">
        <v>330</v>
      </c>
      <c r="D532">
        <v>5</v>
      </c>
      <c r="E532">
        <v>0</v>
      </c>
      <c r="F532">
        <v>0</v>
      </c>
      <c r="G532">
        <v>0</v>
      </c>
      <c r="H532">
        <v>0</v>
      </c>
    </row>
    <row r="533" spans="2:8">
      <c r="B533" t="s">
        <v>5762</v>
      </c>
      <c r="C533">
        <v>331</v>
      </c>
      <c r="D533">
        <v>16</v>
      </c>
      <c r="E533">
        <v>2</v>
      </c>
      <c r="F533">
        <v>0</v>
      </c>
      <c r="G533">
        <v>0</v>
      </c>
      <c r="H533">
        <v>2</v>
      </c>
    </row>
    <row r="534" spans="2:8">
      <c r="B534" t="s">
        <v>5762</v>
      </c>
      <c r="C534">
        <v>332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2:8">
      <c r="B535" t="s">
        <v>5762</v>
      </c>
      <c r="C535">
        <v>333</v>
      </c>
      <c r="D535">
        <v>7</v>
      </c>
      <c r="E535">
        <v>0</v>
      </c>
      <c r="F535">
        <v>0</v>
      </c>
      <c r="G535">
        <v>0</v>
      </c>
      <c r="H535">
        <v>0</v>
      </c>
    </row>
    <row r="536" spans="2:8">
      <c r="B536" t="s">
        <v>5762</v>
      </c>
      <c r="C536">
        <v>333</v>
      </c>
      <c r="D536">
        <v>5</v>
      </c>
      <c r="E536">
        <v>0</v>
      </c>
      <c r="F536">
        <v>0</v>
      </c>
      <c r="G536">
        <v>0</v>
      </c>
      <c r="H536">
        <v>0</v>
      </c>
    </row>
    <row r="537" spans="2:8">
      <c r="B537" t="s">
        <v>5762</v>
      </c>
      <c r="C537">
        <v>333</v>
      </c>
      <c r="D537">
        <v>3</v>
      </c>
      <c r="E537">
        <v>0</v>
      </c>
      <c r="F537">
        <v>0</v>
      </c>
      <c r="G537">
        <v>0</v>
      </c>
      <c r="H537">
        <v>0</v>
      </c>
    </row>
    <row r="538" spans="2:8">
      <c r="B538" t="s">
        <v>5762</v>
      </c>
      <c r="C538">
        <v>334</v>
      </c>
      <c r="D538">
        <v>5</v>
      </c>
      <c r="E538">
        <v>0</v>
      </c>
      <c r="F538">
        <v>0</v>
      </c>
      <c r="G538">
        <v>0</v>
      </c>
      <c r="H538">
        <v>0</v>
      </c>
    </row>
    <row r="539" spans="2:8">
      <c r="B539" t="s">
        <v>5762</v>
      </c>
      <c r="C539">
        <v>335</v>
      </c>
      <c r="D539">
        <v>5</v>
      </c>
      <c r="E539">
        <v>0</v>
      </c>
      <c r="F539">
        <v>0</v>
      </c>
      <c r="G539">
        <v>0</v>
      </c>
      <c r="H539">
        <v>0</v>
      </c>
    </row>
    <row r="540" spans="2:8">
      <c r="B540" t="s">
        <v>5762</v>
      </c>
      <c r="C540">
        <v>335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2:8">
      <c r="B541" t="s">
        <v>5762</v>
      </c>
      <c r="C541">
        <v>337</v>
      </c>
      <c r="D541">
        <v>3</v>
      </c>
      <c r="E541">
        <v>0</v>
      </c>
      <c r="F541">
        <v>0</v>
      </c>
      <c r="G541">
        <v>0</v>
      </c>
      <c r="H541">
        <v>0</v>
      </c>
    </row>
    <row r="542" spans="2:8">
      <c r="B542" t="s">
        <v>5762</v>
      </c>
      <c r="C542">
        <v>338</v>
      </c>
      <c r="D542">
        <v>6</v>
      </c>
      <c r="E542">
        <v>2</v>
      </c>
      <c r="F542">
        <v>0</v>
      </c>
      <c r="G542">
        <v>0</v>
      </c>
      <c r="H542">
        <v>2</v>
      </c>
    </row>
    <row r="543" spans="2:8">
      <c r="B543" t="s">
        <v>5762</v>
      </c>
      <c r="C543">
        <v>338</v>
      </c>
      <c r="D543">
        <v>1</v>
      </c>
      <c r="E543">
        <v>0</v>
      </c>
      <c r="F543">
        <v>0</v>
      </c>
      <c r="G543">
        <v>0</v>
      </c>
      <c r="H543">
        <v>0</v>
      </c>
    </row>
    <row r="544" spans="2:8">
      <c r="B544" t="s">
        <v>5762</v>
      </c>
      <c r="C544">
        <v>340</v>
      </c>
      <c r="D544">
        <v>3</v>
      </c>
      <c r="E544">
        <v>0</v>
      </c>
      <c r="F544">
        <v>0</v>
      </c>
      <c r="G544">
        <v>0</v>
      </c>
      <c r="H544">
        <v>0</v>
      </c>
    </row>
    <row r="545" spans="2:8">
      <c r="B545" t="s">
        <v>5762</v>
      </c>
      <c r="C545">
        <v>341</v>
      </c>
      <c r="D545">
        <v>10</v>
      </c>
      <c r="E545">
        <v>2</v>
      </c>
      <c r="F545">
        <v>0</v>
      </c>
      <c r="G545">
        <v>2</v>
      </c>
      <c r="H545">
        <v>0</v>
      </c>
    </row>
    <row r="546" spans="2:8">
      <c r="B546" t="s">
        <v>5762</v>
      </c>
      <c r="C546">
        <v>341</v>
      </c>
      <c r="D546">
        <v>8</v>
      </c>
      <c r="E546">
        <v>2</v>
      </c>
      <c r="F546">
        <v>0</v>
      </c>
      <c r="G546">
        <v>0</v>
      </c>
      <c r="H546">
        <v>2</v>
      </c>
    </row>
    <row r="547" spans="2:8">
      <c r="B547" t="s">
        <v>5762</v>
      </c>
      <c r="C547">
        <v>342</v>
      </c>
      <c r="D547">
        <v>3</v>
      </c>
      <c r="E547">
        <v>0</v>
      </c>
      <c r="F547">
        <v>0</v>
      </c>
      <c r="G547">
        <v>0</v>
      </c>
      <c r="H547">
        <v>0</v>
      </c>
    </row>
    <row r="548" spans="2:8">
      <c r="B548" t="s">
        <v>5762</v>
      </c>
      <c r="C548">
        <v>343</v>
      </c>
      <c r="D548">
        <v>2</v>
      </c>
      <c r="E548">
        <v>0</v>
      </c>
      <c r="F548">
        <v>0</v>
      </c>
      <c r="G548">
        <v>0</v>
      </c>
      <c r="H548">
        <v>0</v>
      </c>
    </row>
    <row r="549" spans="2:8">
      <c r="B549" t="s">
        <v>5762</v>
      </c>
      <c r="C549">
        <v>344</v>
      </c>
      <c r="D549">
        <v>6</v>
      </c>
      <c r="E549">
        <v>0</v>
      </c>
      <c r="F549">
        <v>0</v>
      </c>
      <c r="G549">
        <v>0</v>
      </c>
      <c r="H549">
        <v>0</v>
      </c>
    </row>
    <row r="550" spans="2:8">
      <c r="B550" t="s">
        <v>5762</v>
      </c>
      <c r="C550">
        <v>346</v>
      </c>
      <c r="D550">
        <v>8</v>
      </c>
      <c r="E550">
        <v>0</v>
      </c>
      <c r="F550">
        <v>0</v>
      </c>
      <c r="G550">
        <v>0</v>
      </c>
      <c r="H550">
        <v>0</v>
      </c>
    </row>
    <row r="551" spans="2:8">
      <c r="B551" t="s">
        <v>5762</v>
      </c>
      <c r="C551">
        <v>347</v>
      </c>
      <c r="D551">
        <v>10</v>
      </c>
      <c r="E551">
        <v>2</v>
      </c>
      <c r="F551">
        <v>0</v>
      </c>
      <c r="G551">
        <v>0</v>
      </c>
      <c r="H551">
        <v>2</v>
      </c>
    </row>
    <row r="552" spans="2:8">
      <c r="B552" t="s">
        <v>5762</v>
      </c>
      <c r="C552">
        <v>348</v>
      </c>
      <c r="D552">
        <v>5</v>
      </c>
      <c r="E552">
        <v>0</v>
      </c>
      <c r="F552">
        <v>0</v>
      </c>
      <c r="G552">
        <v>0</v>
      </c>
      <c r="H552">
        <v>0</v>
      </c>
    </row>
    <row r="553" spans="2:8">
      <c r="B553" t="s">
        <v>5762</v>
      </c>
      <c r="C553">
        <v>348</v>
      </c>
      <c r="D553">
        <v>3</v>
      </c>
      <c r="E553">
        <v>0</v>
      </c>
      <c r="F553">
        <v>0</v>
      </c>
      <c r="G553">
        <v>0</v>
      </c>
      <c r="H553">
        <v>0</v>
      </c>
    </row>
    <row r="554" spans="2:8">
      <c r="B554" t="s">
        <v>5762</v>
      </c>
      <c r="C554">
        <v>353</v>
      </c>
      <c r="D554">
        <v>13</v>
      </c>
      <c r="E554">
        <v>0</v>
      </c>
      <c r="F554">
        <v>0</v>
      </c>
      <c r="G554">
        <v>0</v>
      </c>
      <c r="H554">
        <v>0</v>
      </c>
    </row>
    <row r="555" spans="2:8">
      <c r="B555" t="s">
        <v>5762</v>
      </c>
      <c r="C555">
        <v>353</v>
      </c>
      <c r="D555">
        <v>12</v>
      </c>
      <c r="E555">
        <v>0</v>
      </c>
      <c r="F555">
        <v>0</v>
      </c>
      <c r="G555">
        <v>0</v>
      </c>
      <c r="H555">
        <v>0</v>
      </c>
    </row>
    <row r="556" spans="2:8">
      <c r="B556" t="s">
        <v>5762</v>
      </c>
      <c r="C556">
        <v>354</v>
      </c>
      <c r="D556">
        <v>9</v>
      </c>
      <c r="E556">
        <v>0</v>
      </c>
      <c r="F556">
        <v>0</v>
      </c>
      <c r="G556">
        <v>0</v>
      </c>
      <c r="H556">
        <v>0</v>
      </c>
    </row>
    <row r="557" spans="2:8">
      <c r="B557" t="s">
        <v>5762</v>
      </c>
      <c r="C557">
        <v>356</v>
      </c>
      <c r="D557">
        <v>8</v>
      </c>
      <c r="E557">
        <v>0</v>
      </c>
      <c r="F557">
        <v>0</v>
      </c>
      <c r="G557">
        <v>0</v>
      </c>
      <c r="H557">
        <v>0</v>
      </c>
    </row>
    <row r="558" spans="2:8">
      <c r="B558" t="s">
        <v>5762</v>
      </c>
      <c r="C558">
        <v>356</v>
      </c>
      <c r="D558">
        <v>2</v>
      </c>
      <c r="E558">
        <v>0</v>
      </c>
      <c r="F558">
        <v>0</v>
      </c>
      <c r="G558">
        <v>0</v>
      </c>
      <c r="H558">
        <v>0</v>
      </c>
    </row>
    <row r="559" spans="2:8">
      <c r="B559" t="s">
        <v>5762</v>
      </c>
      <c r="C559">
        <v>358</v>
      </c>
      <c r="D559">
        <v>5</v>
      </c>
      <c r="E559">
        <v>0</v>
      </c>
      <c r="F559">
        <v>0</v>
      </c>
      <c r="G559">
        <v>0</v>
      </c>
      <c r="H559">
        <v>0</v>
      </c>
    </row>
    <row r="560" spans="2:8">
      <c r="B560" t="s">
        <v>5762</v>
      </c>
      <c r="C560">
        <v>358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2:8">
      <c r="B561" t="s">
        <v>5762</v>
      </c>
      <c r="C561">
        <v>360</v>
      </c>
      <c r="D561">
        <v>2</v>
      </c>
      <c r="E561">
        <v>0</v>
      </c>
      <c r="F561">
        <v>0</v>
      </c>
      <c r="G561">
        <v>0</v>
      </c>
      <c r="H561">
        <v>0</v>
      </c>
    </row>
    <row r="562" spans="2:8">
      <c r="B562" t="s">
        <v>5762</v>
      </c>
      <c r="C562">
        <v>363</v>
      </c>
      <c r="D562">
        <v>12</v>
      </c>
      <c r="E562">
        <v>2</v>
      </c>
      <c r="F562">
        <v>0</v>
      </c>
      <c r="G562">
        <v>0</v>
      </c>
      <c r="H562">
        <v>2</v>
      </c>
    </row>
    <row r="563" spans="2:8">
      <c r="B563" t="s">
        <v>5762</v>
      </c>
      <c r="C563">
        <v>363</v>
      </c>
      <c r="D563">
        <v>8</v>
      </c>
      <c r="E563">
        <v>0</v>
      </c>
      <c r="F563">
        <v>0</v>
      </c>
      <c r="G563">
        <v>0</v>
      </c>
      <c r="H563">
        <v>0</v>
      </c>
    </row>
    <row r="564" spans="2:8">
      <c r="B564" t="s">
        <v>5762</v>
      </c>
      <c r="C564">
        <v>363</v>
      </c>
      <c r="D564">
        <v>6</v>
      </c>
      <c r="E564">
        <v>0</v>
      </c>
      <c r="F564">
        <v>0</v>
      </c>
      <c r="G564">
        <v>0</v>
      </c>
      <c r="H564">
        <v>0</v>
      </c>
    </row>
    <row r="565" spans="2:8">
      <c r="B565" t="s">
        <v>5762</v>
      </c>
      <c r="C565">
        <v>363</v>
      </c>
      <c r="D565">
        <v>3</v>
      </c>
      <c r="E565">
        <v>0</v>
      </c>
      <c r="F565">
        <v>0</v>
      </c>
      <c r="G565">
        <v>0</v>
      </c>
      <c r="H565">
        <v>0</v>
      </c>
    </row>
    <row r="566" spans="2:8">
      <c r="B566" t="s">
        <v>5762</v>
      </c>
      <c r="C566">
        <v>364</v>
      </c>
      <c r="D566">
        <v>6</v>
      </c>
      <c r="E566">
        <v>0</v>
      </c>
      <c r="F566">
        <v>0</v>
      </c>
      <c r="G566">
        <v>0</v>
      </c>
      <c r="H566">
        <v>0</v>
      </c>
    </row>
    <row r="567" spans="2:8">
      <c r="B567" t="s">
        <v>5762</v>
      </c>
      <c r="C567">
        <v>366</v>
      </c>
      <c r="D567">
        <v>2</v>
      </c>
      <c r="E567">
        <v>0</v>
      </c>
      <c r="F567">
        <v>0</v>
      </c>
      <c r="G567">
        <v>0</v>
      </c>
      <c r="H567">
        <v>0</v>
      </c>
    </row>
    <row r="568" spans="2:8">
      <c r="B568" t="s">
        <v>5762</v>
      </c>
      <c r="C568">
        <v>366</v>
      </c>
      <c r="D568">
        <v>2</v>
      </c>
      <c r="E568">
        <v>0</v>
      </c>
      <c r="F568">
        <v>0</v>
      </c>
      <c r="G568">
        <v>0</v>
      </c>
      <c r="H568">
        <v>0</v>
      </c>
    </row>
    <row r="569" spans="2:8">
      <c r="B569" t="s">
        <v>5762</v>
      </c>
      <c r="C569">
        <v>370</v>
      </c>
      <c r="D569">
        <v>6</v>
      </c>
      <c r="E569">
        <v>0</v>
      </c>
      <c r="F569">
        <v>0</v>
      </c>
      <c r="G569">
        <v>0</v>
      </c>
      <c r="H569">
        <v>0</v>
      </c>
    </row>
    <row r="570" spans="2:8">
      <c r="B570" t="s">
        <v>5762</v>
      </c>
      <c r="C570">
        <v>371</v>
      </c>
      <c r="D570">
        <v>9</v>
      </c>
      <c r="E570">
        <v>0</v>
      </c>
      <c r="F570">
        <v>0</v>
      </c>
      <c r="G570">
        <v>0</v>
      </c>
      <c r="H570">
        <v>0</v>
      </c>
    </row>
    <row r="571" spans="2:8">
      <c r="B571" t="s">
        <v>5762</v>
      </c>
      <c r="C571">
        <v>371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2:8">
      <c r="B572" t="s">
        <v>5762</v>
      </c>
      <c r="C572">
        <v>371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2:8">
      <c r="B573" t="s">
        <v>5762</v>
      </c>
      <c r="C573">
        <v>372</v>
      </c>
      <c r="D573">
        <v>8</v>
      </c>
      <c r="E573">
        <v>0</v>
      </c>
      <c r="F573">
        <v>0</v>
      </c>
      <c r="G573">
        <v>0</v>
      </c>
      <c r="H573">
        <v>0</v>
      </c>
    </row>
    <row r="574" spans="2:8">
      <c r="B574" t="s">
        <v>5762</v>
      </c>
      <c r="C574">
        <v>375</v>
      </c>
      <c r="D574">
        <v>4</v>
      </c>
      <c r="E574">
        <v>0</v>
      </c>
      <c r="F574">
        <v>0</v>
      </c>
      <c r="G574">
        <v>0</v>
      </c>
      <c r="H574">
        <v>0</v>
      </c>
    </row>
    <row r="575" spans="2:8">
      <c r="B575" t="s">
        <v>5762</v>
      </c>
      <c r="C575">
        <v>378</v>
      </c>
      <c r="D575">
        <v>2</v>
      </c>
      <c r="E575">
        <v>0</v>
      </c>
      <c r="F575">
        <v>0</v>
      </c>
      <c r="G575">
        <v>0</v>
      </c>
      <c r="H575">
        <v>0</v>
      </c>
    </row>
    <row r="576" spans="2:8">
      <c r="B576" t="s">
        <v>5762</v>
      </c>
      <c r="C576">
        <v>380</v>
      </c>
      <c r="D576">
        <v>29</v>
      </c>
      <c r="E576">
        <v>8</v>
      </c>
      <c r="F576">
        <v>0</v>
      </c>
      <c r="G576">
        <v>6</v>
      </c>
      <c r="H576">
        <v>2</v>
      </c>
    </row>
    <row r="577" spans="2:8">
      <c r="B577" t="s">
        <v>5762</v>
      </c>
      <c r="C577">
        <v>381</v>
      </c>
      <c r="D577">
        <v>1</v>
      </c>
      <c r="E577">
        <v>0</v>
      </c>
      <c r="F577">
        <v>0</v>
      </c>
      <c r="G577">
        <v>0</v>
      </c>
      <c r="H577">
        <v>0</v>
      </c>
    </row>
    <row r="578" spans="2:8">
      <c r="B578" t="s">
        <v>5762</v>
      </c>
      <c r="C578">
        <v>382</v>
      </c>
      <c r="D578">
        <v>9</v>
      </c>
      <c r="E578">
        <v>0</v>
      </c>
      <c r="F578">
        <v>0</v>
      </c>
      <c r="G578">
        <v>0</v>
      </c>
      <c r="H578">
        <v>0</v>
      </c>
    </row>
    <row r="579" spans="2:8">
      <c r="B579" t="s">
        <v>5762</v>
      </c>
      <c r="C579">
        <v>382</v>
      </c>
      <c r="D579">
        <v>4</v>
      </c>
      <c r="E579">
        <v>0</v>
      </c>
      <c r="F579">
        <v>0</v>
      </c>
      <c r="G579">
        <v>0</v>
      </c>
      <c r="H579">
        <v>0</v>
      </c>
    </row>
    <row r="580" spans="2:8">
      <c r="B580" t="s">
        <v>5762</v>
      </c>
      <c r="C580">
        <v>382</v>
      </c>
      <c r="D580">
        <v>3</v>
      </c>
      <c r="E580">
        <v>0</v>
      </c>
      <c r="F580">
        <v>0</v>
      </c>
      <c r="G580">
        <v>0</v>
      </c>
      <c r="H580">
        <v>0</v>
      </c>
    </row>
    <row r="581" spans="2:8">
      <c r="B581" t="s">
        <v>5762</v>
      </c>
      <c r="C581">
        <v>383</v>
      </c>
      <c r="D581">
        <v>8</v>
      </c>
      <c r="E581">
        <v>2</v>
      </c>
      <c r="F581">
        <v>0</v>
      </c>
      <c r="G581">
        <v>0</v>
      </c>
      <c r="H581">
        <v>2</v>
      </c>
    </row>
    <row r="582" spans="2:8">
      <c r="B582" t="s">
        <v>5762</v>
      </c>
      <c r="C582">
        <v>385</v>
      </c>
      <c r="D582">
        <v>7</v>
      </c>
      <c r="E582">
        <v>0</v>
      </c>
      <c r="F582">
        <v>0</v>
      </c>
      <c r="G582">
        <v>0</v>
      </c>
      <c r="H582">
        <v>0</v>
      </c>
    </row>
    <row r="583" spans="2:8">
      <c r="B583" t="s">
        <v>5762</v>
      </c>
      <c r="C583">
        <v>385</v>
      </c>
      <c r="D583">
        <v>3</v>
      </c>
      <c r="E583">
        <v>0</v>
      </c>
      <c r="F583">
        <v>0</v>
      </c>
      <c r="G583">
        <v>0</v>
      </c>
      <c r="H583">
        <v>0</v>
      </c>
    </row>
    <row r="584" spans="2:8">
      <c r="B584" t="s">
        <v>5762</v>
      </c>
      <c r="C584">
        <v>386</v>
      </c>
      <c r="D584">
        <v>20</v>
      </c>
      <c r="E584">
        <v>0</v>
      </c>
      <c r="F584">
        <v>0</v>
      </c>
      <c r="G584">
        <v>0</v>
      </c>
      <c r="H584">
        <v>0</v>
      </c>
    </row>
    <row r="585" spans="2:8">
      <c r="B585" t="s">
        <v>5762</v>
      </c>
      <c r="C585">
        <v>386</v>
      </c>
      <c r="D585">
        <v>5</v>
      </c>
      <c r="E585">
        <v>0</v>
      </c>
      <c r="F585">
        <v>0</v>
      </c>
      <c r="G585">
        <v>0</v>
      </c>
      <c r="H585">
        <v>0</v>
      </c>
    </row>
    <row r="586" spans="2:8">
      <c r="B586" t="s">
        <v>5762</v>
      </c>
      <c r="C586">
        <v>390</v>
      </c>
      <c r="D586">
        <v>16</v>
      </c>
      <c r="E586">
        <v>0</v>
      </c>
      <c r="F586">
        <v>0</v>
      </c>
      <c r="G586">
        <v>0</v>
      </c>
      <c r="H586">
        <v>0</v>
      </c>
    </row>
    <row r="587" spans="2:8">
      <c r="B587" t="s">
        <v>5762</v>
      </c>
      <c r="C587">
        <v>390</v>
      </c>
      <c r="D587">
        <v>2</v>
      </c>
      <c r="E587">
        <v>0</v>
      </c>
      <c r="F587">
        <v>0</v>
      </c>
      <c r="G587">
        <v>0</v>
      </c>
      <c r="H587">
        <v>0</v>
      </c>
    </row>
    <row r="588" spans="2:8">
      <c r="B588" t="s">
        <v>5762</v>
      </c>
      <c r="C588">
        <v>392</v>
      </c>
      <c r="D588">
        <v>4</v>
      </c>
      <c r="E588">
        <v>0</v>
      </c>
      <c r="F588">
        <v>0</v>
      </c>
      <c r="G588">
        <v>0</v>
      </c>
      <c r="H588">
        <v>0</v>
      </c>
    </row>
    <row r="589" spans="2:8">
      <c r="B589" t="s">
        <v>5762</v>
      </c>
      <c r="C589">
        <v>392</v>
      </c>
      <c r="D589">
        <v>3</v>
      </c>
      <c r="E589">
        <v>0</v>
      </c>
      <c r="F589">
        <v>0</v>
      </c>
      <c r="G589">
        <v>0</v>
      </c>
      <c r="H589">
        <v>0</v>
      </c>
    </row>
    <row r="590" spans="2:8">
      <c r="B590" t="s">
        <v>5762</v>
      </c>
      <c r="C590">
        <v>393</v>
      </c>
      <c r="D590">
        <v>3</v>
      </c>
      <c r="E590">
        <v>0</v>
      </c>
      <c r="F590">
        <v>0</v>
      </c>
      <c r="G590">
        <v>0</v>
      </c>
      <c r="H590">
        <v>0</v>
      </c>
    </row>
    <row r="591" spans="2:8">
      <c r="B591" t="s">
        <v>5762</v>
      </c>
      <c r="C591">
        <v>394</v>
      </c>
      <c r="D591">
        <v>5</v>
      </c>
      <c r="E591">
        <v>0</v>
      </c>
      <c r="F591">
        <v>0</v>
      </c>
      <c r="G591">
        <v>0</v>
      </c>
      <c r="H591">
        <v>0</v>
      </c>
    </row>
    <row r="592" spans="2:8">
      <c r="B592" t="s">
        <v>5762</v>
      </c>
      <c r="C592">
        <v>395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2:8">
      <c r="B593" t="s">
        <v>5762</v>
      </c>
      <c r="C593">
        <v>396</v>
      </c>
      <c r="D593">
        <v>5</v>
      </c>
      <c r="E593">
        <v>0</v>
      </c>
      <c r="F593">
        <v>0</v>
      </c>
      <c r="G593">
        <v>0</v>
      </c>
      <c r="H593">
        <v>0</v>
      </c>
    </row>
    <row r="594" spans="2:8">
      <c r="B594" t="s">
        <v>5762</v>
      </c>
      <c r="C594">
        <v>398</v>
      </c>
      <c r="D594">
        <v>14</v>
      </c>
      <c r="E594">
        <v>0</v>
      </c>
      <c r="F594">
        <v>0</v>
      </c>
      <c r="G594">
        <v>0</v>
      </c>
      <c r="H594">
        <v>0</v>
      </c>
    </row>
    <row r="595" spans="2:8">
      <c r="B595" t="s">
        <v>5762</v>
      </c>
      <c r="C595">
        <v>398</v>
      </c>
      <c r="D595">
        <v>7</v>
      </c>
      <c r="E595">
        <v>0</v>
      </c>
      <c r="F595">
        <v>0</v>
      </c>
      <c r="G595">
        <v>0</v>
      </c>
      <c r="H595">
        <v>0</v>
      </c>
    </row>
    <row r="596" spans="2:8">
      <c r="B596" t="s">
        <v>5762</v>
      </c>
      <c r="C596">
        <v>399</v>
      </c>
      <c r="D596">
        <v>30</v>
      </c>
      <c r="E596">
        <v>4</v>
      </c>
      <c r="F596">
        <v>0</v>
      </c>
      <c r="G596">
        <v>0</v>
      </c>
      <c r="H596">
        <v>4</v>
      </c>
    </row>
    <row r="597" spans="2:8">
      <c r="B597" t="s">
        <v>5762</v>
      </c>
      <c r="C597">
        <v>400</v>
      </c>
      <c r="D597">
        <v>1</v>
      </c>
      <c r="E597">
        <v>0</v>
      </c>
      <c r="F597">
        <v>0</v>
      </c>
      <c r="G597">
        <v>0</v>
      </c>
      <c r="H597">
        <v>0</v>
      </c>
    </row>
    <row r="598" spans="2:8">
      <c r="B598" t="s">
        <v>5762</v>
      </c>
      <c r="C598">
        <v>403</v>
      </c>
      <c r="D598">
        <v>4</v>
      </c>
      <c r="E598">
        <v>0</v>
      </c>
      <c r="F598">
        <v>0</v>
      </c>
      <c r="G598">
        <v>0</v>
      </c>
      <c r="H598">
        <v>0</v>
      </c>
    </row>
    <row r="599" spans="2:8">
      <c r="B599" t="s">
        <v>5762</v>
      </c>
      <c r="C599">
        <v>404</v>
      </c>
      <c r="D599">
        <v>6</v>
      </c>
      <c r="E599">
        <v>0</v>
      </c>
      <c r="F599">
        <v>0</v>
      </c>
      <c r="G599">
        <v>0</v>
      </c>
      <c r="H599">
        <v>0</v>
      </c>
    </row>
    <row r="600" spans="2:8">
      <c r="B600" t="s">
        <v>5762</v>
      </c>
      <c r="C600">
        <v>406</v>
      </c>
      <c r="D600">
        <v>8</v>
      </c>
      <c r="E600">
        <v>0</v>
      </c>
      <c r="F600">
        <v>0</v>
      </c>
      <c r="G600">
        <v>0</v>
      </c>
      <c r="H600">
        <v>0</v>
      </c>
    </row>
    <row r="601" spans="2:8">
      <c r="B601" t="s">
        <v>5762</v>
      </c>
      <c r="C601">
        <v>409</v>
      </c>
      <c r="D601">
        <v>6</v>
      </c>
      <c r="E601">
        <v>0</v>
      </c>
      <c r="F601">
        <v>0</v>
      </c>
      <c r="G601">
        <v>0</v>
      </c>
      <c r="H601">
        <v>0</v>
      </c>
    </row>
    <row r="602" spans="2:8">
      <c r="B602" t="s">
        <v>5762</v>
      </c>
      <c r="C602">
        <v>411</v>
      </c>
      <c r="D602">
        <v>5</v>
      </c>
      <c r="E602">
        <v>0</v>
      </c>
      <c r="F602">
        <v>0</v>
      </c>
      <c r="G602">
        <v>0</v>
      </c>
      <c r="H602">
        <v>0</v>
      </c>
    </row>
    <row r="603" spans="2:8">
      <c r="B603" t="s">
        <v>5762</v>
      </c>
      <c r="C603">
        <v>412</v>
      </c>
      <c r="D603">
        <v>11</v>
      </c>
      <c r="E603">
        <v>0</v>
      </c>
      <c r="F603">
        <v>0</v>
      </c>
      <c r="G603">
        <v>0</v>
      </c>
      <c r="H603">
        <v>0</v>
      </c>
    </row>
    <row r="604" spans="2:8">
      <c r="B604" t="s">
        <v>5762</v>
      </c>
      <c r="C604">
        <v>415</v>
      </c>
      <c r="D604">
        <v>7</v>
      </c>
      <c r="E604">
        <v>0</v>
      </c>
      <c r="F604">
        <v>0</v>
      </c>
      <c r="G604">
        <v>0</v>
      </c>
      <c r="H604">
        <v>0</v>
      </c>
    </row>
    <row r="605" spans="2:8">
      <c r="B605" t="s">
        <v>5762</v>
      </c>
      <c r="C605">
        <v>420</v>
      </c>
      <c r="D605">
        <v>1</v>
      </c>
      <c r="E605">
        <v>0</v>
      </c>
      <c r="F605">
        <v>0</v>
      </c>
      <c r="G605">
        <v>0</v>
      </c>
      <c r="H605">
        <v>0</v>
      </c>
    </row>
    <row r="606" spans="2:8">
      <c r="B606" t="s">
        <v>5762</v>
      </c>
      <c r="C606">
        <v>421</v>
      </c>
      <c r="D606">
        <v>6</v>
      </c>
      <c r="E606">
        <v>0</v>
      </c>
      <c r="F606">
        <v>0</v>
      </c>
      <c r="G606">
        <v>0</v>
      </c>
      <c r="H606">
        <v>0</v>
      </c>
    </row>
    <row r="607" spans="2:8">
      <c r="B607" t="s">
        <v>5762</v>
      </c>
      <c r="C607">
        <v>421</v>
      </c>
      <c r="D607">
        <v>6</v>
      </c>
      <c r="E607">
        <v>2</v>
      </c>
      <c r="F607">
        <v>0</v>
      </c>
      <c r="G607">
        <v>2</v>
      </c>
      <c r="H607">
        <v>0</v>
      </c>
    </row>
    <row r="608" spans="2:8">
      <c r="B608" t="s">
        <v>5762</v>
      </c>
      <c r="C608">
        <v>422</v>
      </c>
      <c r="D608">
        <v>24</v>
      </c>
      <c r="E608">
        <v>2</v>
      </c>
      <c r="F608">
        <v>0</v>
      </c>
      <c r="G608">
        <v>0</v>
      </c>
      <c r="H608">
        <v>2</v>
      </c>
    </row>
    <row r="609" spans="2:8">
      <c r="B609" t="s">
        <v>5762</v>
      </c>
      <c r="C609">
        <v>422</v>
      </c>
      <c r="D609">
        <v>13</v>
      </c>
      <c r="E609">
        <v>0</v>
      </c>
      <c r="F609">
        <v>0</v>
      </c>
      <c r="G609">
        <v>0</v>
      </c>
      <c r="H609">
        <v>0</v>
      </c>
    </row>
    <row r="610" spans="2:8">
      <c r="B610" t="s">
        <v>5762</v>
      </c>
      <c r="C610">
        <v>422</v>
      </c>
      <c r="D610">
        <v>7</v>
      </c>
      <c r="E610">
        <v>0</v>
      </c>
      <c r="F610">
        <v>0</v>
      </c>
      <c r="G610">
        <v>0</v>
      </c>
      <c r="H610">
        <v>0</v>
      </c>
    </row>
    <row r="611" spans="2:8">
      <c r="B611" t="s">
        <v>5762</v>
      </c>
      <c r="C611">
        <v>423</v>
      </c>
      <c r="D611">
        <v>13</v>
      </c>
      <c r="E611">
        <v>0</v>
      </c>
      <c r="F611">
        <v>0</v>
      </c>
      <c r="G611">
        <v>0</v>
      </c>
      <c r="H611">
        <v>0</v>
      </c>
    </row>
    <row r="612" spans="2:8">
      <c r="B612" t="s">
        <v>5762</v>
      </c>
      <c r="C612">
        <v>423</v>
      </c>
      <c r="D612">
        <v>5</v>
      </c>
      <c r="E612">
        <v>0</v>
      </c>
      <c r="F612">
        <v>0</v>
      </c>
      <c r="G612">
        <v>0</v>
      </c>
      <c r="H612">
        <v>0</v>
      </c>
    </row>
    <row r="613" spans="2:8">
      <c r="B613" t="s">
        <v>5762</v>
      </c>
      <c r="C613">
        <v>424</v>
      </c>
      <c r="D613">
        <v>10</v>
      </c>
      <c r="E613">
        <v>0</v>
      </c>
      <c r="F613">
        <v>0</v>
      </c>
      <c r="G613">
        <v>0</v>
      </c>
      <c r="H613">
        <v>0</v>
      </c>
    </row>
    <row r="614" spans="2:8">
      <c r="B614" t="s">
        <v>5762</v>
      </c>
      <c r="C614">
        <v>424</v>
      </c>
      <c r="D614">
        <v>15</v>
      </c>
      <c r="E614">
        <v>2</v>
      </c>
      <c r="F614">
        <v>0</v>
      </c>
      <c r="G614">
        <v>2</v>
      </c>
      <c r="H614">
        <v>0</v>
      </c>
    </row>
    <row r="615" spans="2:8">
      <c r="B615" t="s">
        <v>5762</v>
      </c>
      <c r="C615">
        <v>427</v>
      </c>
      <c r="D615">
        <v>4</v>
      </c>
      <c r="E615">
        <v>0</v>
      </c>
      <c r="F615">
        <v>0</v>
      </c>
      <c r="G615">
        <v>0</v>
      </c>
      <c r="H615">
        <v>0</v>
      </c>
    </row>
    <row r="616" spans="2:8">
      <c r="B616" t="s">
        <v>5762</v>
      </c>
      <c r="C616">
        <v>427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2:8">
      <c r="B617" t="s">
        <v>5762</v>
      </c>
      <c r="C617">
        <v>428</v>
      </c>
      <c r="D617">
        <v>12</v>
      </c>
      <c r="E617">
        <v>2</v>
      </c>
      <c r="F617">
        <v>0</v>
      </c>
      <c r="G617">
        <v>2</v>
      </c>
      <c r="H617">
        <v>0</v>
      </c>
    </row>
    <row r="618" spans="2:8">
      <c r="B618" t="s">
        <v>5762</v>
      </c>
      <c r="C618">
        <v>428</v>
      </c>
      <c r="D618">
        <v>10</v>
      </c>
      <c r="E618">
        <v>0</v>
      </c>
      <c r="F618">
        <v>0</v>
      </c>
      <c r="G618">
        <v>0</v>
      </c>
      <c r="H618">
        <v>0</v>
      </c>
    </row>
    <row r="619" spans="2:8">
      <c r="B619" t="s">
        <v>5762</v>
      </c>
      <c r="C619">
        <v>428</v>
      </c>
      <c r="D619">
        <v>7</v>
      </c>
      <c r="E619">
        <v>0</v>
      </c>
      <c r="F619">
        <v>0</v>
      </c>
      <c r="G619">
        <v>0</v>
      </c>
      <c r="H619">
        <v>0</v>
      </c>
    </row>
    <row r="620" spans="2:8">
      <c r="B620" t="s">
        <v>5762</v>
      </c>
      <c r="C620">
        <v>429</v>
      </c>
      <c r="D620">
        <v>2</v>
      </c>
      <c r="E620">
        <v>0</v>
      </c>
      <c r="F620">
        <v>0</v>
      </c>
      <c r="G620">
        <v>0</v>
      </c>
      <c r="H620">
        <v>0</v>
      </c>
    </row>
    <row r="621" spans="2:8">
      <c r="B621" t="s">
        <v>5762</v>
      </c>
      <c r="C621">
        <v>430</v>
      </c>
      <c r="D621">
        <v>8</v>
      </c>
      <c r="E621">
        <v>0</v>
      </c>
      <c r="F621">
        <v>0</v>
      </c>
      <c r="G621">
        <v>0</v>
      </c>
      <c r="H621">
        <v>0</v>
      </c>
    </row>
    <row r="622" spans="2:8">
      <c r="B622" t="s">
        <v>5762</v>
      </c>
      <c r="C622">
        <v>430</v>
      </c>
      <c r="D622">
        <v>8</v>
      </c>
      <c r="E622">
        <v>0</v>
      </c>
      <c r="F622">
        <v>0</v>
      </c>
      <c r="G622">
        <v>0</v>
      </c>
      <c r="H622">
        <v>0</v>
      </c>
    </row>
    <row r="623" spans="2:8">
      <c r="B623" t="s">
        <v>5762</v>
      </c>
      <c r="C623">
        <v>430</v>
      </c>
      <c r="D623">
        <v>6</v>
      </c>
      <c r="E623">
        <v>0</v>
      </c>
      <c r="F623">
        <v>0</v>
      </c>
      <c r="G623">
        <v>0</v>
      </c>
      <c r="H623">
        <v>0</v>
      </c>
    </row>
    <row r="624" spans="2:8">
      <c r="B624" t="s">
        <v>5762</v>
      </c>
      <c r="C624">
        <v>431</v>
      </c>
      <c r="D624">
        <v>5</v>
      </c>
      <c r="E624">
        <v>0</v>
      </c>
      <c r="F624">
        <v>0</v>
      </c>
      <c r="G624">
        <v>0</v>
      </c>
      <c r="H624">
        <v>0</v>
      </c>
    </row>
    <row r="625" spans="2:8">
      <c r="B625" t="s">
        <v>5762</v>
      </c>
      <c r="C625">
        <v>431</v>
      </c>
      <c r="D625">
        <v>5</v>
      </c>
      <c r="E625">
        <v>2</v>
      </c>
      <c r="F625">
        <v>0</v>
      </c>
      <c r="G625">
        <v>2</v>
      </c>
      <c r="H625">
        <v>0</v>
      </c>
    </row>
    <row r="626" spans="2:8">
      <c r="B626" t="s">
        <v>5762</v>
      </c>
      <c r="C626">
        <v>432</v>
      </c>
      <c r="D626">
        <v>6</v>
      </c>
      <c r="E626">
        <v>0</v>
      </c>
      <c r="F626">
        <v>0</v>
      </c>
      <c r="G626">
        <v>0</v>
      </c>
      <c r="H626">
        <v>0</v>
      </c>
    </row>
    <row r="627" spans="2:8">
      <c r="B627" t="s">
        <v>5762</v>
      </c>
      <c r="C627">
        <v>433</v>
      </c>
      <c r="D627">
        <v>9</v>
      </c>
      <c r="E627">
        <v>0</v>
      </c>
      <c r="F627">
        <v>0</v>
      </c>
      <c r="G627">
        <v>0</v>
      </c>
      <c r="H627">
        <v>0</v>
      </c>
    </row>
    <row r="628" spans="2:8">
      <c r="B628" t="s">
        <v>5762</v>
      </c>
      <c r="C628">
        <v>433</v>
      </c>
      <c r="D628">
        <v>3</v>
      </c>
      <c r="E628">
        <v>0</v>
      </c>
      <c r="F628">
        <v>0</v>
      </c>
      <c r="G628">
        <v>0</v>
      </c>
      <c r="H628">
        <v>0</v>
      </c>
    </row>
    <row r="629" spans="2:8">
      <c r="B629" t="s">
        <v>5762</v>
      </c>
      <c r="C629">
        <v>436</v>
      </c>
      <c r="D629">
        <v>4</v>
      </c>
      <c r="E629">
        <v>0</v>
      </c>
      <c r="F629">
        <v>0</v>
      </c>
      <c r="G629">
        <v>0</v>
      </c>
      <c r="H629">
        <v>0</v>
      </c>
    </row>
    <row r="630" spans="2:8">
      <c r="B630" t="s">
        <v>5762</v>
      </c>
      <c r="C630">
        <v>437</v>
      </c>
      <c r="D630">
        <v>11</v>
      </c>
      <c r="E630">
        <v>4</v>
      </c>
      <c r="F630">
        <v>0</v>
      </c>
      <c r="G630">
        <v>0</v>
      </c>
      <c r="H630">
        <v>4</v>
      </c>
    </row>
    <row r="631" spans="2:8">
      <c r="B631" t="s">
        <v>5762</v>
      </c>
      <c r="C631">
        <v>437</v>
      </c>
      <c r="D631">
        <v>7</v>
      </c>
      <c r="E631">
        <v>4</v>
      </c>
      <c r="F631">
        <v>0</v>
      </c>
      <c r="G631">
        <v>2</v>
      </c>
      <c r="H631">
        <v>2</v>
      </c>
    </row>
    <row r="632" spans="2:8">
      <c r="B632" t="s">
        <v>5762</v>
      </c>
      <c r="C632">
        <v>440</v>
      </c>
      <c r="D632">
        <v>7</v>
      </c>
      <c r="E632">
        <v>0</v>
      </c>
      <c r="F632">
        <v>0</v>
      </c>
      <c r="G632">
        <v>0</v>
      </c>
      <c r="H632">
        <v>0</v>
      </c>
    </row>
    <row r="633" spans="2:8">
      <c r="B633" t="s">
        <v>5762</v>
      </c>
      <c r="C633">
        <v>442</v>
      </c>
      <c r="D633">
        <v>3</v>
      </c>
      <c r="E633">
        <v>0</v>
      </c>
      <c r="F633">
        <v>0</v>
      </c>
      <c r="G633">
        <v>0</v>
      </c>
      <c r="H633">
        <v>0</v>
      </c>
    </row>
    <row r="634" spans="2:8">
      <c r="B634" t="s">
        <v>5762</v>
      </c>
      <c r="C634">
        <v>443</v>
      </c>
      <c r="D634">
        <v>15</v>
      </c>
      <c r="E634">
        <v>2</v>
      </c>
      <c r="F634">
        <v>0</v>
      </c>
      <c r="G634">
        <v>2</v>
      </c>
      <c r="H634">
        <v>0</v>
      </c>
    </row>
    <row r="635" spans="2:8">
      <c r="B635" t="s">
        <v>5762</v>
      </c>
      <c r="C635">
        <v>444</v>
      </c>
      <c r="D635">
        <v>5</v>
      </c>
      <c r="E635">
        <v>0</v>
      </c>
      <c r="F635">
        <v>0</v>
      </c>
      <c r="G635">
        <v>0</v>
      </c>
      <c r="H635">
        <v>0</v>
      </c>
    </row>
    <row r="636" spans="2:8">
      <c r="B636" t="s">
        <v>5762</v>
      </c>
      <c r="C636">
        <v>445</v>
      </c>
      <c r="D636">
        <v>27</v>
      </c>
      <c r="E636">
        <v>4</v>
      </c>
      <c r="F636">
        <v>0</v>
      </c>
      <c r="G636">
        <v>0</v>
      </c>
      <c r="H636">
        <v>4</v>
      </c>
    </row>
    <row r="637" spans="2:8">
      <c r="B637" t="s">
        <v>5762</v>
      </c>
      <c r="C637">
        <v>446</v>
      </c>
      <c r="D637">
        <v>3</v>
      </c>
      <c r="E637">
        <v>0</v>
      </c>
      <c r="F637">
        <v>0</v>
      </c>
      <c r="G637">
        <v>0</v>
      </c>
      <c r="H637">
        <v>0</v>
      </c>
    </row>
    <row r="638" spans="2:8">
      <c r="B638" t="s">
        <v>5762</v>
      </c>
      <c r="C638">
        <v>446</v>
      </c>
      <c r="D638">
        <v>1</v>
      </c>
      <c r="E638">
        <v>0</v>
      </c>
      <c r="F638">
        <v>0</v>
      </c>
      <c r="G638">
        <v>0</v>
      </c>
      <c r="H638">
        <v>0</v>
      </c>
    </row>
    <row r="639" spans="2:8">
      <c r="B639" t="s">
        <v>5762</v>
      </c>
      <c r="C639">
        <v>448</v>
      </c>
      <c r="D639">
        <v>2</v>
      </c>
      <c r="E639">
        <v>0</v>
      </c>
      <c r="F639">
        <v>0</v>
      </c>
      <c r="G639">
        <v>0</v>
      </c>
      <c r="H639">
        <v>0</v>
      </c>
    </row>
    <row r="640" spans="2:8">
      <c r="B640" t="s">
        <v>5762</v>
      </c>
      <c r="C640">
        <v>450</v>
      </c>
      <c r="D640">
        <v>5</v>
      </c>
      <c r="E640">
        <v>0</v>
      </c>
      <c r="F640">
        <v>0</v>
      </c>
      <c r="G640">
        <v>0</v>
      </c>
      <c r="H640">
        <v>0</v>
      </c>
    </row>
    <row r="641" spans="2:8">
      <c r="B641" t="s">
        <v>5762</v>
      </c>
      <c r="C641">
        <v>450</v>
      </c>
      <c r="D641">
        <v>2</v>
      </c>
      <c r="E641">
        <v>0</v>
      </c>
      <c r="F641">
        <v>0</v>
      </c>
      <c r="G641">
        <v>0</v>
      </c>
      <c r="H641">
        <v>0</v>
      </c>
    </row>
    <row r="642" spans="2:8">
      <c r="B642" t="s">
        <v>5762</v>
      </c>
      <c r="C642">
        <v>454</v>
      </c>
      <c r="D642">
        <v>3</v>
      </c>
      <c r="E642">
        <v>0</v>
      </c>
      <c r="F642">
        <v>0</v>
      </c>
      <c r="G642">
        <v>0</v>
      </c>
      <c r="H642">
        <v>0</v>
      </c>
    </row>
    <row r="643" spans="2:8">
      <c r="B643" t="s">
        <v>5762</v>
      </c>
      <c r="C643">
        <v>455</v>
      </c>
      <c r="D643">
        <v>8</v>
      </c>
      <c r="E643">
        <v>2</v>
      </c>
      <c r="F643">
        <v>0</v>
      </c>
      <c r="G643">
        <v>0</v>
      </c>
      <c r="H643">
        <v>2</v>
      </c>
    </row>
    <row r="644" spans="2:8">
      <c r="B644" t="s">
        <v>5762</v>
      </c>
      <c r="C644">
        <v>456</v>
      </c>
      <c r="D644">
        <v>8</v>
      </c>
      <c r="E644">
        <v>0</v>
      </c>
      <c r="F644">
        <v>0</v>
      </c>
      <c r="G644">
        <v>0</v>
      </c>
      <c r="H644">
        <v>0</v>
      </c>
    </row>
    <row r="645" spans="2:8">
      <c r="B645" t="s">
        <v>5762</v>
      </c>
      <c r="C645">
        <v>459</v>
      </c>
      <c r="D645">
        <v>11</v>
      </c>
      <c r="E645">
        <v>0</v>
      </c>
      <c r="F645">
        <v>0</v>
      </c>
      <c r="G645">
        <v>0</v>
      </c>
      <c r="H645">
        <v>0</v>
      </c>
    </row>
    <row r="646" spans="2:8">
      <c r="B646" t="s">
        <v>5762</v>
      </c>
      <c r="C646">
        <v>459</v>
      </c>
      <c r="D646">
        <v>7</v>
      </c>
      <c r="E646">
        <v>0</v>
      </c>
      <c r="F646">
        <v>0</v>
      </c>
      <c r="G646">
        <v>0</v>
      </c>
      <c r="H646">
        <v>0</v>
      </c>
    </row>
    <row r="647" spans="2:8">
      <c r="B647" t="s">
        <v>5762</v>
      </c>
      <c r="C647">
        <v>462</v>
      </c>
      <c r="D647">
        <v>3</v>
      </c>
      <c r="E647">
        <v>0</v>
      </c>
      <c r="F647">
        <v>0</v>
      </c>
      <c r="G647">
        <v>0</v>
      </c>
      <c r="H647">
        <v>0</v>
      </c>
    </row>
    <row r="648" spans="2:8">
      <c r="B648" t="s">
        <v>5762</v>
      </c>
      <c r="C648">
        <v>463</v>
      </c>
      <c r="D648">
        <v>17</v>
      </c>
      <c r="E648">
        <v>2</v>
      </c>
      <c r="F648">
        <v>0</v>
      </c>
      <c r="G648">
        <v>2</v>
      </c>
      <c r="H648">
        <v>0</v>
      </c>
    </row>
    <row r="649" spans="2:8">
      <c r="B649" t="s">
        <v>5762</v>
      </c>
      <c r="C649">
        <v>465</v>
      </c>
      <c r="D649">
        <v>1</v>
      </c>
      <c r="E649">
        <v>0</v>
      </c>
      <c r="F649">
        <v>0</v>
      </c>
      <c r="G649">
        <v>0</v>
      </c>
      <c r="H649">
        <v>0</v>
      </c>
    </row>
    <row r="650" spans="2:8">
      <c r="B650" t="s">
        <v>5762</v>
      </c>
      <c r="C650">
        <v>466</v>
      </c>
      <c r="D650">
        <v>5</v>
      </c>
      <c r="E650">
        <v>0</v>
      </c>
      <c r="F650">
        <v>0</v>
      </c>
      <c r="G650">
        <v>0</v>
      </c>
      <c r="H650">
        <v>0</v>
      </c>
    </row>
    <row r="651" spans="2:8">
      <c r="B651" t="s">
        <v>5762</v>
      </c>
      <c r="C651">
        <v>467</v>
      </c>
      <c r="D651">
        <v>4</v>
      </c>
      <c r="E651">
        <v>0</v>
      </c>
      <c r="F651">
        <v>0</v>
      </c>
      <c r="G651">
        <v>0</v>
      </c>
      <c r="H651">
        <v>0</v>
      </c>
    </row>
    <row r="652" spans="2:8">
      <c r="B652" t="s">
        <v>5762</v>
      </c>
      <c r="C652">
        <v>468</v>
      </c>
      <c r="D652">
        <v>7</v>
      </c>
      <c r="E652">
        <v>0</v>
      </c>
      <c r="F652">
        <v>0</v>
      </c>
      <c r="G652">
        <v>0</v>
      </c>
      <c r="H652">
        <v>0</v>
      </c>
    </row>
    <row r="653" spans="2:8">
      <c r="B653" t="s">
        <v>5762</v>
      </c>
      <c r="C653">
        <v>469</v>
      </c>
      <c r="D653">
        <v>12</v>
      </c>
      <c r="E653">
        <v>0</v>
      </c>
      <c r="F653">
        <v>0</v>
      </c>
      <c r="G653">
        <v>0</v>
      </c>
      <c r="H653">
        <v>0</v>
      </c>
    </row>
    <row r="654" spans="2:8">
      <c r="B654" t="s">
        <v>5762</v>
      </c>
      <c r="C654">
        <v>469</v>
      </c>
      <c r="D654">
        <v>2</v>
      </c>
      <c r="E654">
        <v>0</v>
      </c>
      <c r="F654">
        <v>0</v>
      </c>
      <c r="G654">
        <v>0</v>
      </c>
      <c r="H654">
        <v>0</v>
      </c>
    </row>
    <row r="655" spans="2:8">
      <c r="B655" t="s">
        <v>5762</v>
      </c>
      <c r="C655">
        <v>470</v>
      </c>
      <c r="D655">
        <v>4</v>
      </c>
      <c r="E655">
        <v>0</v>
      </c>
      <c r="F655">
        <v>0</v>
      </c>
      <c r="G655">
        <v>0</v>
      </c>
      <c r="H655">
        <v>0</v>
      </c>
    </row>
    <row r="656" spans="2:8">
      <c r="B656" t="s">
        <v>5762</v>
      </c>
      <c r="C656">
        <v>472</v>
      </c>
      <c r="D656">
        <v>29</v>
      </c>
      <c r="E656">
        <v>4</v>
      </c>
      <c r="F656">
        <v>0</v>
      </c>
      <c r="G656">
        <v>2</v>
      </c>
      <c r="H656">
        <v>2</v>
      </c>
    </row>
    <row r="657" spans="2:8">
      <c r="B657" t="s">
        <v>5762</v>
      </c>
      <c r="C657">
        <v>472</v>
      </c>
      <c r="D657">
        <v>9</v>
      </c>
      <c r="E657">
        <v>2</v>
      </c>
      <c r="F657">
        <v>0</v>
      </c>
      <c r="G657">
        <v>0</v>
      </c>
      <c r="H657">
        <v>2</v>
      </c>
    </row>
    <row r="658" spans="2:8">
      <c r="B658" t="s">
        <v>5762</v>
      </c>
      <c r="C658">
        <v>473</v>
      </c>
      <c r="D658">
        <v>5</v>
      </c>
      <c r="E658">
        <v>0</v>
      </c>
      <c r="F658">
        <v>0</v>
      </c>
      <c r="G658">
        <v>0</v>
      </c>
      <c r="H658">
        <v>0</v>
      </c>
    </row>
    <row r="659" spans="2:8">
      <c r="B659" t="s">
        <v>5762</v>
      </c>
      <c r="C659">
        <v>476</v>
      </c>
      <c r="D659">
        <v>1</v>
      </c>
      <c r="E659">
        <v>0</v>
      </c>
      <c r="F659">
        <v>0</v>
      </c>
      <c r="G659">
        <v>0</v>
      </c>
      <c r="H659">
        <v>0</v>
      </c>
    </row>
    <row r="660" spans="2:8">
      <c r="B660" t="s">
        <v>5762</v>
      </c>
      <c r="C660">
        <v>478</v>
      </c>
      <c r="D660">
        <v>12</v>
      </c>
      <c r="E660">
        <v>0</v>
      </c>
      <c r="F660">
        <v>0</v>
      </c>
      <c r="G660">
        <v>0</v>
      </c>
      <c r="H660">
        <v>0</v>
      </c>
    </row>
    <row r="661" spans="2:8">
      <c r="B661" t="s">
        <v>5762</v>
      </c>
      <c r="C661">
        <v>483</v>
      </c>
      <c r="D661">
        <v>11</v>
      </c>
      <c r="E661">
        <v>2</v>
      </c>
      <c r="F661">
        <v>0</v>
      </c>
      <c r="G661">
        <v>2</v>
      </c>
      <c r="H661">
        <v>0</v>
      </c>
    </row>
    <row r="662" spans="2:8">
      <c r="B662" t="s">
        <v>5762</v>
      </c>
      <c r="C662">
        <v>484</v>
      </c>
      <c r="D662">
        <v>10</v>
      </c>
      <c r="E662">
        <v>0</v>
      </c>
      <c r="F662">
        <v>0</v>
      </c>
      <c r="G662">
        <v>0</v>
      </c>
      <c r="H662">
        <v>0</v>
      </c>
    </row>
    <row r="663" spans="2:8">
      <c r="B663" t="s">
        <v>5762</v>
      </c>
      <c r="C663">
        <v>485</v>
      </c>
      <c r="D663">
        <v>4</v>
      </c>
      <c r="E663">
        <v>0</v>
      </c>
      <c r="F663">
        <v>0</v>
      </c>
      <c r="G663">
        <v>0</v>
      </c>
      <c r="H663">
        <v>0</v>
      </c>
    </row>
    <row r="664" spans="2:8">
      <c r="B664" t="s">
        <v>5762</v>
      </c>
      <c r="C664">
        <v>488</v>
      </c>
      <c r="D664">
        <v>4</v>
      </c>
      <c r="E664">
        <v>0</v>
      </c>
      <c r="F664">
        <v>0</v>
      </c>
      <c r="G664">
        <v>0</v>
      </c>
      <c r="H664">
        <v>0</v>
      </c>
    </row>
    <row r="665" spans="2:8">
      <c r="B665" t="s">
        <v>5762</v>
      </c>
      <c r="C665">
        <v>490</v>
      </c>
      <c r="D665">
        <v>5</v>
      </c>
      <c r="E665">
        <v>0</v>
      </c>
      <c r="F665">
        <v>0</v>
      </c>
      <c r="G665">
        <v>0</v>
      </c>
      <c r="H665">
        <v>0</v>
      </c>
    </row>
    <row r="666" spans="2:8">
      <c r="B666" t="s">
        <v>5762</v>
      </c>
      <c r="C666">
        <v>492</v>
      </c>
      <c r="D666">
        <v>4</v>
      </c>
      <c r="E666">
        <v>0</v>
      </c>
      <c r="F666">
        <v>0</v>
      </c>
      <c r="G666">
        <v>0</v>
      </c>
      <c r="H666">
        <v>0</v>
      </c>
    </row>
    <row r="667" spans="2:8">
      <c r="B667" t="s">
        <v>5762</v>
      </c>
      <c r="C667">
        <v>494</v>
      </c>
      <c r="D667">
        <v>6</v>
      </c>
      <c r="E667">
        <v>0</v>
      </c>
      <c r="F667">
        <v>0</v>
      </c>
      <c r="G667">
        <v>0</v>
      </c>
      <c r="H667">
        <v>0</v>
      </c>
    </row>
    <row r="668" spans="2:8">
      <c r="B668" t="s">
        <v>5762</v>
      </c>
      <c r="C668">
        <v>499</v>
      </c>
      <c r="D668">
        <v>3</v>
      </c>
      <c r="E668">
        <v>0</v>
      </c>
      <c r="F668">
        <v>0</v>
      </c>
      <c r="G668">
        <v>0</v>
      </c>
      <c r="H668">
        <v>0</v>
      </c>
    </row>
    <row r="669" spans="2:8">
      <c r="B669" t="s">
        <v>5762</v>
      </c>
      <c r="C669">
        <v>502</v>
      </c>
      <c r="D669">
        <v>22</v>
      </c>
      <c r="E669">
        <v>0</v>
      </c>
      <c r="F669">
        <v>0</v>
      </c>
      <c r="G669">
        <v>0</v>
      </c>
      <c r="H669">
        <v>0</v>
      </c>
    </row>
    <row r="670" spans="2:8">
      <c r="B670" t="s">
        <v>5762</v>
      </c>
      <c r="C670">
        <v>502</v>
      </c>
      <c r="D670">
        <v>4</v>
      </c>
      <c r="E670">
        <v>2</v>
      </c>
      <c r="F670">
        <v>0</v>
      </c>
      <c r="G670">
        <v>2</v>
      </c>
      <c r="H670">
        <v>0</v>
      </c>
    </row>
    <row r="671" spans="2:8">
      <c r="B671" t="s">
        <v>5762</v>
      </c>
      <c r="C671">
        <v>509</v>
      </c>
      <c r="D671">
        <v>8</v>
      </c>
      <c r="E671">
        <v>0</v>
      </c>
      <c r="F671">
        <v>0</v>
      </c>
      <c r="G671">
        <v>0</v>
      </c>
      <c r="H671">
        <v>0</v>
      </c>
    </row>
    <row r="672" spans="2:8">
      <c r="B672" t="s">
        <v>5762</v>
      </c>
      <c r="C672">
        <v>509</v>
      </c>
      <c r="D672">
        <v>5</v>
      </c>
      <c r="E672">
        <v>2</v>
      </c>
      <c r="F672">
        <v>0</v>
      </c>
      <c r="G672">
        <v>0</v>
      </c>
      <c r="H672">
        <v>2</v>
      </c>
    </row>
    <row r="673" spans="2:8">
      <c r="B673" t="s">
        <v>5762</v>
      </c>
      <c r="C673">
        <v>511</v>
      </c>
      <c r="D673">
        <v>14</v>
      </c>
      <c r="E673">
        <v>2</v>
      </c>
      <c r="F673">
        <v>0</v>
      </c>
      <c r="G673">
        <v>2</v>
      </c>
      <c r="H673">
        <v>0</v>
      </c>
    </row>
    <row r="674" spans="2:8">
      <c r="B674" t="s">
        <v>5762</v>
      </c>
      <c r="C674">
        <v>513</v>
      </c>
      <c r="D674">
        <v>10</v>
      </c>
      <c r="E674">
        <v>2</v>
      </c>
      <c r="F674">
        <v>0</v>
      </c>
      <c r="G674">
        <v>2</v>
      </c>
      <c r="H674">
        <v>0</v>
      </c>
    </row>
    <row r="675" spans="2:8">
      <c r="B675" t="s">
        <v>5762</v>
      </c>
      <c r="C675">
        <v>513</v>
      </c>
      <c r="D675">
        <v>3</v>
      </c>
      <c r="E675">
        <v>0</v>
      </c>
      <c r="F675">
        <v>0</v>
      </c>
      <c r="G675">
        <v>0</v>
      </c>
      <c r="H675">
        <v>0</v>
      </c>
    </row>
    <row r="676" spans="2:8">
      <c r="B676" t="s">
        <v>5762</v>
      </c>
      <c r="C676">
        <v>520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2:8">
      <c r="B677" t="s">
        <v>5762</v>
      </c>
      <c r="C677">
        <v>540</v>
      </c>
      <c r="D677">
        <v>5</v>
      </c>
      <c r="E677">
        <v>0</v>
      </c>
      <c r="F677">
        <v>0</v>
      </c>
      <c r="G677">
        <v>0</v>
      </c>
      <c r="H677">
        <v>0</v>
      </c>
    </row>
    <row r="678" spans="2:8">
      <c r="B678" t="s">
        <v>5762</v>
      </c>
      <c r="C678">
        <v>544</v>
      </c>
      <c r="D678">
        <v>3</v>
      </c>
      <c r="E678">
        <v>0</v>
      </c>
      <c r="F678">
        <v>0</v>
      </c>
      <c r="G678">
        <v>0</v>
      </c>
      <c r="H678">
        <v>0</v>
      </c>
    </row>
    <row r="679" spans="2:8">
      <c r="B679" t="s">
        <v>5762</v>
      </c>
      <c r="C679">
        <v>555</v>
      </c>
      <c r="D679">
        <v>7</v>
      </c>
      <c r="E679">
        <v>2</v>
      </c>
      <c r="F679">
        <v>0</v>
      </c>
      <c r="G679">
        <v>0</v>
      </c>
      <c r="H679">
        <v>2</v>
      </c>
    </row>
    <row r="680" spans="2:8">
      <c r="B680" t="s">
        <v>5762</v>
      </c>
      <c r="C680">
        <v>570</v>
      </c>
      <c r="D680">
        <v>2</v>
      </c>
      <c r="E680">
        <v>0</v>
      </c>
      <c r="F680">
        <v>0</v>
      </c>
      <c r="G680">
        <v>0</v>
      </c>
      <c r="H680">
        <v>0</v>
      </c>
    </row>
    <row r="681" spans="2:8">
      <c r="B681" t="s">
        <v>5762</v>
      </c>
      <c r="C681">
        <v>580</v>
      </c>
      <c r="D681">
        <v>11</v>
      </c>
      <c r="E681">
        <v>0</v>
      </c>
      <c r="F681">
        <v>0</v>
      </c>
      <c r="G681">
        <v>0</v>
      </c>
      <c r="H681">
        <v>0</v>
      </c>
    </row>
    <row r="682" spans="2:8">
      <c r="B682" t="s">
        <v>5762</v>
      </c>
      <c r="C682">
        <v>582</v>
      </c>
      <c r="D682">
        <v>11</v>
      </c>
      <c r="E682">
        <v>2</v>
      </c>
      <c r="F682">
        <v>0</v>
      </c>
      <c r="G682">
        <v>0</v>
      </c>
      <c r="H682">
        <v>2</v>
      </c>
    </row>
    <row r="683" spans="2:8">
      <c r="B683" t="s">
        <v>5762</v>
      </c>
      <c r="C683">
        <v>586</v>
      </c>
      <c r="D683">
        <v>3</v>
      </c>
      <c r="E683">
        <v>0</v>
      </c>
      <c r="F683">
        <v>0</v>
      </c>
      <c r="G683">
        <v>0</v>
      </c>
      <c r="H683">
        <v>0</v>
      </c>
    </row>
    <row r="684" spans="2:8">
      <c r="B684" t="s">
        <v>5762</v>
      </c>
      <c r="C684">
        <v>600</v>
      </c>
      <c r="D684">
        <v>8</v>
      </c>
      <c r="E684">
        <v>0</v>
      </c>
      <c r="F684">
        <v>0</v>
      </c>
      <c r="G684">
        <v>0</v>
      </c>
      <c r="H684">
        <v>0</v>
      </c>
    </row>
    <row r="685" spans="2:8">
      <c r="B685" t="s">
        <v>5762</v>
      </c>
      <c r="C685">
        <v>603</v>
      </c>
      <c r="D685">
        <v>13</v>
      </c>
      <c r="E685">
        <v>0</v>
      </c>
      <c r="F685">
        <v>0</v>
      </c>
      <c r="G685">
        <v>0</v>
      </c>
      <c r="H685">
        <v>0</v>
      </c>
    </row>
    <row r="686" spans="2:8">
      <c r="B686" t="s">
        <v>5762</v>
      </c>
      <c r="C686">
        <v>606</v>
      </c>
      <c r="D686">
        <v>13</v>
      </c>
      <c r="E686">
        <v>2</v>
      </c>
      <c r="F686">
        <v>0</v>
      </c>
      <c r="G686">
        <v>2</v>
      </c>
      <c r="H686">
        <v>0</v>
      </c>
    </row>
    <row r="687" spans="2:8">
      <c r="B687" t="s">
        <v>5762</v>
      </c>
      <c r="C687">
        <v>611</v>
      </c>
      <c r="D687">
        <v>4</v>
      </c>
      <c r="E687">
        <v>0</v>
      </c>
      <c r="F687">
        <v>0</v>
      </c>
      <c r="G687">
        <v>0</v>
      </c>
      <c r="H687">
        <v>0</v>
      </c>
    </row>
    <row r="688" spans="2:8">
      <c r="B688" t="s">
        <v>5762</v>
      </c>
      <c r="C688">
        <v>611</v>
      </c>
      <c r="D688">
        <v>6</v>
      </c>
      <c r="E688">
        <v>0</v>
      </c>
      <c r="F688">
        <v>0</v>
      </c>
      <c r="G688">
        <v>0</v>
      </c>
      <c r="H688">
        <v>0</v>
      </c>
    </row>
    <row r="689" spans="2:8">
      <c r="B689" t="s">
        <v>5762</v>
      </c>
      <c r="C689">
        <v>612</v>
      </c>
      <c r="D689">
        <v>5</v>
      </c>
      <c r="E689">
        <v>0</v>
      </c>
      <c r="F689">
        <v>0</v>
      </c>
      <c r="G689">
        <v>0</v>
      </c>
      <c r="H689">
        <v>0</v>
      </c>
    </row>
    <row r="690" spans="2:8">
      <c r="B690" t="s">
        <v>5762</v>
      </c>
      <c r="C690">
        <v>622</v>
      </c>
      <c r="D690">
        <v>37</v>
      </c>
      <c r="E690">
        <v>8</v>
      </c>
      <c r="F690">
        <v>0</v>
      </c>
      <c r="G690">
        <v>8</v>
      </c>
      <c r="H690">
        <v>0</v>
      </c>
    </row>
    <row r="691" spans="2:8">
      <c r="B691" t="s">
        <v>5762</v>
      </c>
      <c r="C691">
        <v>628</v>
      </c>
      <c r="D691">
        <v>4</v>
      </c>
      <c r="E691">
        <v>0</v>
      </c>
      <c r="F691">
        <v>0</v>
      </c>
      <c r="G691">
        <v>0</v>
      </c>
      <c r="H691">
        <v>0</v>
      </c>
    </row>
    <row r="692" spans="2:8">
      <c r="B692" t="s">
        <v>5762</v>
      </c>
      <c r="C692">
        <v>631</v>
      </c>
      <c r="D692">
        <v>4</v>
      </c>
      <c r="E692">
        <v>0</v>
      </c>
      <c r="F692">
        <v>0</v>
      </c>
      <c r="G692">
        <v>0</v>
      </c>
      <c r="H692">
        <v>0</v>
      </c>
    </row>
    <row r="693" spans="2:8">
      <c r="B693" t="s">
        <v>5762</v>
      </c>
      <c r="C693">
        <v>632</v>
      </c>
      <c r="D693">
        <v>6</v>
      </c>
      <c r="E693">
        <v>2</v>
      </c>
      <c r="F693">
        <v>0</v>
      </c>
      <c r="G693">
        <v>0</v>
      </c>
      <c r="H693">
        <v>2</v>
      </c>
    </row>
    <row r="694" spans="2:8">
      <c r="B694" t="s">
        <v>5762</v>
      </c>
      <c r="C694">
        <v>633</v>
      </c>
      <c r="D694">
        <v>9</v>
      </c>
      <c r="E694">
        <v>2</v>
      </c>
      <c r="F694">
        <v>0</v>
      </c>
      <c r="G694">
        <v>2</v>
      </c>
      <c r="H694">
        <v>0</v>
      </c>
    </row>
    <row r="695" spans="2:8">
      <c r="B695" t="s">
        <v>5762</v>
      </c>
      <c r="C695">
        <v>637</v>
      </c>
      <c r="D695">
        <v>2</v>
      </c>
      <c r="E695">
        <v>0</v>
      </c>
      <c r="F695">
        <v>0</v>
      </c>
      <c r="G695">
        <v>0</v>
      </c>
      <c r="H695">
        <v>0</v>
      </c>
    </row>
    <row r="696" spans="2:8">
      <c r="B696" t="s">
        <v>5762</v>
      </c>
      <c r="C696">
        <v>638</v>
      </c>
      <c r="D696">
        <v>5</v>
      </c>
      <c r="E696">
        <v>0</v>
      </c>
      <c r="F696">
        <v>0</v>
      </c>
      <c r="G696">
        <v>0</v>
      </c>
      <c r="H696">
        <v>0</v>
      </c>
    </row>
    <row r="697" spans="2:8">
      <c r="B697" t="s">
        <v>5762</v>
      </c>
      <c r="C697">
        <v>643</v>
      </c>
      <c r="D697">
        <v>7</v>
      </c>
      <c r="E697">
        <v>0</v>
      </c>
      <c r="F697">
        <v>0</v>
      </c>
      <c r="G697">
        <v>0</v>
      </c>
      <c r="H697">
        <v>0</v>
      </c>
    </row>
    <row r="698" spans="2:8">
      <c r="B698" t="s">
        <v>5762</v>
      </c>
      <c r="C698">
        <v>649</v>
      </c>
      <c r="D698">
        <v>7</v>
      </c>
      <c r="E698">
        <v>0</v>
      </c>
      <c r="F698">
        <v>0</v>
      </c>
      <c r="G698">
        <v>0</v>
      </c>
      <c r="H698">
        <v>0</v>
      </c>
    </row>
    <row r="699" spans="2:8">
      <c r="B699" t="s">
        <v>5762</v>
      </c>
      <c r="C699">
        <v>659</v>
      </c>
      <c r="D699">
        <v>7</v>
      </c>
      <c r="E699">
        <v>0</v>
      </c>
      <c r="F699">
        <v>0</v>
      </c>
      <c r="G699">
        <v>0</v>
      </c>
      <c r="H699">
        <v>0</v>
      </c>
    </row>
    <row r="700" spans="2:8">
      <c r="B700" t="s">
        <v>5762</v>
      </c>
      <c r="C700">
        <v>692</v>
      </c>
      <c r="D700">
        <v>6</v>
      </c>
      <c r="E700">
        <v>0</v>
      </c>
      <c r="F700">
        <v>0</v>
      </c>
      <c r="G700">
        <v>0</v>
      </c>
      <c r="H700">
        <v>0</v>
      </c>
    </row>
    <row r="701" spans="2:8">
      <c r="B701" t="s">
        <v>5762</v>
      </c>
      <c r="C701">
        <v>699</v>
      </c>
      <c r="D701">
        <v>11</v>
      </c>
      <c r="E701">
        <v>0</v>
      </c>
      <c r="F701">
        <v>0</v>
      </c>
      <c r="G701">
        <v>0</v>
      </c>
      <c r="H701">
        <v>0</v>
      </c>
    </row>
    <row r="702" spans="2:8">
      <c r="B702" t="s">
        <v>5762</v>
      </c>
      <c r="C702">
        <v>700</v>
      </c>
      <c r="D702">
        <v>9</v>
      </c>
      <c r="E702">
        <v>0</v>
      </c>
      <c r="F702">
        <v>0</v>
      </c>
      <c r="G702">
        <v>0</v>
      </c>
      <c r="H702">
        <v>0</v>
      </c>
    </row>
    <row r="703" spans="2:8">
      <c r="B703" t="s">
        <v>5762</v>
      </c>
      <c r="C703">
        <v>705</v>
      </c>
      <c r="D703">
        <v>13</v>
      </c>
      <c r="E703">
        <v>0</v>
      </c>
      <c r="F703">
        <v>0</v>
      </c>
      <c r="G703">
        <v>0</v>
      </c>
      <c r="H703">
        <v>0</v>
      </c>
    </row>
    <row r="704" spans="2:8">
      <c r="B704" t="s">
        <v>5762</v>
      </c>
      <c r="C704">
        <v>716</v>
      </c>
      <c r="D704">
        <v>8</v>
      </c>
      <c r="E704">
        <v>2</v>
      </c>
      <c r="F704">
        <v>0</v>
      </c>
      <c r="G704">
        <v>2</v>
      </c>
      <c r="H704">
        <v>0</v>
      </c>
    </row>
    <row r="705" spans="2:8">
      <c r="B705" t="s">
        <v>5762</v>
      </c>
      <c r="C705">
        <v>734</v>
      </c>
      <c r="D705">
        <v>4</v>
      </c>
      <c r="E705">
        <v>0</v>
      </c>
      <c r="F705">
        <v>0</v>
      </c>
      <c r="G705">
        <v>0</v>
      </c>
      <c r="H705">
        <v>0</v>
      </c>
    </row>
    <row r="706" spans="2:8">
      <c r="B706" t="s">
        <v>5762</v>
      </c>
      <c r="C706">
        <v>779</v>
      </c>
      <c r="D706">
        <v>11</v>
      </c>
      <c r="E706">
        <v>0</v>
      </c>
      <c r="F706">
        <v>0</v>
      </c>
      <c r="G706">
        <v>0</v>
      </c>
      <c r="H706">
        <v>0</v>
      </c>
    </row>
    <row r="707" spans="2:8">
      <c r="B707" t="s">
        <v>5762</v>
      </c>
      <c r="C707">
        <v>804</v>
      </c>
      <c r="D707">
        <v>24</v>
      </c>
      <c r="E707">
        <v>6</v>
      </c>
      <c r="F707">
        <v>0</v>
      </c>
      <c r="G707">
        <v>6</v>
      </c>
      <c r="H707">
        <v>0</v>
      </c>
    </row>
    <row r="708" spans="2:8">
      <c r="B708" t="s">
        <v>5762</v>
      </c>
      <c r="C708">
        <v>841</v>
      </c>
      <c r="D708">
        <v>17</v>
      </c>
      <c r="E708">
        <v>0</v>
      </c>
      <c r="F708">
        <v>0</v>
      </c>
      <c r="G708">
        <v>0</v>
      </c>
      <c r="H708">
        <v>0</v>
      </c>
    </row>
    <row r="709" spans="2:8">
      <c r="B709" t="s">
        <v>5762</v>
      </c>
      <c r="C709">
        <v>1193</v>
      </c>
      <c r="D709">
        <v>3</v>
      </c>
      <c r="E709">
        <v>0</v>
      </c>
      <c r="F709">
        <v>0</v>
      </c>
      <c r="G709">
        <v>0</v>
      </c>
      <c r="H709">
        <v>0</v>
      </c>
    </row>
    <row r="710" spans="2:8">
      <c r="B710" t="s">
        <v>5762</v>
      </c>
      <c r="C710">
        <v>1199</v>
      </c>
      <c r="D710">
        <v>3</v>
      </c>
      <c r="E710">
        <v>0</v>
      </c>
      <c r="F710">
        <v>0</v>
      </c>
      <c r="G710">
        <v>0</v>
      </c>
      <c r="H710">
        <v>0</v>
      </c>
    </row>
    <row r="711" spans="2:8">
      <c r="B711" t="s">
        <v>5762</v>
      </c>
      <c r="C711">
        <v>2334</v>
      </c>
      <c r="D711">
        <v>90</v>
      </c>
      <c r="E711">
        <v>17</v>
      </c>
      <c r="F711">
        <v>0</v>
      </c>
      <c r="G711">
        <v>12</v>
      </c>
      <c r="H711">
        <v>5</v>
      </c>
    </row>
    <row r="712" spans="2:8">
      <c r="B712" t="s">
        <v>5761</v>
      </c>
      <c r="C712">
        <v>36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2:8">
      <c r="B713" t="s">
        <v>5761</v>
      </c>
      <c r="C713">
        <v>41</v>
      </c>
      <c r="D713">
        <v>7</v>
      </c>
      <c r="E713">
        <v>0</v>
      </c>
      <c r="F713">
        <v>0</v>
      </c>
      <c r="G713">
        <v>0</v>
      </c>
      <c r="H713">
        <v>0</v>
      </c>
    </row>
    <row r="714" spans="2:8">
      <c r="B714" t="s">
        <v>5761</v>
      </c>
      <c r="C714">
        <v>43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2:8">
      <c r="B715" t="s">
        <v>5761</v>
      </c>
      <c r="C715">
        <v>46</v>
      </c>
      <c r="D715">
        <v>1</v>
      </c>
      <c r="E715">
        <v>0</v>
      </c>
      <c r="F715">
        <v>0</v>
      </c>
      <c r="G715">
        <v>0</v>
      </c>
      <c r="H715">
        <v>0</v>
      </c>
    </row>
    <row r="716" spans="2:8">
      <c r="B716" t="s">
        <v>5761</v>
      </c>
      <c r="C716">
        <v>47</v>
      </c>
      <c r="D716">
        <v>1</v>
      </c>
      <c r="E716">
        <v>0</v>
      </c>
      <c r="F716">
        <v>0</v>
      </c>
      <c r="G716">
        <v>0</v>
      </c>
      <c r="H716">
        <v>0</v>
      </c>
    </row>
    <row r="717" spans="2:8">
      <c r="B717" t="s">
        <v>5761</v>
      </c>
      <c r="C717">
        <v>48</v>
      </c>
      <c r="D717">
        <v>6</v>
      </c>
      <c r="E717">
        <v>0</v>
      </c>
      <c r="F717">
        <v>0</v>
      </c>
      <c r="G717">
        <v>0</v>
      </c>
      <c r="H717">
        <v>0</v>
      </c>
    </row>
    <row r="718" spans="2:8">
      <c r="B718" t="s">
        <v>5761</v>
      </c>
      <c r="C718">
        <v>48</v>
      </c>
      <c r="D718">
        <v>3</v>
      </c>
      <c r="E718">
        <v>0</v>
      </c>
      <c r="F718">
        <v>0</v>
      </c>
      <c r="G718">
        <v>0</v>
      </c>
      <c r="H718">
        <v>0</v>
      </c>
    </row>
    <row r="719" spans="2:8">
      <c r="B719" t="s">
        <v>5761</v>
      </c>
      <c r="C719">
        <v>48</v>
      </c>
      <c r="D719">
        <v>1</v>
      </c>
      <c r="E719">
        <v>0</v>
      </c>
      <c r="F719">
        <v>0</v>
      </c>
      <c r="G719">
        <v>0</v>
      </c>
      <c r="H719">
        <v>0</v>
      </c>
    </row>
    <row r="720" spans="2:8">
      <c r="B720" t="s">
        <v>5761</v>
      </c>
      <c r="C720">
        <v>50</v>
      </c>
      <c r="D720">
        <v>1</v>
      </c>
      <c r="E720">
        <v>0</v>
      </c>
      <c r="F720">
        <v>0</v>
      </c>
      <c r="G720">
        <v>0</v>
      </c>
      <c r="H720">
        <v>0</v>
      </c>
    </row>
    <row r="721" spans="2:8">
      <c r="B721" t="s">
        <v>5761</v>
      </c>
      <c r="C721">
        <v>50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2:8">
      <c r="B722" t="s">
        <v>5761</v>
      </c>
      <c r="C722">
        <v>54</v>
      </c>
      <c r="D722">
        <v>3</v>
      </c>
      <c r="E722">
        <v>0</v>
      </c>
      <c r="F722">
        <v>0</v>
      </c>
      <c r="G722">
        <v>0</v>
      </c>
      <c r="H722">
        <v>0</v>
      </c>
    </row>
    <row r="723" spans="2:8">
      <c r="B723" t="s">
        <v>5761</v>
      </c>
      <c r="C723">
        <v>59</v>
      </c>
      <c r="D723">
        <v>7</v>
      </c>
      <c r="E723">
        <v>2</v>
      </c>
      <c r="F723">
        <v>0</v>
      </c>
      <c r="G723">
        <v>0</v>
      </c>
      <c r="H723">
        <v>2</v>
      </c>
    </row>
    <row r="724" spans="2:8">
      <c r="B724" t="s">
        <v>5761</v>
      </c>
      <c r="C724">
        <v>61</v>
      </c>
      <c r="D724">
        <v>5</v>
      </c>
      <c r="E724">
        <v>2</v>
      </c>
      <c r="F724">
        <v>0</v>
      </c>
      <c r="G724">
        <v>0</v>
      </c>
      <c r="H724">
        <v>2</v>
      </c>
    </row>
    <row r="725" spans="2:8">
      <c r="B725" t="s">
        <v>5761</v>
      </c>
      <c r="C725">
        <v>61</v>
      </c>
      <c r="D725">
        <v>4</v>
      </c>
      <c r="E725">
        <v>0</v>
      </c>
      <c r="F725">
        <v>0</v>
      </c>
      <c r="G725">
        <v>0</v>
      </c>
      <c r="H725">
        <v>0</v>
      </c>
    </row>
    <row r="726" spans="2:8">
      <c r="B726" t="s">
        <v>5761</v>
      </c>
      <c r="C726">
        <v>62</v>
      </c>
      <c r="D726">
        <v>2</v>
      </c>
      <c r="E726">
        <v>0</v>
      </c>
      <c r="F726">
        <v>0</v>
      </c>
      <c r="G726">
        <v>0</v>
      </c>
      <c r="H726">
        <v>0</v>
      </c>
    </row>
    <row r="727" spans="2:8">
      <c r="B727" t="s">
        <v>5761</v>
      </c>
      <c r="C727">
        <v>62</v>
      </c>
      <c r="D727">
        <v>3</v>
      </c>
      <c r="E727">
        <v>0</v>
      </c>
      <c r="F727">
        <v>0</v>
      </c>
      <c r="G727">
        <v>0</v>
      </c>
      <c r="H727">
        <v>0</v>
      </c>
    </row>
    <row r="728" spans="2:8">
      <c r="B728" t="s">
        <v>5761</v>
      </c>
      <c r="C728">
        <v>63</v>
      </c>
      <c r="D728">
        <v>2</v>
      </c>
      <c r="E728">
        <v>0</v>
      </c>
      <c r="F728">
        <v>0</v>
      </c>
      <c r="G728">
        <v>0</v>
      </c>
      <c r="H728">
        <v>0</v>
      </c>
    </row>
    <row r="729" spans="2:8">
      <c r="B729" t="s">
        <v>5761</v>
      </c>
      <c r="C729">
        <v>63</v>
      </c>
      <c r="D729">
        <v>1</v>
      </c>
      <c r="E729">
        <v>0</v>
      </c>
      <c r="F729">
        <v>0</v>
      </c>
      <c r="G729">
        <v>0</v>
      </c>
      <c r="H729">
        <v>0</v>
      </c>
    </row>
    <row r="730" spans="2:8">
      <c r="B730" t="s">
        <v>5761</v>
      </c>
      <c r="C730">
        <v>64</v>
      </c>
      <c r="D730">
        <v>3</v>
      </c>
      <c r="E730">
        <v>0</v>
      </c>
      <c r="F730">
        <v>0</v>
      </c>
      <c r="G730">
        <v>0</v>
      </c>
      <c r="H730">
        <v>0</v>
      </c>
    </row>
    <row r="731" spans="2:8">
      <c r="B731" t="s">
        <v>5761</v>
      </c>
      <c r="C731">
        <v>64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2:8">
      <c r="B732" t="s">
        <v>5761</v>
      </c>
      <c r="C732">
        <v>66</v>
      </c>
      <c r="D732">
        <v>2</v>
      </c>
      <c r="E732">
        <v>0</v>
      </c>
      <c r="F732">
        <v>0</v>
      </c>
      <c r="G732">
        <v>0</v>
      </c>
      <c r="H732">
        <v>0</v>
      </c>
    </row>
    <row r="733" spans="2:8">
      <c r="B733" t="s">
        <v>5761</v>
      </c>
      <c r="C733">
        <v>66</v>
      </c>
      <c r="D733">
        <v>1</v>
      </c>
      <c r="E733">
        <v>0</v>
      </c>
      <c r="F733">
        <v>0</v>
      </c>
      <c r="G733">
        <v>0</v>
      </c>
      <c r="H733">
        <v>0</v>
      </c>
    </row>
    <row r="734" spans="2:8">
      <c r="B734" t="s">
        <v>5761</v>
      </c>
      <c r="C734">
        <v>67</v>
      </c>
      <c r="D734">
        <v>4</v>
      </c>
      <c r="E734">
        <v>0</v>
      </c>
      <c r="F734">
        <v>0</v>
      </c>
      <c r="G734">
        <v>0</v>
      </c>
      <c r="H734">
        <v>0</v>
      </c>
    </row>
    <row r="735" spans="2:8">
      <c r="B735" t="s">
        <v>5761</v>
      </c>
      <c r="C735">
        <v>67</v>
      </c>
      <c r="D735">
        <v>1</v>
      </c>
      <c r="E735">
        <v>0</v>
      </c>
      <c r="F735">
        <v>0</v>
      </c>
      <c r="G735">
        <v>0</v>
      </c>
      <c r="H735">
        <v>0</v>
      </c>
    </row>
    <row r="736" spans="2:8">
      <c r="B736" t="s">
        <v>5761</v>
      </c>
      <c r="C736">
        <v>68</v>
      </c>
      <c r="D736">
        <v>4</v>
      </c>
      <c r="E736">
        <v>0</v>
      </c>
      <c r="F736">
        <v>0</v>
      </c>
      <c r="G736">
        <v>0</v>
      </c>
      <c r="H736">
        <v>0</v>
      </c>
    </row>
    <row r="737" spans="2:8">
      <c r="B737" t="s">
        <v>5761</v>
      </c>
      <c r="C737">
        <v>69</v>
      </c>
      <c r="D737">
        <v>4</v>
      </c>
      <c r="E737">
        <v>0</v>
      </c>
      <c r="F737">
        <v>0</v>
      </c>
      <c r="G737">
        <v>0</v>
      </c>
      <c r="H737">
        <v>0</v>
      </c>
    </row>
    <row r="738" spans="2:8">
      <c r="B738" t="s">
        <v>5761</v>
      </c>
      <c r="C738">
        <v>71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2:8">
      <c r="B739" t="s">
        <v>5761</v>
      </c>
      <c r="C739">
        <v>72</v>
      </c>
      <c r="D739">
        <v>2</v>
      </c>
      <c r="E739">
        <v>0</v>
      </c>
      <c r="F739">
        <v>0</v>
      </c>
      <c r="G739">
        <v>0</v>
      </c>
      <c r="H739">
        <v>0</v>
      </c>
    </row>
    <row r="740" spans="2:8">
      <c r="B740" t="s">
        <v>5761</v>
      </c>
      <c r="C740">
        <v>72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2:8">
      <c r="B741" t="s">
        <v>5761</v>
      </c>
      <c r="C741">
        <v>74</v>
      </c>
      <c r="D741">
        <v>2</v>
      </c>
      <c r="E741">
        <v>0</v>
      </c>
      <c r="F741">
        <v>0</v>
      </c>
      <c r="G741">
        <v>0</v>
      </c>
      <c r="H741">
        <v>0</v>
      </c>
    </row>
    <row r="742" spans="2:8">
      <c r="B742" t="s">
        <v>5761</v>
      </c>
      <c r="C742">
        <v>76</v>
      </c>
      <c r="D742">
        <v>8</v>
      </c>
      <c r="E742">
        <v>0</v>
      </c>
      <c r="F742">
        <v>0</v>
      </c>
      <c r="G742">
        <v>0</v>
      </c>
      <c r="H742">
        <v>0</v>
      </c>
    </row>
    <row r="743" spans="2:8">
      <c r="B743" t="s">
        <v>5761</v>
      </c>
      <c r="C743">
        <v>77</v>
      </c>
      <c r="D743">
        <v>5</v>
      </c>
      <c r="E743">
        <v>0</v>
      </c>
      <c r="F743">
        <v>0</v>
      </c>
      <c r="G743">
        <v>0</v>
      </c>
      <c r="H743">
        <v>0</v>
      </c>
    </row>
    <row r="744" spans="2:8">
      <c r="B744" t="s">
        <v>5761</v>
      </c>
      <c r="C744">
        <v>81</v>
      </c>
      <c r="D744">
        <v>2</v>
      </c>
      <c r="E744">
        <v>0</v>
      </c>
      <c r="F744">
        <v>0</v>
      </c>
      <c r="G744">
        <v>0</v>
      </c>
      <c r="H744">
        <v>0</v>
      </c>
    </row>
    <row r="745" spans="2:8">
      <c r="B745" t="s">
        <v>5761</v>
      </c>
      <c r="C745">
        <v>81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2:8">
      <c r="B746" t="s">
        <v>5761</v>
      </c>
      <c r="C746">
        <v>82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2:8">
      <c r="B747" t="s">
        <v>5761</v>
      </c>
      <c r="C747">
        <v>86</v>
      </c>
      <c r="D747">
        <v>2</v>
      </c>
      <c r="E747">
        <v>0</v>
      </c>
      <c r="F747">
        <v>0</v>
      </c>
      <c r="G747">
        <v>0</v>
      </c>
      <c r="H747">
        <v>0</v>
      </c>
    </row>
    <row r="748" spans="2:8">
      <c r="B748" t="s">
        <v>5761</v>
      </c>
      <c r="C748">
        <v>87</v>
      </c>
      <c r="D748">
        <v>11</v>
      </c>
      <c r="E748">
        <v>2</v>
      </c>
      <c r="F748">
        <v>0</v>
      </c>
      <c r="G748">
        <v>0</v>
      </c>
      <c r="H748">
        <v>2</v>
      </c>
    </row>
    <row r="749" spans="2:8">
      <c r="B749" t="s">
        <v>5761</v>
      </c>
      <c r="C749">
        <v>87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2:8">
      <c r="B750" t="s">
        <v>5761</v>
      </c>
      <c r="C750">
        <v>92</v>
      </c>
      <c r="D750">
        <v>5</v>
      </c>
      <c r="E750">
        <v>0</v>
      </c>
      <c r="F750">
        <v>0</v>
      </c>
      <c r="G750">
        <v>0</v>
      </c>
      <c r="H750">
        <v>0</v>
      </c>
    </row>
    <row r="751" spans="2:8">
      <c r="B751" t="s">
        <v>5761</v>
      </c>
      <c r="C751">
        <v>92</v>
      </c>
      <c r="D751">
        <v>1</v>
      </c>
      <c r="E751">
        <v>0</v>
      </c>
      <c r="F751">
        <v>0</v>
      </c>
      <c r="G751">
        <v>0</v>
      </c>
      <c r="H751">
        <v>0</v>
      </c>
    </row>
    <row r="752" spans="2:8">
      <c r="B752" t="s">
        <v>5761</v>
      </c>
      <c r="C752">
        <v>94</v>
      </c>
      <c r="D752">
        <v>2</v>
      </c>
      <c r="E752">
        <v>0</v>
      </c>
      <c r="F752">
        <v>0</v>
      </c>
      <c r="G752">
        <v>0</v>
      </c>
      <c r="H752">
        <v>0</v>
      </c>
    </row>
    <row r="753" spans="2:8">
      <c r="B753" t="s">
        <v>5761</v>
      </c>
      <c r="C753">
        <v>95</v>
      </c>
      <c r="D753">
        <v>4</v>
      </c>
      <c r="E753">
        <v>0</v>
      </c>
      <c r="F753">
        <v>0</v>
      </c>
      <c r="G753">
        <v>0</v>
      </c>
      <c r="H753">
        <v>0</v>
      </c>
    </row>
    <row r="754" spans="2:8">
      <c r="B754" t="s">
        <v>5761</v>
      </c>
      <c r="C754">
        <v>95</v>
      </c>
      <c r="D754">
        <v>2</v>
      </c>
      <c r="E754">
        <v>0</v>
      </c>
      <c r="F754">
        <v>0</v>
      </c>
      <c r="G754">
        <v>0</v>
      </c>
      <c r="H754">
        <v>0</v>
      </c>
    </row>
    <row r="755" spans="2:8">
      <c r="B755" t="s">
        <v>5761</v>
      </c>
      <c r="C755">
        <v>95</v>
      </c>
      <c r="D755">
        <v>2</v>
      </c>
      <c r="E755">
        <v>0</v>
      </c>
      <c r="F755">
        <v>0</v>
      </c>
      <c r="G755">
        <v>0</v>
      </c>
      <c r="H755">
        <v>0</v>
      </c>
    </row>
    <row r="756" spans="2:8">
      <c r="B756" t="s">
        <v>5761</v>
      </c>
      <c r="C756">
        <v>96</v>
      </c>
      <c r="D756">
        <v>4</v>
      </c>
      <c r="E756">
        <v>0</v>
      </c>
      <c r="F756">
        <v>0</v>
      </c>
      <c r="G756">
        <v>0</v>
      </c>
      <c r="H756">
        <v>0</v>
      </c>
    </row>
    <row r="757" spans="2:8">
      <c r="B757" t="s">
        <v>5761</v>
      </c>
      <c r="C757">
        <v>96</v>
      </c>
      <c r="D757">
        <v>1</v>
      </c>
      <c r="E757">
        <v>0</v>
      </c>
      <c r="F757">
        <v>0</v>
      </c>
      <c r="G757">
        <v>0</v>
      </c>
      <c r="H757">
        <v>0</v>
      </c>
    </row>
    <row r="758" spans="2:8">
      <c r="B758" t="s">
        <v>5761</v>
      </c>
      <c r="C758">
        <v>98</v>
      </c>
      <c r="D758">
        <v>7</v>
      </c>
      <c r="E758">
        <v>0</v>
      </c>
      <c r="F758">
        <v>0</v>
      </c>
      <c r="G758">
        <v>0</v>
      </c>
      <c r="H758">
        <v>0</v>
      </c>
    </row>
    <row r="759" spans="2:8">
      <c r="B759" t="s">
        <v>5761</v>
      </c>
      <c r="C759">
        <v>100</v>
      </c>
      <c r="D759">
        <v>5</v>
      </c>
      <c r="E759">
        <v>2</v>
      </c>
      <c r="F759">
        <v>0</v>
      </c>
      <c r="G759">
        <v>0</v>
      </c>
      <c r="H759">
        <v>2</v>
      </c>
    </row>
    <row r="760" spans="2:8">
      <c r="B760" t="s">
        <v>5761</v>
      </c>
      <c r="C760">
        <v>104</v>
      </c>
      <c r="D760">
        <v>5</v>
      </c>
      <c r="E760">
        <v>0</v>
      </c>
      <c r="F760">
        <v>0</v>
      </c>
      <c r="G760">
        <v>0</v>
      </c>
      <c r="H760">
        <v>0</v>
      </c>
    </row>
    <row r="761" spans="2:8">
      <c r="B761" t="s">
        <v>5761</v>
      </c>
      <c r="C761">
        <v>105</v>
      </c>
      <c r="D761">
        <v>2</v>
      </c>
      <c r="E761">
        <v>0</v>
      </c>
      <c r="F761">
        <v>0</v>
      </c>
      <c r="G761">
        <v>0</v>
      </c>
      <c r="H761">
        <v>0</v>
      </c>
    </row>
    <row r="762" spans="2:8">
      <c r="B762" t="s">
        <v>5761</v>
      </c>
      <c r="C762">
        <v>106</v>
      </c>
      <c r="D762">
        <v>3</v>
      </c>
      <c r="E762">
        <v>0</v>
      </c>
      <c r="F762">
        <v>0</v>
      </c>
      <c r="G762">
        <v>0</v>
      </c>
      <c r="H762">
        <v>0</v>
      </c>
    </row>
    <row r="763" spans="2:8">
      <c r="B763" t="s">
        <v>5761</v>
      </c>
      <c r="C763">
        <v>106</v>
      </c>
      <c r="D763">
        <v>4</v>
      </c>
      <c r="E763">
        <v>0</v>
      </c>
      <c r="F763">
        <v>0</v>
      </c>
      <c r="G763">
        <v>0</v>
      </c>
      <c r="H763">
        <v>0</v>
      </c>
    </row>
    <row r="764" spans="2:8">
      <c r="B764" t="s">
        <v>5761</v>
      </c>
      <c r="C764">
        <v>106</v>
      </c>
      <c r="D764">
        <v>1</v>
      </c>
      <c r="E764">
        <v>0</v>
      </c>
      <c r="F764">
        <v>0</v>
      </c>
      <c r="G764">
        <v>0</v>
      </c>
      <c r="H764">
        <v>0</v>
      </c>
    </row>
    <row r="765" spans="2:8">
      <c r="B765" t="s">
        <v>5761</v>
      </c>
      <c r="C765">
        <v>108</v>
      </c>
      <c r="D765">
        <v>1</v>
      </c>
      <c r="E765">
        <v>0</v>
      </c>
      <c r="F765">
        <v>0</v>
      </c>
      <c r="G765">
        <v>0</v>
      </c>
      <c r="H765">
        <v>0</v>
      </c>
    </row>
    <row r="766" spans="2:8">
      <c r="B766" t="s">
        <v>5761</v>
      </c>
      <c r="C766">
        <v>109</v>
      </c>
      <c r="D766">
        <v>11</v>
      </c>
      <c r="E766">
        <v>6</v>
      </c>
      <c r="F766">
        <v>0</v>
      </c>
      <c r="G766">
        <v>4</v>
      </c>
      <c r="H766">
        <v>2</v>
      </c>
    </row>
    <row r="767" spans="2:8">
      <c r="B767" t="s">
        <v>5761</v>
      </c>
      <c r="C767">
        <v>110</v>
      </c>
      <c r="D767">
        <v>3</v>
      </c>
      <c r="E767">
        <v>0</v>
      </c>
      <c r="F767">
        <v>0</v>
      </c>
      <c r="G767">
        <v>0</v>
      </c>
      <c r="H767">
        <v>0</v>
      </c>
    </row>
    <row r="768" spans="2:8">
      <c r="B768" t="s">
        <v>5761</v>
      </c>
      <c r="C768">
        <v>110</v>
      </c>
      <c r="D768">
        <v>2</v>
      </c>
      <c r="E768">
        <v>0</v>
      </c>
      <c r="F768">
        <v>0</v>
      </c>
      <c r="G768">
        <v>0</v>
      </c>
      <c r="H768">
        <v>0</v>
      </c>
    </row>
    <row r="769" spans="2:8">
      <c r="B769" t="s">
        <v>5761</v>
      </c>
      <c r="C769">
        <v>110</v>
      </c>
      <c r="D769">
        <v>2</v>
      </c>
      <c r="E769">
        <v>2</v>
      </c>
      <c r="F769">
        <v>0</v>
      </c>
      <c r="G769">
        <v>0</v>
      </c>
      <c r="H769">
        <v>2</v>
      </c>
    </row>
    <row r="770" spans="2:8">
      <c r="B770" t="s">
        <v>5761</v>
      </c>
      <c r="C770">
        <v>113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2:8">
      <c r="B771" t="s">
        <v>5761</v>
      </c>
      <c r="C771">
        <v>116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2:8">
      <c r="B772" t="s">
        <v>5761</v>
      </c>
      <c r="C772">
        <v>117</v>
      </c>
      <c r="D772">
        <v>2</v>
      </c>
      <c r="E772">
        <v>0</v>
      </c>
      <c r="F772">
        <v>0</v>
      </c>
      <c r="G772">
        <v>0</v>
      </c>
      <c r="H772">
        <v>0</v>
      </c>
    </row>
    <row r="773" spans="2:8">
      <c r="B773" t="s">
        <v>5761</v>
      </c>
      <c r="C773">
        <v>117</v>
      </c>
      <c r="D773">
        <v>5</v>
      </c>
      <c r="E773">
        <v>0</v>
      </c>
      <c r="F773">
        <v>0</v>
      </c>
      <c r="G773">
        <v>0</v>
      </c>
      <c r="H773">
        <v>0</v>
      </c>
    </row>
    <row r="774" spans="2:8">
      <c r="B774" t="s">
        <v>5761</v>
      </c>
      <c r="C774">
        <v>117</v>
      </c>
      <c r="D774">
        <v>3</v>
      </c>
      <c r="E774">
        <v>0</v>
      </c>
      <c r="F774">
        <v>0</v>
      </c>
      <c r="G774">
        <v>0</v>
      </c>
      <c r="H774">
        <v>0</v>
      </c>
    </row>
    <row r="775" spans="2:8">
      <c r="B775" t="s">
        <v>5761</v>
      </c>
      <c r="C775">
        <v>118</v>
      </c>
      <c r="D775">
        <v>4</v>
      </c>
      <c r="E775">
        <v>0</v>
      </c>
      <c r="F775">
        <v>0</v>
      </c>
      <c r="G775">
        <v>0</v>
      </c>
      <c r="H775">
        <v>0</v>
      </c>
    </row>
    <row r="776" spans="2:8">
      <c r="B776" t="s">
        <v>5761</v>
      </c>
      <c r="C776">
        <v>124</v>
      </c>
      <c r="D776">
        <v>6</v>
      </c>
      <c r="E776">
        <v>0</v>
      </c>
      <c r="F776">
        <v>0</v>
      </c>
      <c r="G776">
        <v>0</v>
      </c>
      <c r="H776">
        <v>0</v>
      </c>
    </row>
    <row r="777" spans="2:8">
      <c r="B777" t="s">
        <v>5761</v>
      </c>
      <c r="C777">
        <v>126</v>
      </c>
      <c r="D777">
        <v>1</v>
      </c>
      <c r="E777">
        <v>0</v>
      </c>
      <c r="F777">
        <v>0</v>
      </c>
      <c r="G777">
        <v>0</v>
      </c>
      <c r="H777">
        <v>0</v>
      </c>
    </row>
    <row r="778" spans="2:8">
      <c r="B778" t="s">
        <v>5761</v>
      </c>
      <c r="C778">
        <v>127</v>
      </c>
      <c r="D778">
        <v>5</v>
      </c>
      <c r="E778">
        <v>0</v>
      </c>
      <c r="F778">
        <v>0</v>
      </c>
      <c r="G778">
        <v>0</v>
      </c>
      <c r="H778">
        <v>0</v>
      </c>
    </row>
    <row r="779" spans="2:8">
      <c r="B779" t="s">
        <v>5761</v>
      </c>
      <c r="C779">
        <v>128</v>
      </c>
      <c r="D779">
        <v>2</v>
      </c>
      <c r="E779">
        <v>0</v>
      </c>
      <c r="F779">
        <v>0</v>
      </c>
      <c r="G779">
        <v>0</v>
      </c>
      <c r="H779">
        <v>0</v>
      </c>
    </row>
    <row r="780" spans="2:8">
      <c r="B780" t="s">
        <v>5761</v>
      </c>
      <c r="C780">
        <v>130</v>
      </c>
      <c r="D780">
        <v>7</v>
      </c>
      <c r="E780">
        <v>4</v>
      </c>
      <c r="F780">
        <v>0</v>
      </c>
      <c r="G780">
        <v>0</v>
      </c>
      <c r="H780">
        <v>4</v>
      </c>
    </row>
    <row r="781" spans="2:8">
      <c r="B781" t="s">
        <v>5761</v>
      </c>
      <c r="C781">
        <v>130</v>
      </c>
      <c r="D781">
        <v>2</v>
      </c>
      <c r="E781">
        <v>0</v>
      </c>
      <c r="F781">
        <v>0</v>
      </c>
      <c r="G781">
        <v>0</v>
      </c>
      <c r="H781">
        <v>0</v>
      </c>
    </row>
    <row r="782" spans="2:8">
      <c r="B782" t="s">
        <v>5761</v>
      </c>
      <c r="C782">
        <v>131</v>
      </c>
      <c r="D782">
        <v>3</v>
      </c>
      <c r="E782">
        <v>0</v>
      </c>
      <c r="F782">
        <v>0</v>
      </c>
      <c r="G782">
        <v>0</v>
      </c>
      <c r="H782">
        <v>0</v>
      </c>
    </row>
    <row r="783" spans="2:8">
      <c r="B783" t="s">
        <v>5761</v>
      </c>
      <c r="C783">
        <v>132</v>
      </c>
      <c r="D783">
        <v>1</v>
      </c>
      <c r="E783">
        <v>0</v>
      </c>
      <c r="F783">
        <v>0</v>
      </c>
      <c r="G783">
        <v>0</v>
      </c>
      <c r="H783">
        <v>0</v>
      </c>
    </row>
    <row r="784" spans="2:8">
      <c r="B784" t="s">
        <v>5761</v>
      </c>
      <c r="C784">
        <v>135</v>
      </c>
      <c r="D784">
        <v>1</v>
      </c>
      <c r="E784">
        <v>0</v>
      </c>
      <c r="F784">
        <v>0</v>
      </c>
      <c r="G784">
        <v>0</v>
      </c>
      <c r="H784">
        <v>0</v>
      </c>
    </row>
    <row r="785" spans="2:8">
      <c r="B785" t="s">
        <v>5761</v>
      </c>
      <c r="C785">
        <v>136</v>
      </c>
      <c r="D785">
        <v>10</v>
      </c>
      <c r="E785">
        <v>0</v>
      </c>
      <c r="F785">
        <v>0</v>
      </c>
      <c r="G785">
        <v>0</v>
      </c>
      <c r="H785">
        <v>0</v>
      </c>
    </row>
    <row r="786" spans="2:8">
      <c r="B786" t="s">
        <v>5761</v>
      </c>
      <c r="C786">
        <v>137</v>
      </c>
      <c r="D786">
        <v>6</v>
      </c>
      <c r="E786">
        <v>2</v>
      </c>
      <c r="F786">
        <v>0</v>
      </c>
      <c r="G786">
        <v>0</v>
      </c>
      <c r="H786">
        <v>2</v>
      </c>
    </row>
    <row r="787" spans="2:8">
      <c r="B787" t="s">
        <v>5761</v>
      </c>
      <c r="C787">
        <v>137</v>
      </c>
      <c r="D787">
        <v>2</v>
      </c>
      <c r="E787">
        <v>0</v>
      </c>
      <c r="F787">
        <v>0</v>
      </c>
      <c r="G787">
        <v>0</v>
      </c>
      <c r="H787">
        <v>0</v>
      </c>
    </row>
    <row r="788" spans="2:8">
      <c r="B788" t="s">
        <v>5761</v>
      </c>
      <c r="C788">
        <v>141</v>
      </c>
      <c r="D788">
        <v>3</v>
      </c>
      <c r="E788">
        <v>0</v>
      </c>
      <c r="F788">
        <v>0</v>
      </c>
      <c r="G788">
        <v>0</v>
      </c>
      <c r="H788">
        <v>0</v>
      </c>
    </row>
    <row r="789" spans="2:8">
      <c r="B789" t="s">
        <v>5761</v>
      </c>
      <c r="C789">
        <v>143</v>
      </c>
      <c r="D789">
        <v>4</v>
      </c>
      <c r="E789">
        <v>0</v>
      </c>
      <c r="F789">
        <v>0</v>
      </c>
      <c r="G789">
        <v>0</v>
      </c>
      <c r="H789">
        <v>0</v>
      </c>
    </row>
    <row r="790" spans="2:8">
      <c r="B790" t="s">
        <v>5761</v>
      </c>
      <c r="C790">
        <v>143</v>
      </c>
      <c r="D790">
        <v>1</v>
      </c>
      <c r="E790">
        <v>0</v>
      </c>
      <c r="F790">
        <v>0</v>
      </c>
      <c r="G790">
        <v>0</v>
      </c>
      <c r="H790">
        <v>0</v>
      </c>
    </row>
    <row r="791" spans="2:8">
      <c r="B791" t="s">
        <v>5761</v>
      </c>
      <c r="C791">
        <v>148</v>
      </c>
      <c r="D791">
        <v>1</v>
      </c>
      <c r="E791">
        <v>0</v>
      </c>
      <c r="F791">
        <v>0</v>
      </c>
      <c r="G791">
        <v>0</v>
      </c>
      <c r="H791">
        <v>0</v>
      </c>
    </row>
    <row r="792" spans="2:8">
      <c r="B792" t="s">
        <v>5761</v>
      </c>
      <c r="C792">
        <v>148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2:8">
      <c r="B793" t="s">
        <v>5761</v>
      </c>
      <c r="C793">
        <v>153</v>
      </c>
      <c r="D793">
        <v>7</v>
      </c>
      <c r="E793">
        <v>0</v>
      </c>
      <c r="F793">
        <v>0</v>
      </c>
      <c r="G793">
        <v>0</v>
      </c>
      <c r="H793">
        <v>0</v>
      </c>
    </row>
    <row r="794" spans="2:8">
      <c r="B794" t="s">
        <v>5761</v>
      </c>
      <c r="C794">
        <v>154</v>
      </c>
      <c r="D794">
        <v>9</v>
      </c>
      <c r="E794">
        <v>2</v>
      </c>
      <c r="F794">
        <v>0</v>
      </c>
      <c r="G794">
        <v>0</v>
      </c>
      <c r="H794">
        <v>2</v>
      </c>
    </row>
    <row r="795" spans="2:8">
      <c r="B795" t="s">
        <v>5761</v>
      </c>
      <c r="C795">
        <v>154</v>
      </c>
      <c r="D795">
        <v>1</v>
      </c>
      <c r="E795">
        <v>0</v>
      </c>
      <c r="F795">
        <v>0</v>
      </c>
      <c r="G795">
        <v>0</v>
      </c>
      <c r="H795">
        <v>0</v>
      </c>
    </row>
    <row r="796" spans="2:8">
      <c r="B796" t="s">
        <v>5761</v>
      </c>
      <c r="C796">
        <v>157</v>
      </c>
      <c r="D796">
        <v>8</v>
      </c>
      <c r="E796">
        <v>0</v>
      </c>
      <c r="F796">
        <v>0</v>
      </c>
      <c r="G796">
        <v>0</v>
      </c>
      <c r="H796">
        <v>0</v>
      </c>
    </row>
    <row r="797" spans="2:8">
      <c r="B797" t="s">
        <v>5761</v>
      </c>
      <c r="C797">
        <v>161</v>
      </c>
      <c r="D797">
        <v>7</v>
      </c>
      <c r="E797">
        <v>2</v>
      </c>
      <c r="F797">
        <v>0</v>
      </c>
      <c r="G797">
        <v>0</v>
      </c>
      <c r="H797">
        <v>2</v>
      </c>
    </row>
    <row r="798" spans="2:8">
      <c r="B798" t="s">
        <v>5761</v>
      </c>
      <c r="C798">
        <v>162</v>
      </c>
      <c r="D798">
        <v>8</v>
      </c>
      <c r="E798">
        <v>0</v>
      </c>
      <c r="F798">
        <v>0</v>
      </c>
      <c r="G798">
        <v>0</v>
      </c>
      <c r="H798">
        <v>0</v>
      </c>
    </row>
    <row r="799" spans="2:8">
      <c r="B799" t="s">
        <v>5761</v>
      </c>
      <c r="C799">
        <v>163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2:8">
      <c r="B800" t="s">
        <v>5761</v>
      </c>
      <c r="C800">
        <v>164</v>
      </c>
      <c r="D800">
        <v>13</v>
      </c>
      <c r="E800">
        <v>2</v>
      </c>
      <c r="F800">
        <v>0</v>
      </c>
      <c r="G800">
        <v>2</v>
      </c>
      <c r="H800">
        <v>0</v>
      </c>
    </row>
    <row r="801" spans="2:8">
      <c r="B801" t="s">
        <v>5761</v>
      </c>
      <c r="C801">
        <v>164</v>
      </c>
      <c r="D801">
        <v>4</v>
      </c>
      <c r="E801">
        <v>0</v>
      </c>
      <c r="F801">
        <v>0</v>
      </c>
      <c r="G801">
        <v>0</v>
      </c>
      <c r="H801">
        <v>0</v>
      </c>
    </row>
    <row r="802" spans="2:8">
      <c r="B802" t="s">
        <v>5761</v>
      </c>
      <c r="C802">
        <v>166</v>
      </c>
      <c r="D802">
        <v>6</v>
      </c>
      <c r="E802">
        <v>2</v>
      </c>
      <c r="F802">
        <v>0</v>
      </c>
      <c r="G802">
        <v>0</v>
      </c>
      <c r="H802">
        <v>2</v>
      </c>
    </row>
    <row r="803" spans="2:8">
      <c r="B803" t="s">
        <v>5761</v>
      </c>
      <c r="C803">
        <v>166</v>
      </c>
      <c r="D803">
        <v>7</v>
      </c>
      <c r="E803">
        <v>2</v>
      </c>
      <c r="F803">
        <v>0</v>
      </c>
      <c r="G803">
        <v>0</v>
      </c>
      <c r="H803">
        <v>2</v>
      </c>
    </row>
    <row r="804" spans="2:8">
      <c r="B804" t="s">
        <v>5761</v>
      </c>
      <c r="C804">
        <v>167</v>
      </c>
      <c r="D804">
        <v>2</v>
      </c>
      <c r="E804">
        <v>0</v>
      </c>
      <c r="F804">
        <v>0</v>
      </c>
      <c r="G804">
        <v>0</v>
      </c>
      <c r="H804">
        <v>0</v>
      </c>
    </row>
    <row r="805" spans="2:8">
      <c r="B805" t="s">
        <v>5761</v>
      </c>
      <c r="C805">
        <v>171</v>
      </c>
      <c r="D805">
        <v>8</v>
      </c>
      <c r="E805">
        <v>0</v>
      </c>
      <c r="F805">
        <v>0</v>
      </c>
      <c r="G805">
        <v>0</v>
      </c>
      <c r="H805">
        <v>0</v>
      </c>
    </row>
    <row r="806" spans="2:8">
      <c r="B806" t="s">
        <v>5761</v>
      </c>
      <c r="C806">
        <v>173</v>
      </c>
      <c r="D806">
        <v>9</v>
      </c>
      <c r="E806">
        <v>0</v>
      </c>
      <c r="F806">
        <v>0</v>
      </c>
      <c r="G806">
        <v>0</v>
      </c>
      <c r="H806">
        <v>0</v>
      </c>
    </row>
    <row r="807" spans="2:8">
      <c r="B807" t="s">
        <v>5761</v>
      </c>
      <c r="C807">
        <v>180</v>
      </c>
      <c r="D807">
        <v>2</v>
      </c>
      <c r="E807">
        <v>0</v>
      </c>
      <c r="F807">
        <v>0</v>
      </c>
      <c r="G807">
        <v>0</v>
      </c>
      <c r="H807">
        <v>0</v>
      </c>
    </row>
    <row r="808" spans="2:8">
      <c r="B808" t="s">
        <v>5761</v>
      </c>
      <c r="C808">
        <v>184</v>
      </c>
      <c r="D808">
        <v>5</v>
      </c>
      <c r="E808">
        <v>0</v>
      </c>
      <c r="F808">
        <v>0</v>
      </c>
      <c r="G808">
        <v>0</v>
      </c>
      <c r="H808">
        <v>0</v>
      </c>
    </row>
    <row r="809" spans="2:8">
      <c r="B809" t="s">
        <v>5761</v>
      </c>
      <c r="C809">
        <v>185</v>
      </c>
      <c r="D809">
        <v>6</v>
      </c>
      <c r="E809">
        <v>0</v>
      </c>
      <c r="F809">
        <v>0</v>
      </c>
      <c r="G809">
        <v>0</v>
      </c>
      <c r="H809">
        <v>0</v>
      </c>
    </row>
    <row r="810" spans="2:8">
      <c r="B810" t="s">
        <v>5761</v>
      </c>
      <c r="C810">
        <v>185</v>
      </c>
      <c r="D810">
        <v>6</v>
      </c>
      <c r="E810">
        <v>0</v>
      </c>
      <c r="F810">
        <v>0</v>
      </c>
      <c r="G810">
        <v>0</v>
      </c>
      <c r="H810">
        <v>0</v>
      </c>
    </row>
    <row r="811" spans="2:8">
      <c r="B811" t="s">
        <v>5761</v>
      </c>
      <c r="C811">
        <v>187</v>
      </c>
      <c r="D811">
        <v>6</v>
      </c>
      <c r="E811">
        <v>0</v>
      </c>
      <c r="F811">
        <v>0</v>
      </c>
      <c r="G811">
        <v>0</v>
      </c>
      <c r="H811">
        <v>0</v>
      </c>
    </row>
    <row r="812" spans="2:8">
      <c r="B812" t="s">
        <v>5761</v>
      </c>
      <c r="C812">
        <v>190</v>
      </c>
      <c r="D812">
        <v>17</v>
      </c>
      <c r="E812">
        <v>2</v>
      </c>
      <c r="F812">
        <v>0</v>
      </c>
      <c r="G812">
        <v>0</v>
      </c>
      <c r="H812">
        <v>2</v>
      </c>
    </row>
    <row r="813" spans="2:8">
      <c r="B813" t="s">
        <v>5761</v>
      </c>
      <c r="C813">
        <v>193</v>
      </c>
      <c r="D813">
        <v>4</v>
      </c>
      <c r="E813">
        <v>0</v>
      </c>
      <c r="F813">
        <v>0</v>
      </c>
      <c r="G813">
        <v>0</v>
      </c>
      <c r="H813">
        <v>0</v>
      </c>
    </row>
    <row r="814" spans="2:8">
      <c r="B814" t="s">
        <v>5761</v>
      </c>
      <c r="C814">
        <v>200</v>
      </c>
      <c r="D814">
        <v>1</v>
      </c>
      <c r="E814">
        <v>0</v>
      </c>
      <c r="F814">
        <v>0</v>
      </c>
      <c r="G814">
        <v>0</v>
      </c>
      <c r="H814">
        <v>0</v>
      </c>
    </row>
    <row r="815" spans="2:8">
      <c r="B815" t="s">
        <v>5761</v>
      </c>
      <c r="C815">
        <v>202</v>
      </c>
      <c r="D815">
        <v>8</v>
      </c>
      <c r="E815">
        <v>4</v>
      </c>
      <c r="F815">
        <v>0</v>
      </c>
      <c r="G815">
        <v>0</v>
      </c>
      <c r="H815">
        <v>4</v>
      </c>
    </row>
    <row r="816" spans="2:8">
      <c r="B816" t="s">
        <v>5761</v>
      </c>
      <c r="C816">
        <v>203</v>
      </c>
      <c r="D816">
        <v>2</v>
      </c>
      <c r="E816">
        <v>0</v>
      </c>
      <c r="F816">
        <v>0</v>
      </c>
      <c r="G816">
        <v>0</v>
      </c>
      <c r="H816">
        <v>0</v>
      </c>
    </row>
    <row r="817" spans="2:8">
      <c r="B817" t="s">
        <v>5761</v>
      </c>
      <c r="C817">
        <v>205</v>
      </c>
      <c r="D817">
        <v>8</v>
      </c>
      <c r="E817">
        <v>0</v>
      </c>
      <c r="F817">
        <v>0</v>
      </c>
      <c r="G817">
        <v>0</v>
      </c>
      <c r="H817">
        <v>0</v>
      </c>
    </row>
    <row r="818" spans="2:8">
      <c r="B818" t="s">
        <v>5761</v>
      </c>
      <c r="C818">
        <v>205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2:8">
      <c r="B819" t="s">
        <v>5761</v>
      </c>
      <c r="C819">
        <v>206</v>
      </c>
      <c r="D819">
        <v>5</v>
      </c>
      <c r="E819">
        <v>0</v>
      </c>
      <c r="F819">
        <v>0</v>
      </c>
      <c r="G819">
        <v>0</v>
      </c>
      <c r="H819">
        <v>0</v>
      </c>
    </row>
    <row r="820" spans="2:8">
      <c r="B820" t="s">
        <v>5761</v>
      </c>
      <c r="C820">
        <v>209</v>
      </c>
      <c r="D820">
        <v>2</v>
      </c>
      <c r="E820">
        <v>0</v>
      </c>
      <c r="F820">
        <v>0</v>
      </c>
      <c r="G820">
        <v>0</v>
      </c>
      <c r="H820">
        <v>0</v>
      </c>
    </row>
    <row r="821" spans="2:8">
      <c r="B821" t="s">
        <v>5761</v>
      </c>
      <c r="C821">
        <v>210</v>
      </c>
      <c r="D821">
        <v>8</v>
      </c>
      <c r="E821">
        <v>0</v>
      </c>
      <c r="F821">
        <v>0</v>
      </c>
      <c r="G821">
        <v>0</v>
      </c>
      <c r="H821">
        <v>0</v>
      </c>
    </row>
    <row r="822" spans="2:8">
      <c r="B822" t="s">
        <v>5761</v>
      </c>
      <c r="C822">
        <v>214</v>
      </c>
      <c r="D822">
        <v>10</v>
      </c>
      <c r="E822">
        <v>0</v>
      </c>
      <c r="F822">
        <v>0</v>
      </c>
      <c r="G822">
        <v>0</v>
      </c>
      <c r="H822">
        <v>0</v>
      </c>
    </row>
    <row r="823" spans="2:8">
      <c r="B823" t="s">
        <v>5761</v>
      </c>
      <c r="C823">
        <v>215</v>
      </c>
      <c r="D823">
        <v>8</v>
      </c>
      <c r="E823">
        <v>0</v>
      </c>
      <c r="F823">
        <v>0</v>
      </c>
      <c r="G823">
        <v>0</v>
      </c>
      <c r="H823">
        <v>0</v>
      </c>
    </row>
    <row r="824" spans="2:8">
      <c r="B824" t="s">
        <v>5761</v>
      </c>
      <c r="C824">
        <v>217</v>
      </c>
      <c r="D824">
        <v>6</v>
      </c>
      <c r="E824">
        <v>0</v>
      </c>
      <c r="F824">
        <v>0</v>
      </c>
      <c r="G824">
        <v>0</v>
      </c>
      <c r="H824">
        <v>0</v>
      </c>
    </row>
    <row r="825" spans="2:8">
      <c r="B825" t="s">
        <v>5761</v>
      </c>
      <c r="C825">
        <v>225</v>
      </c>
      <c r="D825">
        <v>11</v>
      </c>
      <c r="E825">
        <v>2</v>
      </c>
      <c r="F825">
        <v>0</v>
      </c>
      <c r="G825">
        <v>0</v>
      </c>
      <c r="H825">
        <v>2</v>
      </c>
    </row>
    <row r="826" spans="2:8">
      <c r="B826" t="s">
        <v>5761</v>
      </c>
      <c r="C826">
        <v>225</v>
      </c>
      <c r="D826">
        <v>7</v>
      </c>
      <c r="E826">
        <v>3</v>
      </c>
      <c r="F826">
        <v>0</v>
      </c>
      <c r="G826">
        <v>3</v>
      </c>
      <c r="H826">
        <v>0</v>
      </c>
    </row>
    <row r="827" spans="2:8">
      <c r="B827" t="s">
        <v>5761</v>
      </c>
      <c r="C827">
        <v>225</v>
      </c>
      <c r="D827">
        <v>3</v>
      </c>
      <c r="E827">
        <v>0</v>
      </c>
      <c r="F827">
        <v>0</v>
      </c>
      <c r="G827">
        <v>0</v>
      </c>
      <c r="H827">
        <v>0</v>
      </c>
    </row>
    <row r="828" spans="2:8">
      <c r="B828" t="s">
        <v>5761</v>
      </c>
      <c r="C828">
        <v>229</v>
      </c>
      <c r="D828">
        <v>7</v>
      </c>
      <c r="E828">
        <v>2</v>
      </c>
      <c r="F828">
        <v>0</v>
      </c>
      <c r="G828">
        <v>2</v>
      </c>
      <c r="H828">
        <v>0</v>
      </c>
    </row>
    <row r="829" spans="2:8">
      <c r="B829" t="s">
        <v>5761</v>
      </c>
      <c r="C829">
        <v>233</v>
      </c>
      <c r="D829">
        <v>10</v>
      </c>
      <c r="E829">
        <v>0</v>
      </c>
      <c r="F829">
        <v>0</v>
      </c>
      <c r="G829">
        <v>0</v>
      </c>
      <c r="H829">
        <v>0</v>
      </c>
    </row>
    <row r="830" spans="2:8">
      <c r="B830" t="s">
        <v>5761</v>
      </c>
      <c r="C830">
        <v>234</v>
      </c>
      <c r="D830">
        <v>5</v>
      </c>
      <c r="E830">
        <v>2</v>
      </c>
      <c r="F830">
        <v>0</v>
      </c>
      <c r="G830">
        <v>2</v>
      </c>
      <c r="H830">
        <v>0</v>
      </c>
    </row>
    <row r="831" spans="2:8">
      <c r="B831" t="s">
        <v>5761</v>
      </c>
      <c r="C831">
        <v>247</v>
      </c>
      <c r="D831">
        <v>8</v>
      </c>
      <c r="E831">
        <v>0</v>
      </c>
      <c r="F831">
        <v>0</v>
      </c>
      <c r="G831">
        <v>0</v>
      </c>
      <c r="H831">
        <v>0</v>
      </c>
    </row>
    <row r="832" spans="2:8">
      <c r="B832" t="s">
        <v>5761</v>
      </c>
      <c r="C832">
        <v>249</v>
      </c>
      <c r="D832">
        <v>1</v>
      </c>
      <c r="E832">
        <v>0</v>
      </c>
      <c r="F832">
        <v>0</v>
      </c>
      <c r="G832">
        <v>0</v>
      </c>
      <c r="H832">
        <v>0</v>
      </c>
    </row>
    <row r="833" spans="2:8">
      <c r="B833" t="s">
        <v>5761</v>
      </c>
      <c r="C833">
        <v>251</v>
      </c>
      <c r="D833">
        <v>3</v>
      </c>
      <c r="E833">
        <v>0</v>
      </c>
      <c r="F833">
        <v>0</v>
      </c>
      <c r="G833">
        <v>0</v>
      </c>
      <c r="H833">
        <v>0</v>
      </c>
    </row>
    <row r="834" spans="2:8">
      <c r="B834" t="s">
        <v>5761</v>
      </c>
      <c r="C834">
        <v>252</v>
      </c>
      <c r="D834">
        <v>11</v>
      </c>
      <c r="E834">
        <v>0</v>
      </c>
      <c r="F834">
        <v>0</v>
      </c>
      <c r="G834">
        <v>0</v>
      </c>
      <c r="H834">
        <v>0</v>
      </c>
    </row>
    <row r="835" spans="2:8">
      <c r="B835" t="s">
        <v>5761</v>
      </c>
      <c r="C835">
        <v>254</v>
      </c>
      <c r="D835">
        <v>2</v>
      </c>
      <c r="E835">
        <v>0</v>
      </c>
      <c r="F835">
        <v>0</v>
      </c>
      <c r="G835">
        <v>0</v>
      </c>
      <c r="H835">
        <v>0</v>
      </c>
    </row>
    <row r="836" spans="2:8">
      <c r="B836" t="s">
        <v>5761</v>
      </c>
      <c r="C836">
        <v>261</v>
      </c>
      <c r="D836">
        <v>5</v>
      </c>
      <c r="E836">
        <v>0</v>
      </c>
      <c r="F836">
        <v>0</v>
      </c>
      <c r="G836">
        <v>0</v>
      </c>
      <c r="H836">
        <v>0</v>
      </c>
    </row>
    <row r="837" spans="2:8">
      <c r="B837" t="s">
        <v>5761</v>
      </c>
      <c r="C837">
        <v>270</v>
      </c>
      <c r="D837">
        <v>3</v>
      </c>
      <c r="E837">
        <v>0</v>
      </c>
      <c r="F837">
        <v>0</v>
      </c>
      <c r="G837">
        <v>0</v>
      </c>
      <c r="H837">
        <v>0</v>
      </c>
    </row>
    <row r="838" spans="2:8">
      <c r="B838" t="s">
        <v>5761</v>
      </c>
      <c r="C838">
        <v>271</v>
      </c>
      <c r="D838">
        <v>4</v>
      </c>
      <c r="E838">
        <v>0</v>
      </c>
      <c r="F838">
        <v>0</v>
      </c>
      <c r="G838">
        <v>0</v>
      </c>
      <c r="H838">
        <v>0</v>
      </c>
    </row>
    <row r="839" spans="2:8">
      <c r="B839" t="s">
        <v>5761</v>
      </c>
      <c r="C839">
        <v>273</v>
      </c>
      <c r="D839">
        <v>7</v>
      </c>
      <c r="E839">
        <v>0</v>
      </c>
      <c r="F839">
        <v>0</v>
      </c>
      <c r="G839">
        <v>0</v>
      </c>
      <c r="H839">
        <v>0</v>
      </c>
    </row>
    <row r="840" spans="2:8">
      <c r="B840" t="s">
        <v>5761</v>
      </c>
      <c r="C840">
        <v>280</v>
      </c>
      <c r="D840">
        <v>11</v>
      </c>
      <c r="E840">
        <v>0</v>
      </c>
      <c r="F840">
        <v>0</v>
      </c>
      <c r="G840">
        <v>0</v>
      </c>
      <c r="H840">
        <v>0</v>
      </c>
    </row>
    <row r="841" spans="2:8">
      <c r="B841" t="s">
        <v>5761</v>
      </c>
      <c r="C841">
        <v>285</v>
      </c>
      <c r="D841">
        <v>12</v>
      </c>
      <c r="E841">
        <v>2</v>
      </c>
      <c r="F841">
        <v>0</v>
      </c>
      <c r="G841">
        <v>2</v>
      </c>
      <c r="H841">
        <v>0</v>
      </c>
    </row>
    <row r="842" spans="2:8">
      <c r="B842" t="s">
        <v>5761</v>
      </c>
      <c r="C842">
        <v>286</v>
      </c>
      <c r="D842">
        <v>16</v>
      </c>
      <c r="E842">
        <v>6</v>
      </c>
      <c r="F842">
        <v>0</v>
      </c>
      <c r="G842">
        <v>2</v>
      </c>
      <c r="H842">
        <v>4</v>
      </c>
    </row>
    <row r="843" spans="2:8">
      <c r="B843" t="s">
        <v>5761</v>
      </c>
      <c r="C843">
        <v>290</v>
      </c>
      <c r="D843">
        <v>26</v>
      </c>
      <c r="E843">
        <v>2</v>
      </c>
      <c r="F843">
        <v>0</v>
      </c>
      <c r="G843">
        <v>0</v>
      </c>
      <c r="H843">
        <v>2</v>
      </c>
    </row>
    <row r="844" spans="2:8">
      <c r="B844" t="s">
        <v>5761</v>
      </c>
      <c r="C844">
        <v>291</v>
      </c>
      <c r="D844">
        <v>11</v>
      </c>
      <c r="E844">
        <v>0</v>
      </c>
      <c r="F844">
        <v>0</v>
      </c>
      <c r="G844">
        <v>0</v>
      </c>
      <c r="H844">
        <v>0</v>
      </c>
    </row>
    <row r="845" spans="2:8">
      <c r="B845" t="s">
        <v>5761</v>
      </c>
      <c r="C845">
        <v>292</v>
      </c>
      <c r="D845">
        <v>16</v>
      </c>
      <c r="E845">
        <v>6</v>
      </c>
      <c r="F845">
        <v>0</v>
      </c>
      <c r="G845">
        <v>4</v>
      </c>
      <c r="H845">
        <v>2</v>
      </c>
    </row>
    <row r="846" spans="2:8">
      <c r="B846" t="s">
        <v>5761</v>
      </c>
      <c r="C846">
        <v>297</v>
      </c>
      <c r="D846">
        <v>11</v>
      </c>
      <c r="E846">
        <v>0</v>
      </c>
      <c r="F846">
        <v>0</v>
      </c>
      <c r="G846">
        <v>0</v>
      </c>
      <c r="H846">
        <v>0</v>
      </c>
    </row>
    <row r="847" spans="2:8">
      <c r="B847" t="s">
        <v>5761</v>
      </c>
      <c r="C847">
        <v>301</v>
      </c>
      <c r="D847">
        <v>12</v>
      </c>
      <c r="E847">
        <v>0</v>
      </c>
      <c r="F847">
        <v>0</v>
      </c>
      <c r="G847">
        <v>0</v>
      </c>
      <c r="H847">
        <v>0</v>
      </c>
    </row>
    <row r="848" spans="2:8">
      <c r="B848" t="s">
        <v>5761</v>
      </c>
      <c r="C848">
        <v>309</v>
      </c>
      <c r="D848">
        <v>3</v>
      </c>
      <c r="E848">
        <v>0</v>
      </c>
      <c r="F848">
        <v>0</v>
      </c>
      <c r="G848">
        <v>0</v>
      </c>
      <c r="H848">
        <v>0</v>
      </c>
    </row>
    <row r="849" spans="2:8">
      <c r="B849" t="s">
        <v>5761</v>
      </c>
      <c r="C849">
        <v>310</v>
      </c>
      <c r="D849">
        <v>4</v>
      </c>
      <c r="E849">
        <v>0</v>
      </c>
      <c r="F849">
        <v>0</v>
      </c>
      <c r="G849">
        <v>0</v>
      </c>
      <c r="H849">
        <v>0</v>
      </c>
    </row>
    <row r="850" spans="2:8">
      <c r="B850" t="s">
        <v>5761</v>
      </c>
      <c r="C850">
        <v>315</v>
      </c>
      <c r="D850">
        <v>13</v>
      </c>
      <c r="E850">
        <v>2</v>
      </c>
      <c r="F850">
        <v>0</v>
      </c>
      <c r="G850">
        <v>2</v>
      </c>
      <c r="H850">
        <v>0</v>
      </c>
    </row>
    <row r="851" spans="2:8">
      <c r="B851" t="s">
        <v>5761</v>
      </c>
      <c r="C851">
        <v>317</v>
      </c>
      <c r="D851">
        <v>7</v>
      </c>
      <c r="E851">
        <v>0</v>
      </c>
      <c r="F851">
        <v>0</v>
      </c>
      <c r="G851">
        <v>0</v>
      </c>
      <c r="H851">
        <v>0</v>
      </c>
    </row>
    <row r="852" spans="2:8">
      <c r="B852" t="s">
        <v>5761</v>
      </c>
      <c r="C852">
        <v>321</v>
      </c>
      <c r="D852">
        <v>9</v>
      </c>
      <c r="E852">
        <v>0</v>
      </c>
      <c r="F852">
        <v>0</v>
      </c>
      <c r="G852">
        <v>0</v>
      </c>
      <c r="H852">
        <v>0</v>
      </c>
    </row>
    <row r="853" spans="2:8">
      <c r="B853" t="s">
        <v>5761</v>
      </c>
      <c r="C853">
        <v>326</v>
      </c>
      <c r="D853">
        <v>12</v>
      </c>
      <c r="E853">
        <v>0</v>
      </c>
      <c r="F853">
        <v>0</v>
      </c>
      <c r="G853">
        <v>0</v>
      </c>
      <c r="H853">
        <v>0</v>
      </c>
    </row>
    <row r="854" spans="2:8">
      <c r="B854" t="s">
        <v>5761</v>
      </c>
      <c r="C854">
        <v>326</v>
      </c>
      <c r="D854">
        <v>9</v>
      </c>
      <c r="E854">
        <v>4</v>
      </c>
      <c r="F854">
        <v>0</v>
      </c>
      <c r="G854">
        <v>2</v>
      </c>
      <c r="H854">
        <v>2</v>
      </c>
    </row>
    <row r="855" spans="2:8">
      <c r="B855" t="s">
        <v>5761</v>
      </c>
      <c r="C855">
        <v>327</v>
      </c>
      <c r="D855">
        <v>3</v>
      </c>
      <c r="E855">
        <v>0</v>
      </c>
      <c r="F855">
        <v>0</v>
      </c>
      <c r="G855">
        <v>0</v>
      </c>
      <c r="H855">
        <v>0</v>
      </c>
    </row>
    <row r="856" spans="2:8">
      <c r="B856" t="s">
        <v>5761</v>
      </c>
      <c r="C856">
        <v>332</v>
      </c>
      <c r="D856">
        <v>2</v>
      </c>
      <c r="E856">
        <v>0</v>
      </c>
      <c r="F856">
        <v>0</v>
      </c>
      <c r="G856">
        <v>0</v>
      </c>
      <c r="H856">
        <v>0</v>
      </c>
    </row>
    <row r="857" spans="2:8">
      <c r="B857" t="s">
        <v>5761</v>
      </c>
      <c r="C857">
        <v>350</v>
      </c>
      <c r="D857">
        <v>20</v>
      </c>
      <c r="E857">
        <v>2</v>
      </c>
      <c r="F857">
        <v>0</v>
      </c>
      <c r="G857">
        <v>0</v>
      </c>
      <c r="H857">
        <v>2</v>
      </c>
    </row>
    <row r="858" spans="2:8">
      <c r="B858" t="s">
        <v>5761</v>
      </c>
      <c r="C858">
        <v>353</v>
      </c>
      <c r="D858">
        <v>4</v>
      </c>
      <c r="E858">
        <v>0</v>
      </c>
      <c r="F858">
        <v>0</v>
      </c>
      <c r="G858">
        <v>0</v>
      </c>
      <c r="H858">
        <v>0</v>
      </c>
    </row>
    <row r="859" spans="2:8">
      <c r="B859" t="s">
        <v>5761</v>
      </c>
      <c r="C859">
        <v>355</v>
      </c>
      <c r="D859">
        <v>10</v>
      </c>
      <c r="E859">
        <v>0</v>
      </c>
      <c r="F859">
        <v>0</v>
      </c>
      <c r="G859">
        <v>0</v>
      </c>
      <c r="H859">
        <v>0</v>
      </c>
    </row>
    <row r="860" spans="2:8">
      <c r="B860" t="s">
        <v>5761</v>
      </c>
      <c r="C860">
        <v>363</v>
      </c>
      <c r="D860">
        <v>8</v>
      </c>
      <c r="E860">
        <v>0</v>
      </c>
      <c r="F860">
        <v>0</v>
      </c>
      <c r="G860">
        <v>0</v>
      </c>
      <c r="H860">
        <v>0</v>
      </c>
    </row>
    <row r="861" spans="2:8">
      <c r="B861" t="s">
        <v>5761</v>
      </c>
      <c r="C861">
        <v>377</v>
      </c>
      <c r="D861">
        <v>6</v>
      </c>
      <c r="E861">
        <v>0</v>
      </c>
      <c r="F861">
        <v>0</v>
      </c>
      <c r="G861">
        <v>0</v>
      </c>
      <c r="H861">
        <v>0</v>
      </c>
    </row>
    <row r="862" spans="2:8">
      <c r="B862" t="s">
        <v>5761</v>
      </c>
      <c r="C862">
        <v>378</v>
      </c>
      <c r="D862">
        <v>13</v>
      </c>
      <c r="E862">
        <v>0</v>
      </c>
      <c r="F862">
        <v>0</v>
      </c>
      <c r="G862">
        <v>0</v>
      </c>
      <c r="H862">
        <v>0</v>
      </c>
    </row>
    <row r="863" spans="2:8">
      <c r="B863" t="s">
        <v>5761</v>
      </c>
      <c r="C863">
        <v>381</v>
      </c>
      <c r="D863">
        <v>17</v>
      </c>
      <c r="E863">
        <v>2</v>
      </c>
      <c r="F863">
        <v>0</v>
      </c>
      <c r="G863">
        <v>2</v>
      </c>
      <c r="H863">
        <v>0</v>
      </c>
    </row>
    <row r="864" spans="2:8">
      <c r="B864" t="s">
        <v>5761</v>
      </c>
      <c r="C864">
        <v>381</v>
      </c>
      <c r="D864">
        <v>13</v>
      </c>
      <c r="E864">
        <v>2</v>
      </c>
      <c r="F864">
        <v>0</v>
      </c>
      <c r="G864">
        <v>2</v>
      </c>
      <c r="H864">
        <v>0</v>
      </c>
    </row>
    <row r="865" spans="2:8">
      <c r="B865" t="s">
        <v>5761</v>
      </c>
      <c r="C865">
        <v>388</v>
      </c>
      <c r="D865">
        <v>7</v>
      </c>
      <c r="E865">
        <v>0</v>
      </c>
      <c r="F865">
        <v>0</v>
      </c>
      <c r="G865">
        <v>0</v>
      </c>
      <c r="H865">
        <v>0</v>
      </c>
    </row>
    <row r="866" spans="2:8">
      <c r="B866" t="s">
        <v>5761</v>
      </c>
      <c r="C866">
        <v>392</v>
      </c>
      <c r="D866">
        <v>17</v>
      </c>
      <c r="E866">
        <v>2</v>
      </c>
      <c r="F866">
        <v>0</v>
      </c>
      <c r="G866">
        <v>0</v>
      </c>
      <c r="H866">
        <v>2</v>
      </c>
    </row>
    <row r="867" spans="2:8">
      <c r="B867" t="s">
        <v>5761</v>
      </c>
      <c r="C867">
        <v>395</v>
      </c>
      <c r="D867">
        <v>4</v>
      </c>
      <c r="E867">
        <v>2</v>
      </c>
      <c r="F867">
        <v>0</v>
      </c>
      <c r="G867">
        <v>0</v>
      </c>
      <c r="H867">
        <v>2</v>
      </c>
    </row>
    <row r="868" spans="2:8">
      <c r="B868" t="s">
        <v>5761</v>
      </c>
      <c r="C868">
        <v>397</v>
      </c>
      <c r="D868">
        <v>4</v>
      </c>
      <c r="E868">
        <v>2</v>
      </c>
      <c r="F868">
        <v>0</v>
      </c>
      <c r="G868">
        <v>2</v>
      </c>
      <c r="H868">
        <v>0</v>
      </c>
    </row>
    <row r="869" spans="2:8">
      <c r="B869" t="s">
        <v>5761</v>
      </c>
      <c r="C869">
        <v>441</v>
      </c>
      <c r="D869">
        <v>32</v>
      </c>
      <c r="E869">
        <v>3</v>
      </c>
      <c r="F869">
        <v>0</v>
      </c>
      <c r="G869">
        <v>0</v>
      </c>
      <c r="H869">
        <v>3</v>
      </c>
    </row>
    <row r="870" spans="2:8">
      <c r="B870" t="s">
        <v>5761</v>
      </c>
      <c r="C870">
        <v>444</v>
      </c>
      <c r="D870">
        <v>9</v>
      </c>
      <c r="E870">
        <v>0</v>
      </c>
      <c r="F870">
        <v>0</v>
      </c>
      <c r="G870">
        <v>0</v>
      </c>
      <c r="H870">
        <v>0</v>
      </c>
    </row>
    <row r="871" spans="2:8">
      <c r="B871" t="s">
        <v>5761</v>
      </c>
      <c r="C871">
        <v>473</v>
      </c>
      <c r="D871">
        <v>13</v>
      </c>
      <c r="E871">
        <v>2</v>
      </c>
      <c r="F871">
        <v>0</v>
      </c>
      <c r="G871">
        <v>0</v>
      </c>
      <c r="H871">
        <v>2</v>
      </c>
    </row>
    <row r="872" spans="2:8">
      <c r="B872" t="s">
        <v>5761</v>
      </c>
      <c r="C872">
        <v>483</v>
      </c>
      <c r="D872">
        <v>6</v>
      </c>
      <c r="E872">
        <v>0</v>
      </c>
      <c r="F872">
        <v>0</v>
      </c>
      <c r="G872">
        <v>0</v>
      </c>
      <c r="H872">
        <v>0</v>
      </c>
    </row>
    <row r="873" spans="2:8">
      <c r="B873" t="s">
        <v>5761</v>
      </c>
      <c r="C873">
        <v>506</v>
      </c>
      <c r="D873">
        <v>10</v>
      </c>
      <c r="E873">
        <v>0</v>
      </c>
      <c r="F873">
        <v>0</v>
      </c>
      <c r="G873">
        <v>0</v>
      </c>
      <c r="H873">
        <v>0</v>
      </c>
    </row>
    <row r="874" spans="2:8">
      <c r="B874" t="s">
        <v>5761</v>
      </c>
      <c r="C874">
        <v>509</v>
      </c>
      <c r="D874">
        <v>13</v>
      </c>
      <c r="E874">
        <v>0</v>
      </c>
      <c r="F874">
        <v>0</v>
      </c>
      <c r="G874">
        <v>0</v>
      </c>
      <c r="H874">
        <v>0</v>
      </c>
    </row>
    <row r="875" spans="2:8">
      <c r="B875" t="s">
        <v>5761</v>
      </c>
      <c r="C875">
        <v>552</v>
      </c>
      <c r="D875">
        <v>10</v>
      </c>
      <c r="E875">
        <v>0</v>
      </c>
      <c r="F875">
        <v>0</v>
      </c>
      <c r="G875">
        <v>0</v>
      </c>
      <c r="H875">
        <v>0</v>
      </c>
    </row>
    <row r="876" spans="2:8">
      <c r="B876" t="s">
        <v>5761</v>
      </c>
      <c r="C876">
        <v>624</v>
      </c>
      <c r="D876">
        <v>15</v>
      </c>
      <c r="E876">
        <v>0</v>
      </c>
      <c r="F876">
        <v>0</v>
      </c>
      <c r="G876">
        <v>0</v>
      </c>
      <c r="H876">
        <v>0</v>
      </c>
    </row>
    <row r="877" spans="2:8">
      <c r="B877" t="s">
        <v>5761</v>
      </c>
      <c r="C877">
        <v>641</v>
      </c>
      <c r="D877">
        <v>13</v>
      </c>
      <c r="E877">
        <v>2</v>
      </c>
      <c r="F877">
        <v>0</v>
      </c>
      <c r="G877">
        <v>2</v>
      </c>
      <c r="H877">
        <v>0</v>
      </c>
    </row>
    <row r="878" spans="2:8">
      <c r="B878" t="s">
        <v>5761</v>
      </c>
      <c r="C878">
        <v>649</v>
      </c>
      <c r="D878">
        <v>20</v>
      </c>
      <c r="E878">
        <v>0</v>
      </c>
      <c r="F878">
        <v>0</v>
      </c>
      <c r="G878">
        <v>0</v>
      </c>
      <c r="H878">
        <v>0</v>
      </c>
    </row>
    <row r="879" spans="2:8">
      <c r="B879" t="s">
        <v>5761</v>
      </c>
      <c r="C879">
        <v>805</v>
      </c>
      <c r="D879">
        <v>24</v>
      </c>
      <c r="E879">
        <v>7</v>
      </c>
      <c r="F879">
        <v>0</v>
      </c>
      <c r="G879">
        <v>6</v>
      </c>
      <c r="H87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TimeZone-summary</vt:lpstr>
      <vt:lpstr>Convergent</vt:lpstr>
      <vt:lpstr>CD</vt:lpstr>
      <vt:lpstr>HO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Merrikh</dc:creator>
  <cp:lastModifiedBy>Leonard Harris</cp:lastModifiedBy>
  <dcterms:created xsi:type="dcterms:W3CDTF">2020-05-14T12:05:02Z</dcterms:created>
  <dcterms:modified xsi:type="dcterms:W3CDTF">2020-05-24T22:10:55Z</dcterms:modified>
</cp:coreProperties>
</file>