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0e560b12f3564aa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Marketing\"/>
    </mc:Choice>
  </mc:AlternateContent>
  <xr:revisionPtr revIDLastSave="0" documentId="13_ncr:1_{82FA6AD4-45F4-4EAB-A928-88A5077484E9}" xr6:coauthVersionLast="47" xr6:coauthVersionMax="47" xr10:uidLastSave="{00000000-0000-0000-0000-000000000000}"/>
  <bookViews>
    <workbookView xWindow="-108" yWindow="-108" windowWidth="23256" windowHeight="12576" activeTab="4" xr2:uid="{6F357CD4-0D44-4873-94A7-91FAB950E74F}"/>
  </bookViews>
  <sheets>
    <sheet name="Email" sheetId="2" r:id="rId1"/>
    <sheet name="E-Subscribers" sheetId="4" r:id="rId2"/>
    <sheet name="Google" sheetId="3" r:id="rId3"/>
    <sheet name="Calc" sheetId="5" r:id="rId4"/>
    <sheet name="DASHBOARD" sheetId="1" r:id="rId5"/>
    <sheet name="©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5" l="1"/>
  <c r="J41" i="5"/>
  <c r="I41" i="5"/>
  <c r="H41" i="5"/>
  <c r="G41" i="5"/>
  <c r="F41" i="5"/>
  <c r="N14" i="5"/>
  <c r="N13" i="5"/>
  <c r="N12" i="5"/>
  <c r="N11" i="5"/>
  <c r="M17" i="5"/>
  <c r="M16" i="5"/>
  <c r="M15" i="5"/>
  <c r="M14" i="5"/>
  <c r="M13" i="5"/>
  <c r="M12" i="5"/>
  <c r="M11" i="5"/>
  <c r="K40" i="5"/>
  <c r="J40" i="5"/>
  <c r="I40" i="5"/>
  <c r="H40" i="5"/>
  <c r="G40" i="5"/>
  <c r="K39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K35" i="5"/>
  <c r="J35" i="5"/>
  <c r="I35" i="5"/>
  <c r="H35" i="5"/>
  <c r="G35" i="5"/>
  <c r="K34" i="5"/>
  <c r="J34" i="5"/>
  <c r="I34" i="5"/>
  <c r="H34" i="5"/>
  <c r="G34" i="5"/>
  <c r="K33" i="5"/>
  <c r="J33" i="5"/>
  <c r="I33" i="5"/>
  <c r="H33" i="5"/>
  <c r="G33" i="5"/>
  <c r="K32" i="5"/>
  <c r="J32" i="5"/>
  <c r="I32" i="5"/>
  <c r="H32" i="5"/>
  <c r="G32" i="5"/>
  <c r="K31" i="5"/>
  <c r="J31" i="5"/>
  <c r="I31" i="5"/>
  <c r="H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J24" i="5"/>
  <c r="I24" i="5"/>
  <c r="H24" i="5"/>
  <c r="G24" i="5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J16" i="5"/>
  <c r="I16" i="5"/>
  <c r="H16" i="5"/>
  <c r="G16" i="5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I21" i="1"/>
  <c r="J22" i="1"/>
  <c r="J21" i="1"/>
  <c r="K22" i="1"/>
  <c r="K21" i="1"/>
  <c r="L21" i="1"/>
  <c r="M21" i="1"/>
  <c r="M18" i="1"/>
  <c r="L18" i="1"/>
  <c r="K19" i="1"/>
  <c r="K18" i="1"/>
  <c r="J19" i="1"/>
  <c r="J18" i="1"/>
  <c r="I18" i="1"/>
  <c r="M15" i="1"/>
  <c r="L15" i="1"/>
  <c r="K16" i="1"/>
  <c r="K15" i="1"/>
  <c r="J16" i="1"/>
  <c r="J15" i="1"/>
  <c r="I15" i="1"/>
  <c r="I12" i="1"/>
  <c r="J13" i="1"/>
  <c r="J12" i="1"/>
  <c r="K13" i="1"/>
  <c r="K12" i="1"/>
  <c r="L12" i="1"/>
  <c r="M12" i="1"/>
  <c r="M9" i="1"/>
  <c r="L9" i="1"/>
  <c r="K10" i="1"/>
  <c r="K9" i="1"/>
  <c r="J10" i="1"/>
  <c r="J9" i="1"/>
  <c r="I9" i="1"/>
  <c r="H22" i="1"/>
  <c r="H21" i="1"/>
  <c r="H19" i="1"/>
  <c r="H18" i="1"/>
  <c r="H16" i="1"/>
  <c r="H15" i="1"/>
  <c r="H13" i="1"/>
  <c r="H12" i="1"/>
  <c r="H10" i="1"/>
  <c r="H9" i="1"/>
  <c r="K7" i="1"/>
  <c r="J7" i="1"/>
  <c r="M6" i="1"/>
  <c r="L6" i="1"/>
  <c r="K6" i="1"/>
  <c r="J6" i="1"/>
  <c r="I6" i="1"/>
  <c r="H7" i="1"/>
  <c r="H6" i="1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A40" i="5"/>
  <c r="A39" i="5" l="1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B8" i="5"/>
  <c r="B5" i="5"/>
  <c r="B2" i="5"/>
  <c r="G91" i="3"/>
  <c r="G90" i="3"/>
  <c r="G89" i="3"/>
  <c r="K38" i="5" s="1"/>
  <c r="G88" i="3"/>
  <c r="K37" i="5" s="1"/>
  <c r="G87" i="3"/>
  <c r="K36" i="5" s="1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N17" i="5" s="1"/>
  <c r="G60" i="3"/>
  <c r="N16" i="5" s="1"/>
  <c r="G59" i="3"/>
  <c r="N15" i="5" s="1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5" l="1"/>
  <c r="F5" i="5" s="1"/>
  <c r="C5" i="5"/>
  <c r="C8" i="5"/>
  <c r="G5" i="5" l="1"/>
  <c r="F8" i="5"/>
  <c r="G8" i="5" s="1"/>
</calcChain>
</file>

<file path=xl/sharedStrings.xml><?xml version="1.0" encoding="utf-8"?>
<sst xmlns="http://schemas.openxmlformats.org/spreadsheetml/2006/main" count="70" uniqueCount="42">
  <si>
    <t>Awareness Email Marketing Campaigns</t>
  </si>
  <si>
    <t>Lead Nurturing Email Marketing Campaign</t>
  </si>
  <si>
    <t>Revenue Generation Email Marketing Campaign</t>
  </si>
  <si>
    <t>Marketing Campaign: Engagement</t>
  </si>
  <si>
    <t>Weekly Newsletter</t>
  </si>
  <si>
    <t>Marketing Campaign: Update</t>
  </si>
  <si>
    <t>Marketing Campaign: Promotion</t>
  </si>
  <si>
    <t>Re-Engagement Campaign</t>
  </si>
  <si>
    <t>Marketing Campaign: Customer Delight</t>
  </si>
  <si>
    <t>Marketing Campaign: Email Preferences</t>
  </si>
  <si>
    <t>VIP Anouncement</t>
  </si>
  <si>
    <t>Solo Send: Special Offers</t>
  </si>
  <si>
    <t>Daily customer Update</t>
  </si>
  <si>
    <t>Course is now 50% off</t>
  </si>
  <si>
    <t>Promise of Responsive Service</t>
  </si>
  <si>
    <t>DATE</t>
  </si>
  <si>
    <t>TIME</t>
  </si>
  <si>
    <t>CAMPAIGN</t>
  </si>
  <si>
    <t>SENT</t>
  </si>
  <si>
    <t>OPENS</t>
  </si>
  <si>
    <t>OPENS PER</t>
  </si>
  <si>
    <t>CLICKS</t>
  </si>
  <si>
    <t>BOUNCES</t>
  </si>
  <si>
    <t>UNSUBS</t>
  </si>
  <si>
    <t>SUBSCRIBED</t>
  </si>
  <si>
    <t>CLICKS PER</t>
  </si>
  <si>
    <t>DIRECT</t>
  </si>
  <si>
    <t>ORGANIC</t>
  </si>
  <si>
    <t>PAID</t>
  </si>
  <si>
    <t>OTHER</t>
  </si>
  <si>
    <t>TOTAL SESSIONS</t>
  </si>
  <si>
    <t>Subscribers</t>
  </si>
  <si>
    <t>Subscribers Yesterday</t>
  </si>
  <si>
    <t>Subscribers Week Before</t>
  </si>
  <si>
    <t>Subscribers Last 30 Days</t>
  </si>
  <si>
    <t>Difference</t>
  </si>
  <si>
    <t>Sessions Last 30 Days</t>
  </si>
  <si>
    <t>Sessions Yesterday</t>
  </si>
  <si>
    <t>Sessions Week Before</t>
  </si>
  <si>
    <t>7 Days before - sessions</t>
  </si>
  <si>
    <t>REFERRAL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</si>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</sst>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dd\,\ mmmm\ dd\,\ yyyy"/>
    <numFmt numFmtId="170" formatCode="\+0;\-0;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rgb="FF002340"/>
      <name val="Bahnschrift"/>
      <family val="2"/>
    </font>
    <font>
      <sz val="11"/>
      <color rgb="FFB4FF00"/>
      <name val="Bahnschrift"/>
      <family val="2"/>
    </font>
    <font>
      <sz val="8"/>
      <color theme="1"/>
      <name val="Bahnschrift"/>
      <family val="2"/>
    </font>
    <font>
      <sz val="8"/>
      <color theme="1" tint="0.34998626667073579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B4FF00"/>
        <bgColor indexed="64"/>
      </patternFill>
    </fill>
    <fill>
      <patternFill patternType="solid">
        <fgColor rgb="FF00234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165" fontId="6" fillId="4" borderId="0" xfId="0" applyNumberFormat="1" applyFont="1" applyFill="1" applyBorder="1" applyAlignment="1">
      <alignment horizontal="left" vertical="center"/>
    </xf>
    <xf numFmtId="3" fontId="1" fillId="4" borderId="0" xfId="0" applyNumberFormat="1" applyFont="1" applyFill="1" applyAlignment="1">
      <alignment horizontal="center" vertical="center"/>
    </xf>
    <xf numFmtId="10" fontId="6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3" fontId="1" fillId="5" borderId="0" xfId="0" applyNumberFormat="1" applyFont="1" applyFill="1" applyAlignment="1">
      <alignment horizontal="center" vertical="center"/>
    </xf>
    <xf numFmtId="165" fontId="6" fillId="5" borderId="0" xfId="0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5" formatCode="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5" formatCode="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5" formatCode="dddd\,\ mmmm\ dd\,\ 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4FF00"/>
      <color rgb="FF002340"/>
      <color rgb="FFC7F9EE"/>
      <color rgb="FF6DF0D2"/>
      <color rgb="FF1DE4BD"/>
      <color rgb="FF1B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234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B4FF00"/>
              </a:solidFill>
              <a:ln w="9525">
                <a:noFill/>
              </a:ln>
              <a:effectLst/>
            </c:spPr>
          </c:marker>
          <c:cat>
            <c:numRef>
              <c:f>Calc!$A$11:$A$40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Calc!$B$11:$B$40</c:f>
              <c:numCache>
                <c:formatCode>#,##0</c:formatCode>
                <c:ptCount val="30"/>
                <c:pt idx="0">
                  <c:v>5799</c:v>
                </c:pt>
                <c:pt idx="1">
                  <c:v>5780</c:v>
                </c:pt>
                <c:pt idx="2">
                  <c:v>5822</c:v>
                </c:pt>
                <c:pt idx="3">
                  <c:v>5814</c:v>
                </c:pt>
                <c:pt idx="4">
                  <c:v>5804</c:v>
                </c:pt>
                <c:pt idx="5">
                  <c:v>5800</c:v>
                </c:pt>
                <c:pt idx="6">
                  <c:v>5870</c:v>
                </c:pt>
                <c:pt idx="7">
                  <c:v>5866</c:v>
                </c:pt>
                <c:pt idx="8">
                  <c:v>5860</c:v>
                </c:pt>
                <c:pt idx="9">
                  <c:v>5852</c:v>
                </c:pt>
                <c:pt idx="10">
                  <c:v>5844</c:v>
                </c:pt>
                <c:pt idx="11">
                  <c:v>5840</c:v>
                </c:pt>
                <c:pt idx="12">
                  <c:v>6020</c:v>
                </c:pt>
                <c:pt idx="13">
                  <c:v>6045</c:v>
                </c:pt>
                <c:pt idx="14">
                  <c:v>6040</c:v>
                </c:pt>
                <c:pt idx="15">
                  <c:v>6318</c:v>
                </c:pt>
                <c:pt idx="16">
                  <c:v>6302</c:v>
                </c:pt>
                <c:pt idx="17">
                  <c:v>6288</c:v>
                </c:pt>
                <c:pt idx="18">
                  <c:v>6264</c:v>
                </c:pt>
                <c:pt idx="19">
                  <c:v>6250</c:v>
                </c:pt>
                <c:pt idx="20">
                  <c:v>6260</c:v>
                </c:pt>
                <c:pt idx="21">
                  <c:v>6522</c:v>
                </c:pt>
                <c:pt idx="22">
                  <c:v>6510</c:v>
                </c:pt>
                <c:pt idx="23">
                  <c:v>6623</c:v>
                </c:pt>
                <c:pt idx="24">
                  <c:v>6601</c:v>
                </c:pt>
                <c:pt idx="25">
                  <c:v>6575</c:v>
                </c:pt>
                <c:pt idx="26">
                  <c:v>6550</c:v>
                </c:pt>
                <c:pt idx="27">
                  <c:v>6548</c:v>
                </c:pt>
                <c:pt idx="28">
                  <c:v>6540</c:v>
                </c:pt>
                <c:pt idx="29">
                  <c:v>6537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98-42AA-83F4-DE620874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60064"/>
        <c:axId val="391757984"/>
      </c:lineChart>
      <c:dateAx>
        <c:axId val="39176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1757984"/>
        <c:crosses val="autoZero"/>
        <c:auto val="1"/>
        <c:lblOffset val="100"/>
        <c:baseTimeUnit val="days"/>
        <c:majorUnit val="14"/>
        <c:majorTimeUnit val="days"/>
      </c:dateAx>
      <c:valAx>
        <c:axId val="3917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917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773172586748"/>
          <c:y val="7.6388847118959366E-2"/>
          <c:w val="0.75838161284669048"/>
          <c:h val="0.77494216155831064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002340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Calc!$K$11:$K$40</c:f>
              <c:numCache>
                <c:formatCode>#,##0</c:formatCode>
                <c:ptCount val="30"/>
                <c:pt idx="0">
                  <c:v>376</c:v>
                </c:pt>
                <c:pt idx="1">
                  <c:v>532</c:v>
                </c:pt>
                <c:pt idx="2">
                  <c:v>241</c:v>
                </c:pt>
                <c:pt idx="3">
                  <c:v>221</c:v>
                </c:pt>
                <c:pt idx="4">
                  <c:v>555</c:v>
                </c:pt>
                <c:pt idx="5">
                  <c:v>478</c:v>
                </c:pt>
                <c:pt idx="6">
                  <c:v>501</c:v>
                </c:pt>
                <c:pt idx="7">
                  <c:v>405</c:v>
                </c:pt>
                <c:pt idx="8">
                  <c:v>473</c:v>
                </c:pt>
                <c:pt idx="9">
                  <c:v>264</c:v>
                </c:pt>
                <c:pt idx="10">
                  <c:v>216</c:v>
                </c:pt>
                <c:pt idx="11">
                  <c:v>453</c:v>
                </c:pt>
                <c:pt idx="12">
                  <c:v>500</c:v>
                </c:pt>
                <c:pt idx="13">
                  <c:v>436</c:v>
                </c:pt>
                <c:pt idx="14">
                  <c:v>545</c:v>
                </c:pt>
                <c:pt idx="15">
                  <c:v>485</c:v>
                </c:pt>
                <c:pt idx="16">
                  <c:v>294</c:v>
                </c:pt>
                <c:pt idx="17">
                  <c:v>246</c:v>
                </c:pt>
                <c:pt idx="18">
                  <c:v>292</c:v>
                </c:pt>
                <c:pt idx="19">
                  <c:v>459</c:v>
                </c:pt>
                <c:pt idx="20">
                  <c:v>487</c:v>
                </c:pt>
                <c:pt idx="21">
                  <c:v>347</c:v>
                </c:pt>
                <c:pt idx="22">
                  <c:v>435</c:v>
                </c:pt>
                <c:pt idx="23">
                  <c:v>276</c:v>
                </c:pt>
                <c:pt idx="24">
                  <c:v>256</c:v>
                </c:pt>
                <c:pt idx="25">
                  <c:v>408</c:v>
                </c:pt>
                <c:pt idx="26">
                  <c:v>538</c:v>
                </c:pt>
                <c:pt idx="27">
                  <c:v>528</c:v>
                </c:pt>
                <c:pt idx="28">
                  <c:v>560</c:v>
                </c:pt>
                <c:pt idx="2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1-4C3C-A248-D66192E9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33792"/>
        <c:axId val="887234208"/>
      </c:areaChart>
      <c:dateAx>
        <c:axId val="88723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34208"/>
        <c:crosses val="autoZero"/>
        <c:auto val="1"/>
        <c:lblOffset val="100"/>
        <c:baseTimeUnit val="days"/>
        <c:majorUnit val="14"/>
        <c:majorTimeUnit val="days"/>
      </c:dateAx>
      <c:valAx>
        <c:axId val="8872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33770778652674E-2"/>
          <c:y val="3.2397954305456104E-2"/>
          <c:w val="0.84108945756780407"/>
          <c:h val="0.8000273716951786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1BD4D4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Calc!$F$11:$F$40</c:f>
              <c:numCache>
                <c:formatCode>#,##0</c:formatCode>
                <c:ptCount val="30"/>
                <c:pt idx="0">
                  <c:v>89</c:v>
                </c:pt>
                <c:pt idx="1">
                  <c:v>91</c:v>
                </c:pt>
                <c:pt idx="2">
                  <c:v>53</c:v>
                </c:pt>
                <c:pt idx="3">
                  <c:v>52</c:v>
                </c:pt>
                <c:pt idx="4">
                  <c:v>128</c:v>
                </c:pt>
                <c:pt idx="5">
                  <c:v>140</c:v>
                </c:pt>
                <c:pt idx="6">
                  <c:v>125</c:v>
                </c:pt>
                <c:pt idx="7">
                  <c:v>108</c:v>
                </c:pt>
                <c:pt idx="8">
                  <c:v>95</c:v>
                </c:pt>
                <c:pt idx="9">
                  <c:v>54</c:v>
                </c:pt>
                <c:pt idx="10">
                  <c:v>43</c:v>
                </c:pt>
                <c:pt idx="11">
                  <c:v>128</c:v>
                </c:pt>
                <c:pt idx="12">
                  <c:v>102</c:v>
                </c:pt>
                <c:pt idx="13">
                  <c:v>95</c:v>
                </c:pt>
                <c:pt idx="14">
                  <c:v>137</c:v>
                </c:pt>
                <c:pt idx="15">
                  <c:v>133</c:v>
                </c:pt>
                <c:pt idx="16">
                  <c:v>63</c:v>
                </c:pt>
                <c:pt idx="17">
                  <c:v>52</c:v>
                </c:pt>
                <c:pt idx="18">
                  <c:v>88</c:v>
                </c:pt>
                <c:pt idx="19">
                  <c:v>86</c:v>
                </c:pt>
                <c:pt idx="20">
                  <c:v>100</c:v>
                </c:pt>
                <c:pt idx="21">
                  <c:v>85</c:v>
                </c:pt>
                <c:pt idx="22">
                  <c:v>96</c:v>
                </c:pt>
                <c:pt idx="23">
                  <c:v>62</c:v>
                </c:pt>
                <c:pt idx="24">
                  <c:v>58</c:v>
                </c:pt>
                <c:pt idx="25">
                  <c:v>89</c:v>
                </c:pt>
                <c:pt idx="26">
                  <c:v>122</c:v>
                </c:pt>
                <c:pt idx="27">
                  <c:v>133</c:v>
                </c:pt>
                <c:pt idx="28">
                  <c:v>126</c:v>
                </c:pt>
                <c:pt idx="2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EA6-92AB-CE77D14F16F0}"/>
            </c:ext>
          </c:extLst>
        </c:ser>
        <c:ser>
          <c:idx val="1"/>
          <c:order val="1"/>
          <c:spPr>
            <a:solidFill>
              <a:srgbClr val="1DE4BD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Calc!$G$11:$G$40</c:f>
              <c:numCache>
                <c:formatCode>#,##0</c:formatCode>
                <c:ptCount val="30"/>
                <c:pt idx="0">
                  <c:v>73</c:v>
                </c:pt>
                <c:pt idx="1">
                  <c:v>102</c:v>
                </c:pt>
                <c:pt idx="2">
                  <c:v>46</c:v>
                </c:pt>
                <c:pt idx="3">
                  <c:v>24</c:v>
                </c:pt>
                <c:pt idx="4">
                  <c:v>104</c:v>
                </c:pt>
                <c:pt idx="5">
                  <c:v>101</c:v>
                </c:pt>
                <c:pt idx="6">
                  <c:v>117</c:v>
                </c:pt>
                <c:pt idx="7">
                  <c:v>103</c:v>
                </c:pt>
                <c:pt idx="8">
                  <c:v>74</c:v>
                </c:pt>
                <c:pt idx="9">
                  <c:v>52</c:v>
                </c:pt>
                <c:pt idx="10">
                  <c:v>45</c:v>
                </c:pt>
                <c:pt idx="11">
                  <c:v>116</c:v>
                </c:pt>
                <c:pt idx="12">
                  <c:v>88</c:v>
                </c:pt>
                <c:pt idx="13">
                  <c:v>74</c:v>
                </c:pt>
                <c:pt idx="14">
                  <c:v>135</c:v>
                </c:pt>
                <c:pt idx="15">
                  <c:v>89</c:v>
                </c:pt>
                <c:pt idx="16">
                  <c:v>61</c:v>
                </c:pt>
                <c:pt idx="17">
                  <c:v>54</c:v>
                </c:pt>
                <c:pt idx="18">
                  <c:v>46</c:v>
                </c:pt>
                <c:pt idx="19">
                  <c:v>96</c:v>
                </c:pt>
                <c:pt idx="20">
                  <c:v>74</c:v>
                </c:pt>
                <c:pt idx="21">
                  <c:v>47</c:v>
                </c:pt>
                <c:pt idx="22">
                  <c:v>69</c:v>
                </c:pt>
                <c:pt idx="23">
                  <c:v>61</c:v>
                </c:pt>
                <c:pt idx="24">
                  <c:v>54</c:v>
                </c:pt>
                <c:pt idx="25">
                  <c:v>87</c:v>
                </c:pt>
                <c:pt idx="26">
                  <c:v>103</c:v>
                </c:pt>
                <c:pt idx="27">
                  <c:v>108</c:v>
                </c:pt>
                <c:pt idx="28">
                  <c:v>123</c:v>
                </c:pt>
                <c:pt idx="2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2-4EA6-92AB-CE77D14F16F0}"/>
            </c:ext>
          </c:extLst>
        </c:ser>
        <c:ser>
          <c:idx val="2"/>
          <c:order val="2"/>
          <c:spPr>
            <a:solidFill>
              <a:srgbClr val="6DF0D2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Calc!$H$11:$H$40</c:f>
              <c:numCache>
                <c:formatCode>#,##0</c:formatCode>
                <c:ptCount val="30"/>
                <c:pt idx="0">
                  <c:v>57</c:v>
                </c:pt>
                <c:pt idx="1">
                  <c:v>104</c:v>
                </c:pt>
                <c:pt idx="2">
                  <c:v>44</c:v>
                </c:pt>
                <c:pt idx="3">
                  <c:v>31</c:v>
                </c:pt>
                <c:pt idx="4">
                  <c:v>90</c:v>
                </c:pt>
                <c:pt idx="5">
                  <c:v>92</c:v>
                </c:pt>
                <c:pt idx="6">
                  <c:v>118</c:v>
                </c:pt>
                <c:pt idx="7">
                  <c:v>95</c:v>
                </c:pt>
                <c:pt idx="8">
                  <c:v>77</c:v>
                </c:pt>
                <c:pt idx="9">
                  <c:v>47</c:v>
                </c:pt>
                <c:pt idx="10">
                  <c:v>51</c:v>
                </c:pt>
                <c:pt idx="11">
                  <c:v>100</c:v>
                </c:pt>
                <c:pt idx="12">
                  <c:v>85</c:v>
                </c:pt>
                <c:pt idx="13">
                  <c:v>61</c:v>
                </c:pt>
                <c:pt idx="14">
                  <c:v>121</c:v>
                </c:pt>
                <c:pt idx="15">
                  <c:v>80</c:v>
                </c:pt>
                <c:pt idx="16">
                  <c:v>70</c:v>
                </c:pt>
                <c:pt idx="17">
                  <c:v>46</c:v>
                </c:pt>
                <c:pt idx="18">
                  <c:v>44</c:v>
                </c:pt>
                <c:pt idx="19">
                  <c:v>83</c:v>
                </c:pt>
                <c:pt idx="20">
                  <c:v>62</c:v>
                </c:pt>
                <c:pt idx="21">
                  <c:v>45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82</c:v>
                </c:pt>
                <c:pt idx="26">
                  <c:v>88</c:v>
                </c:pt>
                <c:pt idx="27">
                  <c:v>100</c:v>
                </c:pt>
                <c:pt idx="28">
                  <c:v>118</c:v>
                </c:pt>
                <c:pt idx="2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2-4EA6-92AB-CE77D14F16F0}"/>
            </c:ext>
          </c:extLst>
        </c:ser>
        <c:ser>
          <c:idx val="3"/>
          <c:order val="3"/>
          <c:spPr>
            <a:solidFill>
              <a:srgbClr val="C7F9EE"/>
            </a:solidFill>
            <a:ln>
              <a:noFill/>
            </a:ln>
            <a:effectLst/>
          </c:spPr>
          <c:cat>
            <c:numRef>
              <c:f>Calc!$E$11:$E$40</c:f>
              <c:numCache>
                <c:formatCode>m/d/yyyy</c:formatCode>
                <c:ptCount val="30"/>
                <c:pt idx="0">
                  <c:v>44987</c:v>
                </c:pt>
                <c:pt idx="1">
                  <c:v>44988</c:v>
                </c:pt>
                <c:pt idx="2">
                  <c:v>44989</c:v>
                </c:pt>
                <c:pt idx="3">
                  <c:v>44990</c:v>
                </c:pt>
                <c:pt idx="4">
                  <c:v>44991</c:v>
                </c:pt>
                <c:pt idx="5">
                  <c:v>44992</c:v>
                </c:pt>
                <c:pt idx="6">
                  <c:v>44993</c:v>
                </c:pt>
                <c:pt idx="7">
                  <c:v>44994</c:v>
                </c:pt>
                <c:pt idx="8">
                  <c:v>44995</c:v>
                </c:pt>
                <c:pt idx="9">
                  <c:v>44996</c:v>
                </c:pt>
                <c:pt idx="10">
                  <c:v>44997</c:v>
                </c:pt>
                <c:pt idx="11">
                  <c:v>44998</c:v>
                </c:pt>
                <c:pt idx="12">
                  <c:v>44999</c:v>
                </c:pt>
                <c:pt idx="13">
                  <c:v>45000</c:v>
                </c:pt>
                <c:pt idx="14">
                  <c:v>45001</c:v>
                </c:pt>
                <c:pt idx="15">
                  <c:v>45002</c:v>
                </c:pt>
                <c:pt idx="16">
                  <c:v>45003</c:v>
                </c:pt>
                <c:pt idx="17">
                  <c:v>45004</c:v>
                </c:pt>
                <c:pt idx="18">
                  <c:v>45005</c:v>
                </c:pt>
                <c:pt idx="19">
                  <c:v>45006</c:v>
                </c:pt>
                <c:pt idx="20">
                  <c:v>45007</c:v>
                </c:pt>
                <c:pt idx="21">
                  <c:v>45008</c:v>
                </c:pt>
                <c:pt idx="22">
                  <c:v>45009</c:v>
                </c:pt>
                <c:pt idx="23">
                  <c:v>45010</c:v>
                </c:pt>
                <c:pt idx="24">
                  <c:v>45011</c:v>
                </c:pt>
                <c:pt idx="25">
                  <c:v>45012</c:v>
                </c:pt>
                <c:pt idx="26">
                  <c:v>45013</c:v>
                </c:pt>
                <c:pt idx="27">
                  <c:v>45014</c:v>
                </c:pt>
                <c:pt idx="28">
                  <c:v>45015</c:v>
                </c:pt>
                <c:pt idx="29">
                  <c:v>45016</c:v>
                </c:pt>
              </c:numCache>
            </c:numRef>
          </c:cat>
          <c:val>
            <c:numRef>
              <c:f>Calc!$I$11:$I$40</c:f>
              <c:numCache>
                <c:formatCode>#,##0</c:formatCode>
                <c:ptCount val="30"/>
                <c:pt idx="0">
                  <c:v>27</c:v>
                </c:pt>
                <c:pt idx="1">
                  <c:v>53</c:v>
                </c:pt>
                <c:pt idx="2">
                  <c:v>10</c:v>
                </c:pt>
                <c:pt idx="3">
                  <c:v>16</c:v>
                </c:pt>
                <c:pt idx="4">
                  <c:v>27</c:v>
                </c:pt>
                <c:pt idx="5">
                  <c:v>32</c:v>
                </c:pt>
                <c:pt idx="6">
                  <c:v>33</c:v>
                </c:pt>
                <c:pt idx="7">
                  <c:v>12</c:v>
                </c:pt>
                <c:pt idx="8">
                  <c:v>54</c:v>
                </c:pt>
                <c:pt idx="9">
                  <c:v>18</c:v>
                </c:pt>
                <c:pt idx="10">
                  <c:v>17</c:v>
                </c:pt>
                <c:pt idx="11">
                  <c:v>11</c:v>
                </c:pt>
                <c:pt idx="12">
                  <c:v>18</c:v>
                </c:pt>
                <c:pt idx="13">
                  <c:v>27</c:v>
                </c:pt>
                <c:pt idx="14">
                  <c:v>56</c:v>
                </c:pt>
                <c:pt idx="15">
                  <c:v>24</c:v>
                </c:pt>
                <c:pt idx="16">
                  <c:v>33</c:v>
                </c:pt>
                <c:pt idx="17">
                  <c:v>24</c:v>
                </c:pt>
                <c:pt idx="18">
                  <c:v>29</c:v>
                </c:pt>
                <c:pt idx="19">
                  <c:v>19</c:v>
                </c:pt>
                <c:pt idx="20">
                  <c:v>46</c:v>
                </c:pt>
                <c:pt idx="21">
                  <c:v>35</c:v>
                </c:pt>
                <c:pt idx="22">
                  <c:v>39</c:v>
                </c:pt>
                <c:pt idx="23">
                  <c:v>33</c:v>
                </c:pt>
                <c:pt idx="24">
                  <c:v>28</c:v>
                </c:pt>
                <c:pt idx="25">
                  <c:v>26</c:v>
                </c:pt>
                <c:pt idx="26">
                  <c:v>47</c:v>
                </c:pt>
                <c:pt idx="27">
                  <c:v>46</c:v>
                </c:pt>
                <c:pt idx="28">
                  <c:v>12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2-4EA6-92AB-CE77D14F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52512"/>
        <c:axId val="887231296"/>
      </c:areaChart>
      <c:dateAx>
        <c:axId val="88725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31296"/>
        <c:crosses val="autoZero"/>
        <c:auto val="1"/>
        <c:lblOffset val="100"/>
        <c:baseTimeUnit val="days"/>
        <c:majorUnit val="7"/>
        <c:majorTimeUnit val="days"/>
      </c:dateAx>
      <c:valAx>
        <c:axId val="8872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872525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222060</xdr:colOff>
      <xdr:row>0</xdr:row>
      <xdr:rowOff>134138</xdr:rowOff>
    </xdr:from>
    <xdr:to>
      <xdr:col>5</xdr:col>
      <xdr:colOff>370860</xdr:colOff>
      <xdr:row>23</xdr:row>
      <xdr:rowOff>168615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1BBCFC7-8BD5-88AE-FBC0-D668220B18B1}"/>
            </a:ext>
          </a:extLst>
        </xdr:cNvPr>
        <xdr:cNvGrpSpPr/>
      </xdr:nvGrpSpPr>
      <xdr:grpSpPr>
        <a:xfrm>
          <a:off x="222060" y="134138"/>
          <a:ext cx="3196800" cy="3790689"/>
          <a:chOff x="168906" y="138830"/>
          <a:chExt cx="3196800" cy="376284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37181228-AEA9-58CB-B32A-65DA73550772}"/>
              </a:ext>
            </a:extLst>
          </xdr:cNvPr>
          <xdr:cNvSpPr/>
        </xdr:nvSpPr>
        <xdr:spPr>
          <a:xfrm>
            <a:off x="168906" y="377387"/>
            <a:ext cx="3196800" cy="3524283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EDA68267-B607-A40E-C6B4-725C1DE1A6E9}"/>
              </a:ext>
            </a:extLst>
          </xdr:cNvPr>
          <xdr:cNvGrpSpPr/>
        </xdr:nvGrpSpPr>
        <xdr:grpSpPr>
          <a:xfrm>
            <a:off x="316230" y="457201"/>
            <a:ext cx="2873659" cy="338554"/>
            <a:chOff x="316230" y="457201"/>
            <a:chExt cx="2873659" cy="338554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B255DD19-3386-338B-5B4D-E27376C58971}"/>
                </a:ext>
              </a:extLst>
            </xdr:cNvPr>
            <xdr:cNvGrpSpPr/>
          </xdr:nvGrpSpPr>
          <xdr:grpSpPr>
            <a:xfrm>
              <a:off x="316230" y="474932"/>
              <a:ext cx="2873659" cy="303092"/>
              <a:chOff x="316230" y="479469"/>
              <a:chExt cx="2873659" cy="303092"/>
            </a:xfrm>
          </xdr:grpSpPr>
          <xdr:sp macro="" textlink="">
            <xdr:nvSpPr>
              <xdr:cNvPr id="3" name="Rectangle: Top Corners Rounded 2">
                <a:extLst>
                  <a:ext uri="{FF2B5EF4-FFF2-40B4-BE49-F238E27FC236}">
                    <a16:creationId xmlns:a16="http://schemas.microsoft.com/office/drawing/2014/main" id="{D2366BF1-A10A-E5FE-9A38-EC0D00D1EFE7}"/>
                  </a:ext>
                </a:extLst>
              </xdr:cNvPr>
              <xdr:cNvSpPr/>
            </xdr:nvSpPr>
            <xdr:spPr>
              <a:xfrm rot="16200000">
                <a:off x="227549" y="568150"/>
                <a:ext cx="303092" cy="125730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DDC8B402-C80E-F04D-43DC-79055483A5C4}"/>
                  </a:ext>
                </a:extLst>
              </xdr:cNvPr>
              <xdr:cNvSpPr/>
            </xdr:nvSpPr>
            <xdr:spPr>
              <a:xfrm>
                <a:off x="448528" y="479815"/>
                <a:ext cx="2741361" cy="302400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D3B43AB-4357-1D94-C468-075B0C2899A0}"/>
                </a:ext>
              </a:extLst>
            </xdr:cNvPr>
            <xdr:cNvSpPr txBox="1"/>
          </xdr:nvSpPr>
          <xdr:spPr>
            <a:xfrm>
              <a:off x="972206" y="457201"/>
              <a:ext cx="1536639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sr-Latn-RS" sz="1600" b="1">
                  <a:solidFill>
                    <a:srgbClr val="002340"/>
                  </a:solidFill>
                  <a:latin typeface="Bahnschrift" panose="020B0502040204020203" pitchFamily="34" charset="0"/>
                </a:rPr>
                <a:t>SUBSCRIBERS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17D18DC-DDA7-F004-D422-0FCFDC044524}"/>
              </a:ext>
            </a:extLst>
          </xdr:cNvPr>
          <xdr:cNvGrpSpPr/>
        </xdr:nvGrpSpPr>
        <xdr:grpSpPr>
          <a:xfrm>
            <a:off x="169733" y="138830"/>
            <a:ext cx="3195146" cy="252907"/>
            <a:chOff x="157655" y="1100439"/>
            <a:chExt cx="3195146" cy="254013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1D9DEAEC-6410-6CD3-F84C-F54910311A44}"/>
                </a:ext>
              </a:extLst>
            </xdr:cNvPr>
            <xdr:cNvGrpSpPr/>
          </xdr:nvGrpSpPr>
          <xdr:grpSpPr>
            <a:xfrm>
              <a:off x="157655" y="1100439"/>
              <a:ext cx="3195146" cy="254013"/>
              <a:chOff x="157655" y="1097673"/>
              <a:chExt cx="3195146" cy="252907"/>
            </a:xfrm>
          </xdr:grpSpPr>
          <xdr:sp macro="" textlink="">
            <xdr:nvSpPr>
              <xdr:cNvPr id="8" name="Rectangle: Top Corners Rounded 7">
                <a:extLst>
                  <a:ext uri="{FF2B5EF4-FFF2-40B4-BE49-F238E27FC236}">
                    <a16:creationId xmlns:a16="http://schemas.microsoft.com/office/drawing/2014/main" id="{469ACE51-09AC-44CC-9B4D-B1B055E2BA08}"/>
                  </a:ext>
                </a:extLst>
              </xdr:cNvPr>
              <xdr:cNvSpPr/>
            </xdr:nvSpPr>
            <xdr:spPr>
              <a:xfrm>
                <a:off x="157655" y="1097673"/>
                <a:ext cx="3195146" cy="252907"/>
              </a:xfrm>
              <a:prstGeom prst="round2Same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BCD7EEA4-1F12-4A90-A3C5-4C7411BF49CC}"/>
                  </a:ext>
                </a:extLst>
              </xdr:cNvPr>
              <xdr:cNvSpPr txBox="1"/>
            </xdr:nvSpPr>
            <xdr:spPr>
              <a:xfrm>
                <a:off x="252248" y="1119351"/>
                <a:ext cx="1536639" cy="2124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l"/>
                <a:r>
                  <a:rPr lang="sr-Latn-RS" sz="10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Email</a:t>
                </a:r>
                <a:r>
                  <a:rPr lang="sr-Latn-RS" sz="1000" b="0" baseline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 Marketing</a:t>
                </a:r>
                <a:endParaRPr lang="en-GB" sz="1000" b="0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DB178393-5C11-8E29-A88E-872EF846CEC3}"/>
                </a:ext>
              </a:extLst>
            </xdr:cNvPr>
            <xdr:cNvGrpSpPr/>
          </xdr:nvGrpSpPr>
          <xdr:grpSpPr>
            <a:xfrm>
              <a:off x="2469931" y="1118660"/>
              <a:ext cx="846083" cy="212982"/>
              <a:chOff x="2469931" y="1119352"/>
              <a:chExt cx="846083" cy="212429"/>
            </a:xfrm>
          </xdr:grpSpPr>
          <xdr:sp macro="" textlink="">
            <xdr:nvSpPr>
              <xdr:cNvPr id="11" name="Rectangle: Rounded Corners 10">
                <a:extLst>
                  <a:ext uri="{FF2B5EF4-FFF2-40B4-BE49-F238E27FC236}">
                    <a16:creationId xmlns:a16="http://schemas.microsoft.com/office/drawing/2014/main" id="{8188890A-3904-4B5B-B48C-8A92B2CDC5BF}"/>
                  </a:ext>
                </a:extLst>
              </xdr:cNvPr>
              <xdr:cNvSpPr/>
            </xdr:nvSpPr>
            <xdr:spPr>
              <a:xfrm>
                <a:off x="2469931" y="1120463"/>
                <a:ext cx="846083" cy="210207"/>
              </a:xfrm>
              <a:prstGeom prst="roundRect">
                <a:avLst/>
              </a:prstGeom>
              <a:solidFill>
                <a:srgbClr val="00234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B16F767F-2081-49B4-AF47-B014AA738239}"/>
                  </a:ext>
                </a:extLst>
              </xdr:cNvPr>
              <xdr:cNvSpPr txBox="1"/>
            </xdr:nvSpPr>
            <xdr:spPr>
              <a:xfrm>
                <a:off x="2561897" y="1119352"/>
                <a:ext cx="662151" cy="2124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ctr"/>
                <a:r>
                  <a:rPr lang="sr-Latn-RS" sz="1000" b="0">
                    <a:solidFill>
                      <a:srgbClr val="B4FF00"/>
                    </a:solidFill>
                    <a:latin typeface="Bahnschrift" panose="020B0502040204020203" pitchFamily="34" charset="0"/>
                  </a:rPr>
                  <a:t>Results</a:t>
                </a:r>
                <a:endParaRPr lang="en-GB" sz="1000" b="0">
                  <a:solidFill>
                    <a:srgbClr val="B4FF00"/>
                  </a:solidFill>
                  <a:latin typeface="Bahnschrift" panose="020B0502040204020203" pitchFamily="34" charset="0"/>
                </a:endParaRPr>
              </a:p>
            </xdr:txBody>
          </xdr:sp>
        </xdr:grpSp>
      </xdr:grpSp>
      <xdr:sp macro="" textlink="Calc!B2">
        <xdr:nvSpPr>
          <xdr:cNvPr id="15" name="TextBox 14">
            <a:extLst>
              <a:ext uri="{FF2B5EF4-FFF2-40B4-BE49-F238E27FC236}">
                <a16:creationId xmlns:a16="http://schemas.microsoft.com/office/drawing/2014/main" id="{4CE4CF79-0757-423F-8B2E-4CDBD4225D57}"/>
              </a:ext>
            </a:extLst>
          </xdr:cNvPr>
          <xdr:cNvSpPr txBox="1"/>
        </xdr:nvSpPr>
        <xdr:spPr>
          <a:xfrm>
            <a:off x="979714" y="831517"/>
            <a:ext cx="1536639" cy="407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fld id="{090C9E42-7A0A-4D7F-9838-9386FD24C6E7}" type="TxLink">
              <a:rPr lang="en-US" sz="2800" b="0" i="0" u="none" strike="noStrike">
                <a:solidFill>
                  <a:srgbClr val="002340"/>
                </a:solidFill>
                <a:latin typeface="Bahnschrift"/>
              </a:rPr>
              <a:t>6,537</a:t>
            </a:fld>
            <a:endParaRPr lang="en-GB" sz="40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23701ACD-F1D1-54ED-E952-1E3060F68593}"/>
              </a:ext>
            </a:extLst>
          </xdr:cNvPr>
          <xdr:cNvGrpSpPr/>
        </xdr:nvGrpSpPr>
        <xdr:grpSpPr>
          <a:xfrm>
            <a:off x="686904" y="1283640"/>
            <a:ext cx="735873" cy="263521"/>
            <a:chOff x="725814" y="1269552"/>
            <a:chExt cx="735873" cy="259154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49EC715-ED1B-467A-A969-1C5E5B19867E}"/>
                </a:ext>
              </a:extLst>
            </xdr:cNvPr>
            <xdr:cNvSpPr txBox="1"/>
          </xdr:nvSpPr>
          <xdr:spPr>
            <a:xfrm>
              <a:off x="725814" y="1269552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YESTERDAY: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C5">
          <xdr:nvSpPr>
            <xdr:cNvPr id="17" name="TextBox 16">
              <a:extLst>
                <a:ext uri="{FF2B5EF4-FFF2-40B4-BE49-F238E27FC236}">
                  <a16:creationId xmlns:a16="http://schemas.microsoft.com/office/drawing/2014/main" id="{9843E81E-4CC3-4EEC-9DE9-FC1FFE4AB03D}"/>
                </a:ext>
              </a:extLst>
            </xdr:cNvPr>
            <xdr:cNvSpPr txBox="1"/>
          </xdr:nvSpPr>
          <xdr:spPr>
            <a:xfrm>
              <a:off x="1034969" y="1390665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DE3B2F14-2EC6-48DE-90DA-D363B0A84D15}" type="TxLink">
                <a:rPr lang="en-US" sz="900" b="1">
                  <a:solidFill>
                    <a:srgbClr val="B4FF00"/>
                  </a:solidFill>
                  <a:latin typeface="Bahnschrift" panose="020B0502040204020203" pitchFamily="34" charset="0"/>
                  <a:ea typeface="+mn-ea"/>
                  <a:cs typeface="+mn-cs"/>
                </a:rPr>
                <a:pPr marL="0" indent="0" algn="l"/>
                <a:t>-3</a:t>
              </a:fld>
              <a:endParaRPr lang="en-GB" sz="900" b="1">
                <a:solidFill>
                  <a:srgbClr val="B4FF00"/>
                </a:solidFill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</xdr:grp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13A39908-D35A-4472-A2D5-58C14FF9A743}"/>
              </a:ext>
            </a:extLst>
          </xdr:cNvPr>
          <xdr:cNvGrpSpPr/>
        </xdr:nvGrpSpPr>
        <xdr:grpSpPr>
          <a:xfrm>
            <a:off x="1950071" y="1283644"/>
            <a:ext cx="735873" cy="263518"/>
            <a:chOff x="640080" y="1269552"/>
            <a:chExt cx="735873" cy="259150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637D11B-A566-011D-2FF4-7A8F7C2572E9}"/>
                </a:ext>
              </a:extLst>
            </xdr:cNvPr>
            <xdr:cNvSpPr txBox="1"/>
          </xdr:nvSpPr>
          <xdr:spPr>
            <a:xfrm>
              <a:off x="640080" y="1269552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LAST WEEK: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C8">
          <xdr:nvSpPr>
            <xdr:cNvPr id="21" name="TextBox 20">
              <a:extLst>
                <a:ext uri="{FF2B5EF4-FFF2-40B4-BE49-F238E27FC236}">
                  <a16:creationId xmlns:a16="http://schemas.microsoft.com/office/drawing/2014/main" id="{70CD04E6-F96B-13EF-2215-79E9E5683919}"/>
                </a:ext>
              </a:extLst>
            </xdr:cNvPr>
            <xdr:cNvSpPr txBox="1"/>
          </xdr:nvSpPr>
          <xdr:spPr>
            <a:xfrm>
              <a:off x="953590" y="1390661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2A556786-20FE-467C-A601-483FBB2BAD3E}" type="TxLink">
                <a:rPr lang="en-US" sz="900" b="1" i="0" u="none" strike="noStrike">
                  <a:solidFill>
                    <a:srgbClr val="B4FF00"/>
                  </a:solidFill>
                  <a:latin typeface="Bahnschrift"/>
                  <a:ea typeface="+mn-ea"/>
                  <a:cs typeface="+mn-cs"/>
                </a:rPr>
                <a:t>+27</a:t>
              </a:fld>
              <a:endParaRPr lang="en-US" sz="900" b="1">
                <a:solidFill>
                  <a:srgbClr val="B4FF00"/>
                </a:solidFill>
                <a:ea typeface="+mn-ea"/>
                <a:cs typeface="+mn-cs"/>
              </a:endParaRPr>
            </a:p>
          </xdr:txBody>
        </xdr:sp>
      </xdr:grpSp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7203ADC1-E4EC-432A-B1A0-C83E4C4695C2}"/>
              </a:ext>
            </a:extLst>
          </xdr:cNvPr>
          <xdr:cNvGraphicFramePr>
            <a:graphicFrameLocks/>
          </xdr:cNvGraphicFramePr>
        </xdr:nvGraphicFramePr>
        <xdr:xfrm>
          <a:off x="238125" y="1585747"/>
          <a:ext cx="3014664" cy="22756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603614</xdr:colOff>
      <xdr:row>0</xdr:row>
      <xdr:rowOff>134138</xdr:rowOff>
    </xdr:from>
    <xdr:to>
      <xdr:col>14</xdr:col>
      <xdr:colOff>4763</xdr:colOff>
      <xdr:row>2</xdr:row>
      <xdr:rowOff>16824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A4BBD8E-927B-7CDC-BEA4-7D272E424C7C}"/>
            </a:ext>
          </a:extLst>
        </xdr:cNvPr>
        <xdr:cNvGrpSpPr/>
      </xdr:nvGrpSpPr>
      <xdr:grpSpPr>
        <a:xfrm>
          <a:off x="3651614" y="134138"/>
          <a:ext cx="6321902" cy="241274"/>
          <a:chOff x="157655" y="1100439"/>
          <a:chExt cx="3195146" cy="254013"/>
        </a:xfrm>
      </xdr:grpSpPr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489E0996-0291-4DF5-ABBC-35450F2405EA}"/>
              </a:ext>
            </a:extLst>
          </xdr:cNvPr>
          <xdr:cNvGrpSpPr/>
        </xdr:nvGrpSpPr>
        <xdr:grpSpPr>
          <a:xfrm>
            <a:off x="157655" y="1100439"/>
            <a:ext cx="3195146" cy="254013"/>
            <a:chOff x="157655" y="1097673"/>
            <a:chExt cx="3195146" cy="252907"/>
          </a:xfrm>
        </xdr:grpSpPr>
        <xdr:sp macro="" textlink="">
          <xdr:nvSpPr>
            <xdr:cNvPr id="41" name="Rectangle: Top Corners Rounded 40">
              <a:extLst>
                <a:ext uri="{FF2B5EF4-FFF2-40B4-BE49-F238E27FC236}">
                  <a16:creationId xmlns:a16="http://schemas.microsoft.com/office/drawing/2014/main" id="{7B8AA0A7-B1EF-3FCE-34A9-5947D861CC2C}"/>
                </a:ext>
              </a:extLst>
            </xdr:cNvPr>
            <xdr:cNvSpPr/>
          </xdr:nvSpPr>
          <xdr:spPr>
            <a:xfrm>
              <a:off x="157655" y="1097673"/>
              <a:ext cx="3195146" cy="252907"/>
            </a:xfrm>
            <a:prstGeom prst="round2SameRect">
              <a:avLst/>
            </a:prstGeom>
            <a:solidFill>
              <a:srgbClr val="B4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92886B0-974D-CD1A-5921-FF20CDB2AAC1}"/>
                </a:ext>
              </a:extLst>
            </xdr:cNvPr>
            <xdr:cNvSpPr txBox="1"/>
          </xdr:nvSpPr>
          <xdr:spPr>
            <a:xfrm>
              <a:off x="252248" y="1119351"/>
              <a:ext cx="1536639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l"/>
              <a:r>
                <a:rPr lang="sr-Latn-RS" sz="1000" b="0">
                  <a:solidFill>
                    <a:srgbClr val="002340"/>
                  </a:solidFill>
                  <a:latin typeface="Bahnschrift" panose="020B0502040204020203" pitchFamily="34" charset="0"/>
                </a:rPr>
                <a:t>Email</a:t>
              </a:r>
              <a:r>
                <a:rPr lang="sr-Latn-RS" sz="10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Marketing</a:t>
              </a:r>
              <a:endParaRPr lang="en-GB" sz="10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C6D1B746-A99E-D65F-4051-64E415C6FF00}"/>
              </a:ext>
            </a:extLst>
          </xdr:cNvPr>
          <xdr:cNvGrpSpPr/>
        </xdr:nvGrpSpPr>
        <xdr:grpSpPr>
          <a:xfrm>
            <a:off x="2469931" y="1118660"/>
            <a:ext cx="846083" cy="212982"/>
            <a:chOff x="2469931" y="1119352"/>
            <a:chExt cx="846083" cy="212429"/>
          </a:xfrm>
        </xdr:grpSpPr>
        <xdr:sp macro="" textlink="">
          <xdr:nvSpPr>
            <xdr:cNvPr id="39" name="Rectangle: Rounded Corners 38">
              <a:extLst>
                <a:ext uri="{FF2B5EF4-FFF2-40B4-BE49-F238E27FC236}">
                  <a16:creationId xmlns:a16="http://schemas.microsoft.com/office/drawing/2014/main" id="{3C05205B-75AB-B6D9-230E-F95CB12A0E79}"/>
                </a:ext>
              </a:extLst>
            </xdr:cNvPr>
            <xdr:cNvSpPr/>
          </xdr:nvSpPr>
          <xdr:spPr>
            <a:xfrm>
              <a:off x="2469931" y="1120463"/>
              <a:ext cx="846083" cy="210207"/>
            </a:xfrm>
            <a:prstGeom prst="roundRect">
              <a:avLst/>
            </a:prstGeom>
            <a:solidFill>
              <a:srgbClr val="00234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A153D10E-8FDA-6559-2DB9-4AE949E253C7}"/>
                </a:ext>
              </a:extLst>
            </xdr:cNvPr>
            <xdr:cNvSpPr txBox="1"/>
          </xdr:nvSpPr>
          <xdr:spPr>
            <a:xfrm>
              <a:off x="2561897" y="1119352"/>
              <a:ext cx="662151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lang="sr-Latn-RS" sz="1000" b="0">
                  <a:solidFill>
                    <a:srgbClr val="B4FF00"/>
                  </a:solidFill>
                  <a:latin typeface="Bahnschrift" panose="020B0502040204020203" pitchFamily="34" charset="0"/>
                </a:rPr>
                <a:t>Recent</a:t>
              </a:r>
              <a:r>
                <a:rPr lang="sr-Latn-RS" sz="1000" b="0" baseline="0">
                  <a:solidFill>
                    <a:srgbClr val="B4FF00"/>
                  </a:solidFill>
                  <a:latin typeface="Bahnschrift" panose="020B0502040204020203" pitchFamily="34" charset="0"/>
                </a:rPr>
                <a:t> Campaigns</a:t>
              </a:r>
              <a:endParaRPr lang="en-GB" sz="1000" b="0">
                <a:solidFill>
                  <a:srgbClr val="B4FF00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0</xdr:col>
      <xdr:colOff>222060</xdr:colOff>
      <xdr:row>25</xdr:row>
      <xdr:rowOff>47051</xdr:rowOff>
    </xdr:from>
    <xdr:to>
      <xdr:col>5</xdr:col>
      <xdr:colOff>370860</xdr:colOff>
      <xdr:row>26</xdr:row>
      <xdr:rowOff>152400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EDDED09C-2B71-45C1-936E-ECF4F227C6E0}"/>
            </a:ext>
          </a:extLst>
        </xdr:cNvPr>
        <xdr:cNvGrpSpPr/>
      </xdr:nvGrpSpPr>
      <xdr:grpSpPr>
        <a:xfrm>
          <a:off x="222060" y="4161851"/>
          <a:ext cx="3196800" cy="3207137"/>
          <a:chOff x="168906" y="138829"/>
          <a:chExt cx="3196800" cy="3762841"/>
        </a:xfrm>
      </xdr:grpSpPr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06EC2E4E-47F9-24C2-12F4-092FACE07539}"/>
              </a:ext>
            </a:extLst>
          </xdr:cNvPr>
          <xdr:cNvSpPr/>
        </xdr:nvSpPr>
        <xdr:spPr>
          <a:xfrm>
            <a:off x="168906" y="377387"/>
            <a:ext cx="3196800" cy="3524283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A91EECAB-57EE-FF79-C1EF-F238577F77E3}"/>
              </a:ext>
            </a:extLst>
          </xdr:cNvPr>
          <xdr:cNvGrpSpPr/>
        </xdr:nvGrpSpPr>
        <xdr:grpSpPr>
          <a:xfrm>
            <a:off x="316231" y="531066"/>
            <a:ext cx="2873658" cy="397216"/>
            <a:chOff x="316231" y="531066"/>
            <a:chExt cx="2873658" cy="397216"/>
          </a:xfrm>
        </xdr:grpSpPr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03B83F38-56F1-FFA1-4D2C-220D1CF62D17}"/>
                </a:ext>
              </a:extLst>
            </xdr:cNvPr>
            <xdr:cNvGrpSpPr/>
          </xdr:nvGrpSpPr>
          <xdr:grpSpPr>
            <a:xfrm>
              <a:off x="316231" y="578126"/>
              <a:ext cx="2873658" cy="303093"/>
              <a:chOff x="316231" y="582663"/>
              <a:chExt cx="2873658" cy="303093"/>
            </a:xfrm>
          </xdr:grpSpPr>
          <xdr:sp macro="" textlink="">
            <xdr:nvSpPr>
              <xdr:cNvPr id="67" name="Rectangle: Top Corners Rounded 66">
                <a:extLst>
                  <a:ext uri="{FF2B5EF4-FFF2-40B4-BE49-F238E27FC236}">
                    <a16:creationId xmlns:a16="http://schemas.microsoft.com/office/drawing/2014/main" id="{20F4845A-A600-23A3-5E40-E397FA7FE4C5}"/>
                  </a:ext>
                </a:extLst>
              </xdr:cNvPr>
              <xdr:cNvSpPr/>
            </xdr:nvSpPr>
            <xdr:spPr>
              <a:xfrm rot="16200000">
                <a:off x="227549" y="671345"/>
                <a:ext cx="303093" cy="125730"/>
              </a:xfrm>
              <a:prstGeom prst="round2SameRect">
                <a:avLst/>
              </a:prstGeom>
              <a:solidFill>
                <a:srgbClr val="00234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57F837F8-277E-8103-4C72-E9FFE35CCE72}"/>
                  </a:ext>
                </a:extLst>
              </xdr:cNvPr>
              <xdr:cNvSpPr/>
            </xdr:nvSpPr>
            <xdr:spPr>
              <a:xfrm>
                <a:off x="448528" y="583011"/>
                <a:ext cx="2741361" cy="302401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EB3BFBE-1FC5-6BBF-1BC2-CBD9E7D9CFC4}"/>
                </a:ext>
              </a:extLst>
            </xdr:cNvPr>
            <xdr:cNvSpPr txBox="1"/>
          </xdr:nvSpPr>
          <xdr:spPr>
            <a:xfrm>
              <a:off x="1167903" y="531066"/>
              <a:ext cx="1145250" cy="39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sr-Latn-RS" sz="1600" b="1">
                  <a:solidFill>
                    <a:srgbClr val="002340"/>
                  </a:solidFill>
                  <a:latin typeface="Bahnschrift" panose="020B0502040204020203" pitchFamily="34" charset="0"/>
                </a:rPr>
                <a:t>SESSIONS</a:t>
              </a:r>
              <a:endParaRPr lang="en-GB" sz="1600" b="1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8F74EA12-2D39-7CFB-5FC0-5D8734F7027F}"/>
              </a:ext>
            </a:extLst>
          </xdr:cNvPr>
          <xdr:cNvGrpSpPr/>
        </xdr:nvGrpSpPr>
        <xdr:grpSpPr>
          <a:xfrm>
            <a:off x="169733" y="138829"/>
            <a:ext cx="3195146" cy="295706"/>
            <a:chOff x="157655" y="1100437"/>
            <a:chExt cx="3195146" cy="296999"/>
          </a:xfrm>
        </xdr:grpSpPr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414E0ACB-37DA-0704-7D01-74A2A8895C89}"/>
                </a:ext>
              </a:extLst>
            </xdr:cNvPr>
            <xdr:cNvGrpSpPr/>
          </xdr:nvGrpSpPr>
          <xdr:grpSpPr>
            <a:xfrm>
              <a:off x="157655" y="1100437"/>
              <a:ext cx="3195146" cy="296999"/>
              <a:chOff x="157655" y="1097672"/>
              <a:chExt cx="3195146" cy="295706"/>
            </a:xfrm>
          </xdr:grpSpPr>
          <xdr:sp macro="" textlink="">
            <xdr:nvSpPr>
              <xdr:cNvPr id="63" name="Rectangle: Top Corners Rounded 62">
                <a:extLst>
                  <a:ext uri="{FF2B5EF4-FFF2-40B4-BE49-F238E27FC236}">
                    <a16:creationId xmlns:a16="http://schemas.microsoft.com/office/drawing/2014/main" id="{1EA3F385-EC8A-240E-400F-EE20F286E7CE}"/>
                  </a:ext>
                </a:extLst>
              </xdr:cNvPr>
              <xdr:cNvSpPr/>
            </xdr:nvSpPr>
            <xdr:spPr>
              <a:xfrm>
                <a:off x="157655" y="1097672"/>
                <a:ext cx="3195146" cy="295706"/>
              </a:xfrm>
              <a:prstGeom prst="round2SameRect">
                <a:avLst/>
              </a:prstGeom>
              <a:solidFill>
                <a:srgbClr val="00234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4" name="TextBox 63">
                <a:extLst>
                  <a:ext uri="{FF2B5EF4-FFF2-40B4-BE49-F238E27FC236}">
                    <a16:creationId xmlns:a16="http://schemas.microsoft.com/office/drawing/2014/main" id="{CCA857CC-A45B-97CC-418C-4F4AF876C1AC}"/>
                  </a:ext>
                </a:extLst>
              </xdr:cNvPr>
              <xdr:cNvSpPr txBox="1"/>
            </xdr:nvSpPr>
            <xdr:spPr>
              <a:xfrm>
                <a:off x="252248" y="1119351"/>
                <a:ext cx="1536639" cy="27183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l"/>
                <a:r>
                  <a:rPr lang="sr-Latn-RS" sz="1000" b="0">
                    <a:solidFill>
                      <a:srgbClr val="B4FF00"/>
                    </a:solidFill>
                    <a:latin typeface="Bahnschrift" panose="020B0502040204020203" pitchFamily="34" charset="0"/>
                  </a:rPr>
                  <a:t>Google Analytics</a:t>
                </a:r>
                <a:endParaRPr lang="en-GB" sz="1000" b="0">
                  <a:solidFill>
                    <a:srgbClr val="B4FF00"/>
                  </a:solidFill>
                  <a:latin typeface="Bahnschrift" panose="020B0502040204020203" pitchFamily="34" charset="0"/>
                </a:endParaRPr>
              </a:p>
            </xdr:txBody>
          </xdr:sp>
        </xdr:grpSp>
        <xdr:grpSp>
          <xdr:nvGrpSpPr>
            <xdr:cNvPr id="60" name="Group 59">
              <a:extLst>
                <a:ext uri="{FF2B5EF4-FFF2-40B4-BE49-F238E27FC236}">
                  <a16:creationId xmlns:a16="http://schemas.microsoft.com/office/drawing/2014/main" id="{22BFB92A-9EA3-8A63-FC34-C644807C57B4}"/>
                </a:ext>
              </a:extLst>
            </xdr:cNvPr>
            <xdr:cNvGrpSpPr/>
          </xdr:nvGrpSpPr>
          <xdr:grpSpPr>
            <a:xfrm>
              <a:off x="1863581" y="1125967"/>
              <a:ext cx="1431413" cy="247342"/>
              <a:chOff x="1863581" y="1126641"/>
              <a:chExt cx="1431413" cy="246700"/>
            </a:xfrm>
          </xdr:grpSpPr>
          <xdr:sp macro="" textlink="">
            <xdr:nvSpPr>
              <xdr:cNvPr id="61" name="Rectangle: Rounded Corners 60">
                <a:extLst>
                  <a:ext uri="{FF2B5EF4-FFF2-40B4-BE49-F238E27FC236}">
                    <a16:creationId xmlns:a16="http://schemas.microsoft.com/office/drawing/2014/main" id="{2F7C388F-3845-5A8F-D81F-14DD95F8B719}"/>
                  </a:ext>
                </a:extLst>
              </xdr:cNvPr>
              <xdr:cNvSpPr/>
            </xdr:nvSpPr>
            <xdr:spPr>
              <a:xfrm>
                <a:off x="1863581" y="1126641"/>
                <a:ext cx="1431413" cy="246700"/>
              </a:xfrm>
              <a:prstGeom prst="roundRect">
                <a:avLst/>
              </a:prstGeom>
              <a:solidFill>
                <a:srgbClr val="B4F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575FC7F0-C23C-0608-56C9-5357BE03A1B8}"/>
                  </a:ext>
                </a:extLst>
              </xdr:cNvPr>
              <xdr:cNvSpPr txBox="1"/>
            </xdr:nvSpPr>
            <xdr:spPr>
              <a:xfrm>
                <a:off x="1944542" y="1138467"/>
                <a:ext cx="1300162" cy="2124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algn="ctr"/>
                <a:r>
                  <a:rPr lang="sr-Latn-RS" sz="1000" b="0">
                    <a:solidFill>
                      <a:srgbClr val="002340"/>
                    </a:solidFill>
                    <a:latin typeface="Bahnschrift" panose="020B0502040204020203" pitchFamily="34" charset="0"/>
                  </a:rPr>
                  <a:t>Sessions Last 30 days</a:t>
                </a:r>
                <a:endParaRPr lang="en-GB" sz="1000" b="0">
                  <a:solidFill>
                    <a:srgbClr val="002340"/>
                  </a:solidFill>
                  <a:latin typeface="Bahnschrift" panose="020B0502040204020203" pitchFamily="34" charset="0"/>
                </a:endParaRPr>
              </a:p>
            </xdr:txBody>
          </xdr:sp>
        </xdr:grpSp>
      </xdr:grpSp>
      <xdr:sp macro="" textlink="Calc!F2">
        <xdr:nvSpPr>
          <xdr:cNvPr id="51" name="TextBox 50">
            <a:extLst>
              <a:ext uri="{FF2B5EF4-FFF2-40B4-BE49-F238E27FC236}">
                <a16:creationId xmlns:a16="http://schemas.microsoft.com/office/drawing/2014/main" id="{85AFECE3-093F-C546-3BFB-A9CEA326DB1F}"/>
              </a:ext>
            </a:extLst>
          </xdr:cNvPr>
          <xdr:cNvSpPr txBox="1"/>
        </xdr:nvSpPr>
        <xdr:spPr>
          <a:xfrm>
            <a:off x="979714" y="934711"/>
            <a:ext cx="1536639" cy="4070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fld id="{5CCDB5A9-E702-4D46-A345-36ECEC21C991}" type="TxLink">
              <a:rPr lang="en-US" sz="2800" b="0" i="0" u="none" strike="noStrike">
                <a:solidFill>
                  <a:srgbClr val="002340"/>
                </a:solidFill>
                <a:latin typeface="Bahnschrift"/>
              </a:rPr>
              <a:t>12,158</a:t>
            </a:fld>
            <a:endParaRPr lang="en-GB" sz="80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2F06EF2F-E5A1-F0E9-34C9-AB865835B21C}"/>
              </a:ext>
            </a:extLst>
          </xdr:cNvPr>
          <xdr:cNvGrpSpPr/>
        </xdr:nvGrpSpPr>
        <xdr:grpSpPr>
          <a:xfrm>
            <a:off x="686904" y="1386836"/>
            <a:ext cx="735873" cy="263520"/>
            <a:chOff x="725814" y="1371038"/>
            <a:chExt cx="735873" cy="259153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1C2FBF35-020A-3A04-9F6D-1D80E0E489E5}"/>
                </a:ext>
              </a:extLst>
            </xdr:cNvPr>
            <xdr:cNvSpPr txBox="1"/>
          </xdr:nvSpPr>
          <xdr:spPr>
            <a:xfrm>
              <a:off x="725814" y="1371038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YESTERDAY: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G5">
          <xdr:nvSpPr>
            <xdr:cNvPr id="58" name="TextBox 57">
              <a:extLst>
                <a:ext uri="{FF2B5EF4-FFF2-40B4-BE49-F238E27FC236}">
                  <a16:creationId xmlns:a16="http://schemas.microsoft.com/office/drawing/2014/main" id="{7AAD2CEC-5F49-B73C-147D-25CA04DF19F9}"/>
                </a:ext>
              </a:extLst>
            </xdr:cNvPr>
            <xdr:cNvSpPr txBox="1"/>
          </xdr:nvSpPr>
          <xdr:spPr>
            <a:xfrm>
              <a:off x="1034969" y="1492150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3B308268-FE0E-4EE2-9265-9C491E0C689C}" type="TxLink">
                <a:rPr lang="en-US" sz="900" b="1" i="0" u="none" strike="noStrike">
                  <a:solidFill>
                    <a:srgbClr val="B4FF00"/>
                  </a:solidFill>
                  <a:latin typeface="Bahnschrift"/>
                  <a:ea typeface="+mn-ea"/>
                  <a:cs typeface="+mn-cs"/>
                </a:rPr>
                <a:t>-20</a:t>
              </a:fld>
              <a:endParaRPr lang="en-GB" sz="400" b="1">
                <a:solidFill>
                  <a:srgbClr val="B4FF00"/>
                </a:solidFill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80A00E69-9777-290B-0CC6-49DD54E9EC76}"/>
              </a:ext>
            </a:extLst>
          </xdr:cNvPr>
          <xdr:cNvGrpSpPr/>
        </xdr:nvGrpSpPr>
        <xdr:grpSpPr>
          <a:xfrm>
            <a:off x="1950071" y="1386839"/>
            <a:ext cx="735873" cy="263518"/>
            <a:chOff x="640080" y="1371037"/>
            <a:chExt cx="735873" cy="259150"/>
          </a:xfrm>
        </xdr:grpSpPr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52B5E90-36CD-0080-9A2E-DE371D0A7F90}"/>
                </a:ext>
              </a:extLst>
            </xdr:cNvPr>
            <xdr:cNvSpPr txBox="1"/>
          </xdr:nvSpPr>
          <xdr:spPr>
            <a:xfrm>
              <a:off x="640080" y="1371037"/>
              <a:ext cx="735873" cy="139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r"/>
              <a:r>
                <a:rPr lang="sr-Latn-RS" sz="700" b="0">
                  <a:solidFill>
                    <a:srgbClr val="002340"/>
                  </a:solidFill>
                  <a:latin typeface="Bahnschrift" panose="020B0502040204020203" pitchFamily="34" charset="0"/>
                </a:rPr>
                <a:t>vs</a:t>
              </a:r>
              <a:r>
                <a:rPr lang="sr-Latn-RS" sz="7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LAST WEEK:</a:t>
              </a:r>
              <a:endParaRPr lang="en-GB" sz="7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  <xdr:sp macro="" textlink="Calc!G8">
          <xdr:nvSpPr>
            <xdr:cNvPr id="56" name="TextBox 55">
              <a:extLst>
                <a:ext uri="{FF2B5EF4-FFF2-40B4-BE49-F238E27FC236}">
                  <a16:creationId xmlns:a16="http://schemas.microsoft.com/office/drawing/2014/main" id="{B4C6DD9D-7984-BB6A-89BC-3D8858FFE62F}"/>
                </a:ext>
              </a:extLst>
            </xdr:cNvPr>
            <xdr:cNvSpPr txBox="1"/>
          </xdr:nvSpPr>
          <xdr:spPr>
            <a:xfrm>
              <a:off x="953590" y="1492146"/>
              <a:ext cx="274320" cy="138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marL="0" indent="0" algn="l"/>
              <a:fld id="{240C685F-34C6-4759-A812-7065A4480CB8}" type="TxLink">
                <a:rPr lang="en-US" sz="900" b="1" i="0" u="none" strike="noStrike">
                  <a:solidFill>
                    <a:srgbClr val="B4FF00"/>
                  </a:solidFill>
                  <a:latin typeface="Bahnschrift"/>
                  <a:ea typeface="+mn-ea"/>
                  <a:cs typeface="+mn-cs"/>
                </a:rPr>
                <a:t>+28</a:t>
              </a:fld>
              <a:endParaRPr lang="en-US" sz="400" b="1">
                <a:solidFill>
                  <a:srgbClr val="B4FF00"/>
                </a:solidFill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0</xdr:col>
      <xdr:colOff>322387</xdr:colOff>
      <xdr:row>25</xdr:row>
      <xdr:rowOff>1354018</xdr:rowOff>
    </xdr:from>
    <xdr:to>
      <xdr:col>5</xdr:col>
      <xdr:colOff>281356</xdr:colOff>
      <xdr:row>26</xdr:row>
      <xdr:rowOff>82065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F9FF808-DEF9-44DB-86F5-D65F58651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598192</xdr:colOff>
      <xdr:row>25</xdr:row>
      <xdr:rowOff>51010</xdr:rowOff>
    </xdr:from>
    <xdr:to>
      <xdr:col>14</xdr:col>
      <xdr:colOff>4763</xdr:colOff>
      <xdr:row>25</xdr:row>
      <xdr:rowOff>293914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8787CE8B-CFD0-42EE-AB2D-DF5F7BB2E79A}"/>
            </a:ext>
          </a:extLst>
        </xdr:cNvPr>
        <xdr:cNvGrpSpPr/>
      </xdr:nvGrpSpPr>
      <xdr:grpSpPr>
        <a:xfrm>
          <a:off x="3646192" y="4165810"/>
          <a:ext cx="6327324" cy="242904"/>
          <a:chOff x="157655" y="1100439"/>
          <a:chExt cx="3195146" cy="254013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43059365-94FF-73E5-37D5-42BC90E2E78F}"/>
              </a:ext>
            </a:extLst>
          </xdr:cNvPr>
          <xdr:cNvGrpSpPr/>
        </xdr:nvGrpSpPr>
        <xdr:grpSpPr>
          <a:xfrm>
            <a:off x="157655" y="1100439"/>
            <a:ext cx="3195146" cy="254013"/>
            <a:chOff x="157655" y="1097673"/>
            <a:chExt cx="3195146" cy="252907"/>
          </a:xfrm>
        </xdr:grpSpPr>
        <xdr:sp macro="" textlink="">
          <xdr:nvSpPr>
            <xdr:cNvPr id="75" name="Rectangle: Top Corners Rounded 74">
              <a:extLst>
                <a:ext uri="{FF2B5EF4-FFF2-40B4-BE49-F238E27FC236}">
                  <a16:creationId xmlns:a16="http://schemas.microsoft.com/office/drawing/2014/main" id="{1B888D91-028E-6701-2AB5-22CAE020CD19}"/>
                </a:ext>
              </a:extLst>
            </xdr:cNvPr>
            <xdr:cNvSpPr/>
          </xdr:nvSpPr>
          <xdr:spPr>
            <a:xfrm>
              <a:off x="157655" y="1097673"/>
              <a:ext cx="3195146" cy="252907"/>
            </a:xfrm>
            <a:prstGeom prst="round2SameRect">
              <a:avLst/>
            </a:prstGeom>
            <a:solidFill>
              <a:srgbClr val="00234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A06360E1-B2F5-C3C1-EFF8-BAC9B08D1DBC}"/>
                </a:ext>
              </a:extLst>
            </xdr:cNvPr>
            <xdr:cNvSpPr txBox="1"/>
          </xdr:nvSpPr>
          <xdr:spPr>
            <a:xfrm>
              <a:off x="252248" y="1119351"/>
              <a:ext cx="1536639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l"/>
              <a:r>
                <a:rPr lang="sr-Latn-RS" sz="1000" b="0">
                  <a:solidFill>
                    <a:srgbClr val="B4FF00"/>
                  </a:solidFill>
                  <a:latin typeface="Bahnschrift" panose="020B0502040204020203" pitchFamily="34" charset="0"/>
                </a:rPr>
                <a:t>Google Analytics</a:t>
              </a:r>
              <a:endParaRPr lang="en-GB" sz="1000" b="0">
                <a:solidFill>
                  <a:srgbClr val="B4FF00"/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65243DE4-96B2-33AE-67B2-AC6ECE7A07DD}"/>
              </a:ext>
            </a:extLst>
          </xdr:cNvPr>
          <xdr:cNvGrpSpPr/>
        </xdr:nvGrpSpPr>
        <xdr:grpSpPr>
          <a:xfrm>
            <a:off x="2392705" y="1118660"/>
            <a:ext cx="923309" cy="212982"/>
            <a:chOff x="2392705" y="1119352"/>
            <a:chExt cx="923309" cy="212429"/>
          </a:xfrm>
        </xdr:grpSpPr>
        <xdr:sp macro="" textlink="">
          <xdr:nvSpPr>
            <xdr:cNvPr id="73" name="Rectangle: Rounded Corners 72">
              <a:extLst>
                <a:ext uri="{FF2B5EF4-FFF2-40B4-BE49-F238E27FC236}">
                  <a16:creationId xmlns:a16="http://schemas.microsoft.com/office/drawing/2014/main" id="{5CB74F82-02FD-3496-B985-E1B5E48BEF0F}"/>
                </a:ext>
              </a:extLst>
            </xdr:cNvPr>
            <xdr:cNvSpPr/>
          </xdr:nvSpPr>
          <xdr:spPr>
            <a:xfrm>
              <a:off x="2392705" y="1120463"/>
              <a:ext cx="923309" cy="210207"/>
            </a:xfrm>
            <a:prstGeom prst="roundRect">
              <a:avLst/>
            </a:prstGeom>
            <a:solidFill>
              <a:srgbClr val="B4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rgbClr val="002340"/>
                </a:solidFill>
              </a:endParaRP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D54E21F7-65C2-5445-4FDC-26832448C419}"/>
                </a:ext>
              </a:extLst>
            </xdr:cNvPr>
            <xdr:cNvSpPr txBox="1"/>
          </xdr:nvSpPr>
          <xdr:spPr>
            <a:xfrm>
              <a:off x="2437927" y="1119352"/>
              <a:ext cx="815380" cy="212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lang="sr-Latn-RS" sz="1000" b="0">
                  <a:solidFill>
                    <a:srgbClr val="002340"/>
                  </a:solidFill>
                  <a:latin typeface="Bahnschrift" panose="020B0502040204020203" pitchFamily="34" charset="0"/>
                </a:rPr>
                <a:t>Main Sources Last</a:t>
              </a:r>
              <a:r>
                <a:rPr lang="sr-Latn-RS" sz="1000" b="0" baseline="0">
                  <a:solidFill>
                    <a:srgbClr val="002340"/>
                  </a:solidFill>
                  <a:latin typeface="Bahnschrift" panose="020B0502040204020203" pitchFamily="34" charset="0"/>
                </a:rPr>
                <a:t> 30 Days</a:t>
              </a:r>
              <a:endParaRPr lang="en-GB" sz="1000" b="0">
                <a:solidFill>
                  <a:srgbClr val="002340"/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5</xdr:col>
      <xdr:colOff>598192</xdr:colOff>
      <xdr:row>25</xdr:row>
      <xdr:rowOff>285591</xdr:rowOff>
    </xdr:from>
    <xdr:to>
      <xdr:col>14</xdr:col>
      <xdr:colOff>3695</xdr:colOff>
      <xdr:row>26</xdr:row>
      <xdr:rowOff>152401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68EE634-D06A-46E9-99E8-C23EB0684E95}"/>
            </a:ext>
          </a:extLst>
        </xdr:cNvPr>
        <xdr:cNvSpPr/>
      </xdr:nvSpPr>
      <xdr:spPr>
        <a:xfrm>
          <a:off x="3646192" y="4307626"/>
          <a:ext cx="6296633" cy="296781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15679</xdr:colOff>
      <xdr:row>25</xdr:row>
      <xdr:rowOff>386483</xdr:rowOff>
    </xdr:from>
    <xdr:to>
      <xdr:col>7</xdr:col>
      <xdr:colOff>1443447</xdr:colOff>
      <xdr:row>25</xdr:row>
      <xdr:rowOff>724955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68C4D1CF-4B52-B164-630F-990E3B85CAFB}"/>
            </a:ext>
          </a:extLst>
        </xdr:cNvPr>
        <xdr:cNvGrpSpPr/>
      </xdr:nvGrpSpPr>
      <xdr:grpSpPr>
        <a:xfrm>
          <a:off x="3798785" y="4501283"/>
          <a:ext cx="1427768" cy="338472"/>
          <a:chOff x="3777307" y="4460425"/>
          <a:chExt cx="1540432" cy="338472"/>
        </a:xfrm>
      </xdr:grpSpPr>
      <xdr:sp macro="" textlink="">
        <xdr:nvSpPr>
          <xdr:cNvPr id="78" name="Rectangle: Top Corners Rounded 77">
            <a:extLst>
              <a:ext uri="{FF2B5EF4-FFF2-40B4-BE49-F238E27FC236}">
                <a16:creationId xmlns:a16="http://schemas.microsoft.com/office/drawing/2014/main" id="{4FC1A206-AC84-4522-B0BD-F400D153663B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1BD4D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ABC9D912-252A-4EE7-B646-2C0D8478FBC7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F5091B2A-0F89-495C-9F39-64F12F1F8E57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DIRECT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1542330</xdr:colOff>
      <xdr:row>25</xdr:row>
      <xdr:rowOff>386483</xdr:rowOff>
    </xdr:from>
    <xdr:to>
      <xdr:col>9</xdr:col>
      <xdr:colOff>28778</xdr:colOff>
      <xdr:row>25</xdr:row>
      <xdr:rowOff>724955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F8D8AD38-D136-4EA1-80E2-9EECE70D3A8B}"/>
            </a:ext>
          </a:extLst>
        </xdr:cNvPr>
        <xdr:cNvGrpSpPr/>
      </xdr:nvGrpSpPr>
      <xdr:grpSpPr>
        <a:xfrm>
          <a:off x="5325436" y="4501283"/>
          <a:ext cx="1426871" cy="338472"/>
          <a:chOff x="3777307" y="4460425"/>
          <a:chExt cx="1540432" cy="338472"/>
        </a:xfrm>
      </xdr:grpSpPr>
      <xdr:sp macro="" textlink="">
        <xdr:nvSpPr>
          <xdr:cNvPr id="115" name="Rectangle: Top Corners Rounded 114">
            <a:extLst>
              <a:ext uri="{FF2B5EF4-FFF2-40B4-BE49-F238E27FC236}">
                <a16:creationId xmlns:a16="http://schemas.microsoft.com/office/drawing/2014/main" id="{0D11661D-A99B-4C63-F06E-F43BCE821EBC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1DE4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1861E07B-5463-F870-CE15-E23F11295E89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D00F8864-5D75-DC1B-DF58-B29F96AF2CDD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ORGANIC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127661</xdr:colOff>
      <xdr:row>25</xdr:row>
      <xdr:rowOff>386483</xdr:rowOff>
    </xdr:from>
    <xdr:to>
      <xdr:col>11</xdr:col>
      <xdr:colOff>5587</xdr:colOff>
      <xdr:row>25</xdr:row>
      <xdr:rowOff>724955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59BB962E-F9AF-4055-8ED3-2F5DFA07E0D8}"/>
            </a:ext>
          </a:extLst>
        </xdr:cNvPr>
        <xdr:cNvGrpSpPr/>
      </xdr:nvGrpSpPr>
      <xdr:grpSpPr>
        <a:xfrm>
          <a:off x="6851190" y="4501283"/>
          <a:ext cx="1437785" cy="338472"/>
          <a:chOff x="3777307" y="4460425"/>
          <a:chExt cx="1540432" cy="338472"/>
        </a:xfrm>
      </xdr:grpSpPr>
      <xdr:sp macro="" textlink="">
        <xdr:nvSpPr>
          <xdr:cNvPr id="119" name="Rectangle: Top Corners Rounded 118">
            <a:extLst>
              <a:ext uri="{FF2B5EF4-FFF2-40B4-BE49-F238E27FC236}">
                <a16:creationId xmlns:a16="http://schemas.microsoft.com/office/drawing/2014/main" id="{157128C1-42A1-C5E2-84A3-CE22D53223AF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6DF0D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30553335-4C7A-10F0-9BB7-199726129A59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73928DDB-8F47-497C-9B61-72AC265EF3B7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REFERRAL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104469</xdr:colOff>
      <xdr:row>25</xdr:row>
      <xdr:rowOff>386483</xdr:rowOff>
    </xdr:from>
    <xdr:to>
      <xdr:col>12</xdr:col>
      <xdr:colOff>753292</xdr:colOff>
      <xdr:row>25</xdr:row>
      <xdr:rowOff>724955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B7C4E3C9-A745-4665-8DFB-4DDA0ED6C130}"/>
            </a:ext>
          </a:extLst>
        </xdr:cNvPr>
        <xdr:cNvGrpSpPr/>
      </xdr:nvGrpSpPr>
      <xdr:grpSpPr>
        <a:xfrm>
          <a:off x="8387857" y="4501283"/>
          <a:ext cx="1428753" cy="338472"/>
          <a:chOff x="3777307" y="4460425"/>
          <a:chExt cx="1540432" cy="338472"/>
        </a:xfrm>
      </xdr:grpSpPr>
      <xdr:sp macro="" textlink="">
        <xdr:nvSpPr>
          <xdr:cNvPr id="123" name="Rectangle: Top Corners Rounded 122">
            <a:extLst>
              <a:ext uri="{FF2B5EF4-FFF2-40B4-BE49-F238E27FC236}">
                <a16:creationId xmlns:a16="http://schemas.microsoft.com/office/drawing/2014/main" id="{CEC3C673-7764-E9AF-FB47-33A9EE5FAC09}"/>
              </a:ext>
            </a:extLst>
          </xdr:cNvPr>
          <xdr:cNvSpPr/>
        </xdr:nvSpPr>
        <xdr:spPr>
          <a:xfrm rot="16200000">
            <a:off x="3709649" y="4568481"/>
            <a:ext cx="258269" cy="122954"/>
          </a:xfrm>
          <a:prstGeom prst="round2SameRect">
            <a:avLst/>
          </a:prstGeom>
          <a:solidFill>
            <a:srgbClr val="C7F9E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4" name="Rectangle 123">
            <a:extLst>
              <a:ext uri="{FF2B5EF4-FFF2-40B4-BE49-F238E27FC236}">
                <a16:creationId xmlns:a16="http://schemas.microsoft.com/office/drawing/2014/main" id="{F0FB8D1C-D219-138E-F104-E5103E679FAC}"/>
              </a:ext>
            </a:extLst>
          </xdr:cNvPr>
          <xdr:cNvSpPr/>
        </xdr:nvSpPr>
        <xdr:spPr>
          <a:xfrm>
            <a:off x="3902628" y="4500822"/>
            <a:ext cx="1415111" cy="257679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0BB9D73D-5D7B-7DE4-C192-075126E842F2}"/>
              </a:ext>
            </a:extLst>
          </xdr:cNvPr>
          <xdr:cNvSpPr txBox="1"/>
        </xdr:nvSpPr>
        <xdr:spPr>
          <a:xfrm>
            <a:off x="4037559" y="4460425"/>
            <a:ext cx="1145250" cy="3384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sr-Latn-RS" sz="1600" b="1">
                <a:solidFill>
                  <a:srgbClr val="002340"/>
                </a:solidFill>
                <a:latin typeface="Bahnschrift" panose="020B0502040204020203" pitchFamily="34" charset="0"/>
              </a:rPr>
              <a:t>PAID</a:t>
            </a:r>
            <a:endParaRPr lang="en-GB" sz="1600" b="1">
              <a:solidFill>
                <a:srgbClr val="00234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40983</xdr:colOff>
      <xdr:row>25</xdr:row>
      <xdr:rowOff>1201271</xdr:rowOff>
    </xdr:from>
    <xdr:to>
      <xdr:col>14</xdr:col>
      <xdr:colOff>46105</xdr:colOff>
      <xdr:row>26</xdr:row>
      <xdr:rowOff>108858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28943A11-62BF-42B6-99A3-8CF3EC88A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122374</xdr:colOff>
      <xdr:row>25</xdr:row>
      <xdr:rowOff>758291</xdr:rowOff>
    </xdr:from>
    <xdr:to>
      <xdr:col>7</xdr:col>
      <xdr:colOff>1342294</xdr:colOff>
      <xdr:row>25</xdr:row>
      <xdr:rowOff>1105228</xdr:rowOff>
    </xdr:to>
    <xdr:sp macro="" textlink="Calc!F41">
      <xdr:nvSpPr>
        <xdr:cNvPr id="127" name="TextBox 126">
          <a:extLst>
            <a:ext uri="{FF2B5EF4-FFF2-40B4-BE49-F238E27FC236}">
              <a16:creationId xmlns:a16="http://schemas.microsoft.com/office/drawing/2014/main" id="{F48EA494-0BC4-4C84-8F55-CE584267DC30}"/>
            </a:ext>
          </a:extLst>
        </xdr:cNvPr>
        <xdr:cNvSpPr txBox="1"/>
      </xdr:nvSpPr>
      <xdr:spPr>
        <a:xfrm>
          <a:off x="3905480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D16B4F57-5488-435A-8A8B-2792C96E0980}" type="TxLink">
            <a:rPr lang="en-US" sz="2800" b="0" i="0" u="none" strike="noStrike">
              <a:solidFill>
                <a:srgbClr val="1BD4D4"/>
              </a:solidFill>
              <a:latin typeface="Bahnschrift"/>
            </a:rPr>
            <a:t>2,848</a:t>
          </a:fld>
          <a:endParaRPr lang="en-GB" sz="23900" b="1">
            <a:solidFill>
              <a:srgbClr val="1BD4D4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1666487</xdr:colOff>
      <xdr:row>25</xdr:row>
      <xdr:rowOff>758291</xdr:rowOff>
    </xdr:from>
    <xdr:to>
      <xdr:col>8</xdr:col>
      <xdr:colOff>725913</xdr:colOff>
      <xdr:row>25</xdr:row>
      <xdr:rowOff>1105228</xdr:rowOff>
    </xdr:to>
    <xdr:sp macro="" textlink="Calc!G41">
      <xdr:nvSpPr>
        <xdr:cNvPr id="128" name="TextBox 127">
          <a:extLst>
            <a:ext uri="{FF2B5EF4-FFF2-40B4-BE49-F238E27FC236}">
              <a16:creationId xmlns:a16="http://schemas.microsoft.com/office/drawing/2014/main" id="{DBCA0D25-D675-44AC-894E-E6C4DCE6604F}"/>
            </a:ext>
          </a:extLst>
        </xdr:cNvPr>
        <xdr:cNvSpPr txBox="1"/>
      </xdr:nvSpPr>
      <xdr:spPr>
        <a:xfrm>
          <a:off x="5449593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E8528FC2-CA39-46AB-A9F0-AF8E311CBCA1}" type="TxLink">
            <a:rPr lang="en-US" sz="2800" b="0" i="0" u="none" strike="noStrike">
              <a:solidFill>
                <a:srgbClr val="1DE4BD"/>
              </a:solidFill>
              <a:latin typeface="Bahnschrift"/>
            </a:rPr>
            <a:t>2,396</a:t>
          </a:fld>
          <a:endParaRPr lang="en-GB" sz="23900" b="1">
            <a:solidFill>
              <a:srgbClr val="1DE4BD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9</xdr:col>
      <xdr:colOff>270177</xdr:colOff>
      <xdr:row>25</xdr:row>
      <xdr:rowOff>758291</xdr:rowOff>
    </xdr:from>
    <xdr:to>
      <xdr:col>10</xdr:col>
      <xdr:colOff>710167</xdr:colOff>
      <xdr:row>25</xdr:row>
      <xdr:rowOff>1105228</xdr:rowOff>
    </xdr:to>
    <xdr:sp macro="" textlink="Calc!H41">
      <xdr:nvSpPr>
        <xdr:cNvPr id="129" name="TextBox 128">
          <a:extLst>
            <a:ext uri="{FF2B5EF4-FFF2-40B4-BE49-F238E27FC236}">
              <a16:creationId xmlns:a16="http://schemas.microsoft.com/office/drawing/2014/main" id="{2A5B4919-2A5B-47EA-96C6-A4BA2748C839}"/>
            </a:ext>
          </a:extLst>
        </xdr:cNvPr>
        <xdr:cNvSpPr txBox="1"/>
      </xdr:nvSpPr>
      <xdr:spPr>
        <a:xfrm>
          <a:off x="6993706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92E25F90-30A6-4903-9427-535EBC0FD9EE}" type="TxLink">
            <a:rPr lang="en-US" sz="2800" b="0" i="0" u="none" strike="noStrike">
              <a:solidFill>
                <a:srgbClr val="6DF0D2"/>
              </a:solidFill>
              <a:latin typeface="Bahnschrift"/>
            </a:rPr>
            <a:t>2,220</a:t>
          </a:fld>
          <a:endParaRPr lang="en-GB" sz="23900" b="1">
            <a:solidFill>
              <a:srgbClr val="6DF0D2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11</xdr:col>
      <xdr:colOff>254430</xdr:colOff>
      <xdr:row>25</xdr:row>
      <xdr:rowOff>758291</xdr:rowOff>
    </xdr:from>
    <xdr:to>
      <xdr:col>12</xdr:col>
      <xdr:colOff>694420</xdr:colOff>
      <xdr:row>25</xdr:row>
      <xdr:rowOff>1105228</xdr:rowOff>
    </xdr:to>
    <xdr:sp macro="" textlink="Calc!I41">
      <xdr:nvSpPr>
        <xdr:cNvPr id="130" name="TextBox 129">
          <a:extLst>
            <a:ext uri="{FF2B5EF4-FFF2-40B4-BE49-F238E27FC236}">
              <a16:creationId xmlns:a16="http://schemas.microsoft.com/office/drawing/2014/main" id="{92C1F227-FB75-47CA-813A-9AC14C7516FF}"/>
            </a:ext>
          </a:extLst>
        </xdr:cNvPr>
        <xdr:cNvSpPr txBox="1"/>
      </xdr:nvSpPr>
      <xdr:spPr>
        <a:xfrm>
          <a:off x="8537818" y="4873091"/>
          <a:ext cx="1219920" cy="346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fld id="{7831042A-6695-4E2E-9EBE-330591B629D0}" type="TxLink">
            <a:rPr lang="en-US" sz="2800" b="0" i="0" u="none" strike="noStrike">
              <a:solidFill>
                <a:srgbClr val="C7F9EE"/>
              </a:solidFill>
              <a:latin typeface="Bahnschrift"/>
            </a:rPr>
            <a:t>872</a:t>
          </a:fld>
          <a:endParaRPr lang="en-GB" sz="23900" b="1">
            <a:solidFill>
              <a:srgbClr val="C7F9EE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6A975-243D-44A7-81C0-67437A2A1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E2B0D-BF5F-45CF-90A2-1ED5D5C88F54}" name="Campaign" displayName="Campaign" ref="A1:J27" totalsRowShown="0" headerRowDxfId="13" dataDxfId="14">
  <autoFilter ref="A1:J27" xr:uid="{BACE2B0D-BF5F-45CF-90A2-1ED5D5C88F54}"/>
  <tableColumns count="10">
    <tableColumn id="1" xr3:uid="{7BAE6CC9-05C8-44F0-9C3E-CB95621D0512}" name="DATE" dataDxfId="24"/>
    <tableColumn id="2" xr3:uid="{604BA440-E20A-4E14-810E-69765CB2BA22}" name="TIME" dataDxfId="23"/>
    <tableColumn id="3" xr3:uid="{4D97E678-9147-4384-863B-6940468EB06A}" name="CAMPAIGN" dataDxfId="22"/>
    <tableColumn id="4" xr3:uid="{74BEC46D-A67E-4215-90B8-36975CDFAA7F}" name="SENT" dataDxfId="21"/>
    <tableColumn id="5" xr3:uid="{6AEFF94B-BDB4-4691-B0B3-5433512A8707}" name="OPENS" dataDxfId="20"/>
    <tableColumn id="6" xr3:uid="{E511893F-1627-4157-9E29-C0235CB61C01}" name="OPENS PER" dataDxfId="19">
      <calculatedColumnFormula>E2/D2</calculatedColumnFormula>
    </tableColumn>
    <tableColumn id="7" xr3:uid="{1D1183C9-2F4D-440D-A642-F5E39FBCCF0E}" name="CLICKS" dataDxfId="18"/>
    <tableColumn id="8" xr3:uid="{685A302C-BF0E-4977-976C-37DD53A33DC7}" name="CLICKS PER" dataDxfId="17">
      <calculatedColumnFormula>G2/E2</calculatedColumnFormula>
    </tableColumn>
    <tableColumn id="9" xr3:uid="{2E39960D-8004-4111-8488-70216007A8FF}" name="BOUNCES" dataDxfId="16"/>
    <tableColumn id="10" xr3:uid="{90AFEBDD-ADEF-4F98-9513-E75D593C6AF2}" name="UNSUB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8AEA5-E02D-47E1-8607-A0A91E8AAB8F}" name="ESub" displayName="ESub" ref="A1:B91" totalsRowShown="0" headerRowDxfId="9" dataDxfId="10">
  <autoFilter ref="A1:B91" xr:uid="{C328AEA5-E02D-47E1-8607-A0A91E8AAB8F}"/>
  <tableColumns count="2">
    <tableColumn id="1" xr3:uid="{74E270EA-2A08-4C02-AA4E-A4CED0D8A109}" name="DATE" dataDxfId="12"/>
    <tableColumn id="2" xr3:uid="{7FA284EA-93BB-465D-9EC2-E561982D4207}" name="SUBSCRIBED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752A9C-4FF5-42E9-A2A6-287AD9BB5E61}" name="Google" displayName="Google" ref="A1:G91" totalsRowShown="0" headerRowDxfId="0" dataDxfId="1">
  <autoFilter ref="A1:G91" xr:uid="{5D752A9C-4FF5-42E9-A2A6-287AD9BB5E61}"/>
  <tableColumns count="7">
    <tableColumn id="1" xr3:uid="{C2A5B15F-E412-4068-AA0F-10EB7F45E50E}" name="DATE" dataDxfId="8"/>
    <tableColumn id="2" xr3:uid="{543BEDF0-FF80-4CAD-8E28-915C64EECC3C}" name="DIRECT" dataDxfId="7"/>
    <tableColumn id="3" xr3:uid="{9C31AD4C-9398-43D3-BF78-71D3FC974208}" name="ORGANIC" dataDxfId="6"/>
    <tableColumn id="4" xr3:uid="{3133D06B-1D0D-4D9E-8818-F831BF82243D}" name="REFERRAL" dataDxfId="5"/>
    <tableColumn id="5" xr3:uid="{D9E34603-171C-4B3A-9920-256AE34464C0}" name="PAID" dataDxfId="4"/>
    <tableColumn id="6" xr3:uid="{90C875CC-0B71-4ACF-9008-B6D7CFAA0214}" name="OTHER" dataDxfId="3"/>
    <tableColumn id="7" xr3:uid="{9129E598-E3BE-4BE8-ADE8-5994629CAFA2}" name="TOTAL SESSIONS" dataDxfId="2">
      <calculatedColumnFormula>SUM(B2:F2)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9E89-D905-44CA-97E7-1579B0C66CCB}">
  <dimension ref="A1:J27"/>
  <sheetViews>
    <sheetView workbookViewId="0">
      <selection activeCell="A28" sqref="A28"/>
    </sheetView>
  </sheetViews>
  <sheetFormatPr defaultRowHeight="13.8" x14ac:dyDescent="0.3"/>
  <cols>
    <col min="1" max="1" width="30.109375" style="1" customWidth="1"/>
    <col min="2" max="2" width="12.77734375" style="1" customWidth="1"/>
    <col min="3" max="3" width="46.77734375" style="2" customWidth="1"/>
    <col min="4" max="4" width="8.88671875" style="1"/>
    <col min="5" max="5" width="9.33203125" style="1" customWidth="1"/>
    <col min="6" max="6" width="14.109375" style="1" customWidth="1"/>
    <col min="7" max="7" width="9.5546875" style="1" customWidth="1"/>
    <col min="8" max="8" width="13.886718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x14ac:dyDescent="0.3">
      <c r="A1" s="1" t="s">
        <v>15</v>
      </c>
      <c r="B1" s="1" t="s">
        <v>16</v>
      </c>
      <c r="C1" s="2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25</v>
      </c>
      <c r="I1" s="1" t="s">
        <v>22</v>
      </c>
      <c r="J1" s="1" t="s">
        <v>23</v>
      </c>
    </row>
    <row r="2" spans="1:10" x14ac:dyDescent="0.3">
      <c r="A2" s="4">
        <v>44929</v>
      </c>
      <c r="B2" s="3">
        <v>0.375</v>
      </c>
      <c r="C2" s="2" t="s">
        <v>0</v>
      </c>
      <c r="D2" s="5">
        <v>5000</v>
      </c>
      <c r="E2" s="5">
        <v>3080</v>
      </c>
      <c r="F2" s="6">
        <f>E2/D2</f>
        <v>0.61599999999999999</v>
      </c>
      <c r="G2" s="5">
        <v>665</v>
      </c>
      <c r="H2" s="6">
        <f>G2/E2</f>
        <v>0.21590909090909091</v>
      </c>
      <c r="I2" s="5">
        <v>15</v>
      </c>
      <c r="J2" s="5">
        <v>1</v>
      </c>
    </row>
    <row r="3" spans="1:10" x14ac:dyDescent="0.3">
      <c r="A3" s="4">
        <v>44931</v>
      </c>
      <c r="B3" s="3">
        <v>0.41666666666666669</v>
      </c>
      <c r="C3" s="2" t="s">
        <v>1</v>
      </c>
      <c r="D3" s="5">
        <v>5050</v>
      </c>
      <c r="E3" s="5">
        <v>3200</v>
      </c>
      <c r="F3" s="6">
        <f t="shared" ref="F3:F27" si="0">E3/D3</f>
        <v>0.63366336633663367</v>
      </c>
      <c r="G3" s="5">
        <v>714</v>
      </c>
      <c r="H3" s="6">
        <f t="shared" ref="H3:H27" si="1">G3/E3</f>
        <v>0.22312499999999999</v>
      </c>
      <c r="I3" s="5">
        <v>125</v>
      </c>
      <c r="J3" s="5">
        <v>52</v>
      </c>
    </row>
    <row r="4" spans="1:10" x14ac:dyDescent="0.3">
      <c r="A4" s="4">
        <v>44932</v>
      </c>
      <c r="B4" s="3">
        <v>0.33333333333333331</v>
      </c>
      <c r="C4" s="2" t="s">
        <v>2</v>
      </c>
      <c r="D4" s="5">
        <v>5100</v>
      </c>
      <c r="E4" s="5">
        <v>3500</v>
      </c>
      <c r="F4" s="6">
        <f t="shared" si="0"/>
        <v>0.68627450980392157</v>
      </c>
      <c r="G4" s="5">
        <v>745</v>
      </c>
      <c r="H4" s="6">
        <f t="shared" si="1"/>
        <v>0.21285714285714286</v>
      </c>
      <c r="I4" s="5">
        <v>201</v>
      </c>
      <c r="J4" s="5">
        <v>21</v>
      </c>
    </row>
    <row r="5" spans="1:10" x14ac:dyDescent="0.3">
      <c r="A5" s="4">
        <v>44936</v>
      </c>
      <c r="B5" s="3">
        <v>0.33333333333333331</v>
      </c>
      <c r="C5" s="2" t="s">
        <v>4</v>
      </c>
      <c r="D5" s="5">
        <v>5200</v>
      </c>
      <c r="E5" s="5">
        <v>1800</v>
      </c>
      <c r="F5" s="6">
        <f t="shared" si="0"/>
        <v>0.34615384615384615</v>
      </c>
      <c r="G5" s="5">
        <v>150</v>
      </c>
      <c r="H5" s="6">
        <f t="shared" si="1"/>
        <v>8.3333333333333329E-2</v>
      </c>
      <c r="I5" s="5">
        <v>35</v>
      </c>
      <c r="J5" s="5">
        <v>30</v>
      </c>
    </row>
    <row r="6" spans="1:10" x14ac:dyDescent="0.3">
      <c r="A6" s="4">
        <v>44938</v>
      </c>
      <c r="B6" s="3">
        <v>0.41666666666666669</v>
      </c>
      <c r="C6" s="2" t="s">
        <v>3</v>
      </c>
      <c r="D6" s="5">
        <v>5250</v>
      </c>
      <c r="E6" s="5">
        <v>3215</v>
      </c>
      <c r="F6" s="6">
        <f t="shared" si="0"/>
        <v>0.61238095238095236</v>
      </c>
      <c r="G6" s="5">
        <v>256</v>
      </c>
      <c r="H6" s="6">
        <f t="shared" si="1"/>
        <v>7.9626749611197506E-2</v>
      </c>
      <c r="I6" s="5">
        <v>55</v>
      </c>
      <c r="J6" s="5">
        <v>21</v>
      </c>
    </row>
    <row r="7" spans="1:10" x14ac:dyDescent="0.3">
      <c r="A7" s="4">
        <v>44942</v>
      </c>
      <c r="B7" s="3">
        <v>0.375</v>
      </c>
      <c r="C7" s="2" t="s">
        <v>5</v>
      </c>
      <c r="D7" s="5">
        <v>5300</v>
      </c>
      <c r="E7" s="5">
        <v>3217</v>
      </c>
      <c r="F7" s="6">
        <f t="shared" si="0"/>
        <v>0.60698113207547166</v>
      </c>
      <c r="G7" s="5">
        <v>625</v>
      </c>
      <c r="H7" s="6">
        <f t="shared" si="1"/>
        <v>0.19428038545228474</v>
      </c>
      <c r="I7" s="5">
        <v>104</v>
      </c>
      <c r="J7" s="5">
        <v>50</v>
      </c>
    </row>
    <row r="8" spans="1:10" x14ac:dyDescent="0.3">
      <c r="A8" s="4">
        <v>44943</v>
      </c>
      <c r="B8" s="3">
        <v>0.33333333333333331</v>
      </c>
      <c r="C8" s="2" t="s">
        <v>4</v>
      </c>
      <c r="D8" s="5">
        <v>5400</v>
      </c>
      <c r="E8" s="5">
        <v>1714</v>
      </c>
      <c r="F8" s="6">
        <f t="shared" si="0"/>
        <v>0.31740740740740742</v>
      </c>
      <c r="G8" s="5">
        <v>98</v>
      </c>
      <c r="H8" s="6">
        <f t="shared" si="1"/>
        <v>5.7176196032672114E-2</v>
      </c>
      <c r="I8" s="5">
        <v>11</v>
      </c>
      <c r="J8" s="5">
        <v>5</v>
      </c>
    </row>
    <row r="9" spans="1:10" x14ac:dyDescent="0.3">
      <c r="A9" s="4">
        <v>44949</v>
      </c>
      <c r="B9" s="3">
        <v>0.375</v>
      </c>
      <c r="C9" s="2" t="s">
        <v>6</v>
      </c>
      <c r="D9" s="5">
        <v>5400</v>
      </c>
      <c r="E9" s="5">
        <v>2568</v>
      </c>
      <c r="F9" s="6">
        <f t="shared" si="0"/>
        <v>0.47555555555555556</v>
      </c>
      <c r="G9" s="5">
        <v>152</v>
      </c>
      <c r="H9" s="6">
        <f t="shared" si="1"/>
        <v>5.9190031152647975E-2</v>
      </c>
      <c r="I9" s="5">
        <v>22</v>
      </c>
      <c r="J9" s="5">
        <v>15</v>
      </c>
    </row>
    <row r="10" spans="1:10" x14ac:dyDescent="0.3">
      <c r="A10" s="4">
        <v>44950</v>
      </c>
      <c r="B10" s="3">
        <v>0.33333333333333331</v>
      </c>
      <c r="C10" s="2" t="s">
        <v>4</v>
      </c>
      <c r="D10" s="5">
        <v>5450</v>
      </c>
      <c r="E10" s="5">
        <v>1522</v>
      </c>
      <c r="F10" s="6">
        <f t="shared" si="0"/>
        <v>0.27926605504587154</v>
      </c>
      <c r="G10" s="5">
        <v>214</v>
      </c>
      <c r="H10" s="6">
        <f t="shared" si="1"/>
        <v>0.14060446780551905</v>
      </c>
      <c r="I10" s="5">
        <v>41</v>
      </c>
      <c r="J10" s="5">
        <v>22</v>
      </c>
    </row>
    <row r="11" spans="1:10" x14ac:dyDescent="0.3">
      <c r="A11" s="4">
        <v>44957</v>
      </c>
      <c r="B11" s="3">
        <v>0.33333333333333331</v>
      </c>
      <c r="C11" s="2" t="s">
        <v>4</v>
      </c>
      <c r="D11" s="5">
        <v>5500</v>
      </c>
      <c r="E11" s="5">
        <v>1425</v>
      </c>
      <c r="F11" s="6">
        <f t="shared" si="0"/>
        <v>0.25909090909090909</v>
      </c>
      <c r="G11" s="5">
        <v>87</v>
      </c>
      <c r="H11" s="6">
        <f t="shared" si="1"/>
        <v>6.1052631578947365E-2</v>
      </c>
      <c r="I11" s="5">
        <v>14</v>
      </c>
      <c r="J11" s="5">
        <v>7</v>
      </c>
    </row>
    <row r="12" spans="1:10" x14ac:dyDescent="0.3">
      <c r="A12" s="4">
        <v>44964</v>
      </c>
      <c r="B12" s="3">
        <v>0.33333333333333331</v>
      </c>
      <c r="C12" s="2" t="s">
        <v>4</v>
      </c>
      <c r="D12" s="5">
        <v>5550</v>
      </c>
      <c r="E12" s="5">
        <v>1877</v>
      </c>
      <c r="F12" s="6">
        <f t="shared" si="0"/>
        <v>0.33819819819819819</v>
      </c>
      <c r="G12" s="5">
        <v>59</v>
      </c>
      <c r="H12" s="6">
        <f t="shared" si="1"/>
        <v>3.1433137986148108E-2</v>
      </c>
      <c r="I12" s="5">
        <v>11</v>
      </c>
      <c r="J12" s="5">
        <v>6</v>
      </c>
    </row>
    <row r="13" spans="1:10" x14ac:dyDescent="0.3">
      <c r="A13" s="4">
        <v>44966</v>
      </c>
      <c r="B13" s="3">
        <v>0.41666666666666669</v>
      </c>
      <c r="C13" s="2" t="s">
        <v>7</v>
      </c>
      <c r="D13" s="5">
        <v>5600</v>
      </c>
      <c r="E13" s="5">
        <v>3895</v>
      </c>
      <c r="F13" s="6">
        <f t="shared" si="0"/>
        <v>0.69553571428571426</v>
      </c>
      <c r="G13" s="5">
        <v>356</v>
      </c>
      <c r="H13" s="6">
        <f t="shared" si="1"/>
        <v>9.1399229781771507E-2</v>
      </c>
      <c r="I13" s="5">
        <v>77</v>
      </c>
      <c r="J13" s="5">
        <v>75</v>
      </c>
    </row>
    <row r="14" spans="1:10" x14ac:dyDescent="0.3">
      <c r="A14" s="4">
        <v>44971</v>
      </c>
      <c r="B14" s="3">
        <v>0.33333333333333331</v>
      </c>
      <c r="C14" s="2" t="s">
        <v>4</v>
      </c>
      <c r="D14" s="5">
        <v>5600</v>
      </c>
      <c r="E14" s="5">
        <v>2014</v>
      </c>
      <c r="F14" s="6">
        <f t="shared" si="0"/>
        <v>0.35964285714285715</v>
      </c>
      <c r="G14" s="5">
        <v>117</v>
      </c>
      <c r="H14" s="6">
        <f t="shared" si="1"/>
        <v>5.8093346573982123E-2</v>
      </c>
      <c r="I14" s="5">
        <v>25</v>
      </c>
      <c r="J14" s="5">
        <v>14</v>
      </c>
    </row>
    <row r="15" spans="1:10" x14ac:dyDescent="0.3">
      <c r="A15" s="4">
        <v>44972</v>
      </c>
      <c r="B15" s="3">
        <v>0.375</v>
      </c>
      <c r="C15" s="2" t="s">
        <v>8</v>
      </c>
      <c r="D15" s="5">
        <v>5650</v>
      </c>
      <c r="E15" s="5">
        <v>3557</v>
      </c>
      <c r="F15" s="6">
        <f t="shared" si="0"/>
        <v>0.62955752212389382</v>
      </c>
      <c r="G15" s="5">
        <v>541</v>
      </c>
      <c r="H15" s="6">
        <f t="shared" si="1"/>
        <v>0.15209446162496487</v>
      </c>
      <c r="I15" s="5">
        <v>117</v>
      </c>
      <c r="J15" s="5">
        <v>60</v>
      </c>
    </row>
    <row r="16" spans="1:10" x14ac:dyDescent="0.3">
      <c r="A16" s="4">
        <v>44974</v>
      </c>
      <c r="B16" s="3">
        <v>0.375</v>
      </c>
      <c r="C16" s="2" t="s">
        <v>9</v>
      </c>
      <c r="D16" s="5">
        <v>5700</v>
      </c>
      <c r="E16" s="5">
        <v>3218</v>
      </c>
      <c r="F16" s="6">
        <f t="shared" si="0"/>
        <v>0.56456140350877193</v>
      </c>
      <c r="G16" s="5">
        <v>488</v>
      </c>
      <c r="H16" s="6">
        <f t="shared" si="1"/>
        <v>0.15164698570540708</v>
      </c>
      <c r="I16" s="5">
        <v>163</v>
      </c>
      <c r="J16" s="5">
        <v>106</v>
      </c>
    </row>
    <row r="17" spans="1:10" x14ac:dyDescent="0.3">
      <c r="A17" s="4">
        <v>44978</v>
      </c>
      <c r="B17" s="3">
        <v>0.33333333333333331</v>
      </c>
      <c r="C17" s="2" t="s">
        <v>4</v>
      </c>
      <c r="D17" s="5">
        <v>5700</v>
      </c>
      <c r="E17" s="5">
        <v>1855</v>
      </c>
      <c r="F17" s="6">
        <f t="shared" si="0"/>
        <v>0.32543859649122808</v>
      </c>
      <c r="G17" s="5">
        <v>99</v>
      </c>
      <c r="H17" s="6">
        <f t="shared" si="1"/>
        <v>5.3369272237196765E-2</v>
      </c>
      <c r="I17" s="5">
        <v>22</v>
      </c>
      <c r="J17" s="5">
        <v>17</v>
      </c>
    </row>
    <row r="18" spans="1:10" x14ac:dyDescent="0.3">
      <c r="A18" s="4">
        <v>44985</v>
      </c>
      <c r="B18" s="3">
        <v>0.33333333333333331</v>
      </c>
      <c r="C18" s="2" t="s">
        <v>4</v>
      </c>
      <c r="D18" s="5">
        <v>5750</v>
      </c>
      <c r="E18" s="5">
        <v>1654</v>
      </c>
      <c r="F18" s="6">
        <f t="shared" si="0"/>
        <v>0.28765217391304349</v>
      </c>
      <c r="G18" s="5">
        <v>85</v>
      </c>
      <c r="H18" s="6">
        <f t="shared" si="1"/>
        <v>5.1390568319226115E-2</v>
      </c>
      <c r="I18" s="5">
        <v>14</v>
      </c>
      <c r="J18" s="5">
        <v>19</v>
      </c>
    </row>
    <row r="19" spans="1:10" x14ac:dyDescent="0.3">
      <c r="A19" s="4">
        <v>44988</v>
      </c>
      <c r="B19" s="3">
        <v>0.41666666666666669</v>
      </c>
      <c r="C19" s="2" t="s">
        <v>10</v>
      </c>
      <c r="D19" s="5">
        <v>5780</v>
      </c>
      <c r="E19" s="5">
        <v>3796</v>
      </c>
      <c r="F19" s="6">
        <f t="shared" si="0"/>
        <v>0.65674740484429062</v>
      </c>
      <c r="G19" s="5">
        <v>365</v>
      </c>
      <c r="H19" s="6">
        <f t="shared" si="1"/>
        <v>9.6153846153846159E-2</v>
      </c>
      <c r="I19" s="5">
        <v>88</v>
      </c>
      <c r="J19" s="5">
        <v>90</v>
      </c>
    </row>
    <row r="20" spans="1:10" x14ac:dyDescent="0.3">
      <c r="A20" s="4">
        <v>44992</v>
      </c>
      <c r="B20" s="3">
        <v>0.375</v>
      </c>
      <c r="C20" s="2" t="s">
        <v>4</v>
      </c>
      <c r="D20" s="5">
        <v>5800</v>
      </c>
      <c r="E20" s="5">
        <v>2006</v>
      </c>
      <c r="F20" s="6">
        <f t="shared" si="0"/>
        <v>0.34586206896551724</v>
      </c>
      <c r="G20" s="5">
        <v>144</v>
      </c>
      <c r="H20" s="6">
        <f t="shared" si="1"/>
        <v>7.1784646061814561E-2</v>
      </c>
      <c r="I20" s="5">
        <v>33</v>
      </c>
      <c r="J20" s="5">
        <v>28</v>
      </c>
    </row>
    <row r="21" spans="1:10" x14ac:dyDescent="0.3">
      <c r="A21" s="4">
        <v>44998</v>
      </c>
      <c r="B21" s="3">
        <v>0.41666666666666669</v>
      </c>
      <c r="C21" s="2" t="s">
        <v>11</v>
      </c>
      <c r="D21" s="5">
        <v>5840</v>
      </c>
      <c r="E21" s="5">
        <v>4325</v>
      </c>
      <c r="F21" s="6">
        <f t="shared" si="0"/>
        <v>0.74058219178082196</v>
      </c>
      <c r="G21" s="5">
        <v>388</v>
      </c>
      <c r="H21" s="6">
        <f t="shared" si="1"/>
        <v>8.9710982658959534E-2</v>
      </c>
      <c r="I21" s="5">
        <v>94</v>
      </c>
      <c r="J21" s="5">
        <v>66</v>
      </c>
    </row>
    <row r="22" spans="1:10" x14ac:dyDescent="0.3">
      <c r="A22" s="4">
        <v>44999</v>
      </c>
      <c r="B22" s="3">
        <v>0.33333333333333331</v>
      </c>
      <c r="C22" s="2" t="s">
        <v>4</v>
      </c>
      <c r="D22" s="5">
        <v>6020</v>
      </c>
      <c r="E22" s="5">
        <v>2135</v>
      </c>
      <c r="F22" s="6">
        <f t="shared" si="0"/>
        <v>0.35465116279069769</v>
      </c>
      <c r="G22" s="5">
        <v>125</v>
      </c>
      <c r="H22" s="6">
        <f t="shared" si="1"/>
        <v>5.8548009367681501E-2</v>
      </c>
      <c r="I22" s="5">
        <v>20</v>
      </c>
      <c r="J22" s="5">
        <v>14</v>
      </c>
    </row>
    <row r="23" spans="1:10" x14ac:dyDescent="0.3">
      <c r="A23" s="4">
        <v>45001</v>
      </c>
      <c r="B23" s="3">
        <v>0.41666666666666669</v>
      </c>
      <c r="C23" s="2" t="s">
        <v>12</v>
      </c>
      <c r="D23" s="5">
        <v>6040</v>
      </c>
      <c r="E23" s="5">
        <v>1450</v>
      </c>
      <c r="F23" s="6">
        <f t="shared" si="0"/>
        <v>0.24006622516556292</v>
      </c>
      <c r="G23" s="5">
        <v>102</v>
      </c>
      <c r="H23" s="6">
        <f t="shared" si="1"/>
        <v>7.0344827586206901E-2</v>
      </c>
      <c r="I23" s="5">
        <v>13</v>
      </c>
      <c r="J23" s="5">
        <v>6</v>
      </c>
    </row>
    <row r="24" spans="1:10" x14ac:dyDescent="0.3">
      <c r="A24" s="4">
        <v>45006</v>
      </c>
      <c r="B24" s="3">
        <v>0.33333333333333331</v>
      </c>
      <c r="C24" s="2" t="s">
        <v>4</v>
      </c>
      <c r="D24" s="5">
        <v>6250</v>
      </c>
      <c r="E24" s="5">
        <v>2359</v>
      </c>
      <c r="F24" s="6">
        <f t="shared" si="0"/>
        <v>0.37744</v>
      </c>
      <c r="G24" s="5">
        <v>225</v>
      </c>
      <c r="H24" s="6">
        <f t="shared" si="1"/>
        <v>9.53793980500212E-2</v>
      </c>
      <c r="I24" s="5">
        <v>44</v>
      </c>
      <c r="J24" s="5">
        <v>41</v>
      </c>
    </row>
    <row r="25" spans="1:10" x14ac:dyDescent="0.3">
      <c r="A25" s="4">
        <v>45007</v>
      </c>
      <c r="B25" s="3">
        <v>0.41666666666666669</v>
      </c>
      <c r="C25" s="2" t="s">
        <v>13</v>
      </c>
      <c r="D25" s="5">
        <v>6260</v>
      </c>
      <c r="E25" s="5">
        <v>3996</v>
      </c>
      <c r="F25" s="6">
        <f t="shared" si="0"/>
        <v>0.63833865814696489</v>
      </c>
      <c r="G25" s="5">
        <v>418</v>
      </c>
      <c r="H25" s="6">
        <f t="shared" si="1"/>
        <v>0.10460460460460461</v>
      </c>
      <c r="I25" s="5">
        <v>98</v>
      </c>
      <c r="J25" s="5">
        <v>85</v>
      </c>
    </row>
    <row r="26" spans="1:10" x14ac:dyDescent="0.3">
      <c r="A26" s="4">
        <v>45009</v>
      </c>
      <c r="B26" s="3">
        <v>0.375</v>
      </c>
      <c r="C26" s="2" t="s">
        <v>14</v>
      </c>
      <c r="D26" s="5">
        <v>6510</v>
      </c>
      <c r="E26" s="5">
        <v>4187</v>
      </c>
      <c r="F26" s="6">
        <f t="shared" si="0"/>
        <v>0.64316436251920128</v>
      </c>
      <c r="G26" s="5">
        <v>705</v>
      </c>
      <c r="H26" s="6">
        <f t="shared" si="1"/>
        <v>0.16837831382851684</v>
      </c>
      <c r="I26" s="5">
        <v>177</v>
      </c>
      <c r="J26" s="5">
        <v>103</v>
      </c>
    </row>
    <row r="27" spans="1:10" x14ac:dyDescent="0.3">
      <c r="A27" s="4">
        <v>45013</v>
      </c>
      <c r="B27" s="3">
        <v>0.33333333333333331</v>
      </c>
      <c r="C27" s="2" t="s">
        <v>4</v>
      </c>
      <c r="D27" s="5">
        <v>6550</v>
      </c>
      <c r="E27" s="5">
        <v>1541</v>
      </c>
      <c r="F27" s="6">
        <f t="shared" si="0"/>
        <v>0.23526717557251908</v>
      </c>
      <c r="G27" s="5">
        <v>145</v>
      </c>
      <c r="H27" s="6">
        <f t="shared" si="1"/>
        <v>9.4094743672939643E-2</v>
      </c>
      <c r="I27" s="5">
        <v>36</v>
      </c>
      <c r="J27" s="5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75AE-E918-46A3-8E7E-14E24581F1E6}">
  <dimension ref="A1:B91"/>
  <sheetViews>
    <sheetView topLeftCell="A67" workbookViewId="0">
      <selection activeCell="A92" sqref="A92"/>
    </sheetView>
  </sheetViews>
  <sheetFormatPr defaultRowHeight="14.4" x14ac:dyDescent="0.3"/>
  <cols>
    <col min="1" max="1" width="29" customWidth="1"/>
    <col min="2" max="2" width="22.6640625" customWidth="1"/>
  </cols>
  <sheetData>
    <row r="1" spans="1:2" x14ac:dyDescent="0.3">
      <c r="A1" s="1" t="s">
        <v>15</v>
      </c>
      <c r="B1" s="1" t="s">
        <v>24</v>
      </c>
    </row>
    <row r="2" spans="1:2" x14ac:dyDescent="0.3">
      <c r="A2" s="4">
        <v>44927</v>
      </c>
      <c r="B2" s="5">
        <v>2000</v>
      </c>
    </row>
    <row r="3" spans="1:2" x14ac:dyDescent="0.3">
      <c r="A3" s="4">
        <v>44928</v>
      </c>
      <c r="B3" s="5">
        <v>5000</v>
      </c>
    </row>
    <row r="4" spans="1:2" x14ac:dyDescent="0.3">
      <c r="A4" s="4">
        <v>44929</v>
      </c>
      <c r="B4" s="5">
        <v>5018</v>
      </c>
    </row>
    <row r="5" spans="1:2" x14ac:dyDescent="0.3">
      <c r="A5" s="4">
        <v>44930</v>
      </c>
      <c r="B5" s="5">
        <v>5027</v>
      </c>
    </row>
    <row r="6" spans="1:2" x14ac:dyDescent="0.3">
      <c r="A6" s="4">
        <v>44931</v>
      </c>
      <c r="B6" s="5">
        <v>5050</v>
      </c>
    </row>
    <row r="7" spans="1:2" x14ac:dyDescent="0.3">
      <c r="A7" s="4">
        <v>44932</v>
      </c>
      <c r="B7" s="5">
        <v>5100</v>
      </c>
    </row>
    <row r="8" spans="1:2" x14ac:dyDescent="0.3">
      <c r="A8" s="4">
        <v>44933</v>
      </c>
      <c r="B8" s="5">
        <v>5104</v>
      </c>
    </row>
    <row r="9" spans="1:2" x14ac:dyDescent="0.3">
      <c r="A9" s="4">
        <v>44934</v>
      </c>
      <c r="B9" s="5">
        <v>5107</v>
      </c>
    </row>
    <row r="10" spans="1:2" x14ac:dyDescent="0.3">
      <c r="A10" s="4">
        <v>44935</v>
      </c>
      <c r="B10" s="5">
        <v>5145</v>
      </c>
    </row>
    <row r="11" spans="1:2" x14ac:dyDescent="0.3">
      <c r="A11" s="4">
        <v>44936</v>
      </c>
      <c r="B11" s="5">
        <v>5200</v>
      </c>
    </row>
    <row r="12" spans="1:2" x14ac:dyDescent="0.3">
      <c r="A12" s="4">
        <v>44937</v>
      </c>
      <c r="B12" s="5">
        <v>5254</v>
      </c>
    </row>
    <row r="13" spans="1:2" x14ac:dyDescent="0.3">
      <c r="A13" s="4">
        <v>44938</v>
      </c>
      <c r="B13" s="5">
        <v>5250</v>
      </c>
    </row>
    <row r="14" spans="1:2" x14ac:dyDescent="0.3">
      <c r="A14" s="4">
        <v>44939</v>
      </c>
      <c r="B14" s="5">
        <v>5357</v>
      </c>
    </row>
    <row r="15" spans="1:2" x14ac:dyDescent="0.3">
      <c r="A15" s="4">
        <v>44940</v>
      </c>
      <c r="B15" s="5">
        <v>5353</v>
      </c>
    </row>
    <row r="16" spans="1:2" x14ac:dyDescent="0.3">
      <c r="A16" s="4">
        <v>44941</v>
      </c>
      <c r="B16" s="5">
        <v>5325</v>
      </c>
    </row>
    <row r="17" spans="1:2" x14ac:dyDescent="0.3">
      <c r="A17" s="4">
        <v>44942</v>
      </c>
      <c r="B17" s="5">
        <v>5350</v>
      </c>
    </row>
    <row r="18" spans="1:2" x14ac:dyDescent="0.3">
      <c r="A18" s="4">
        <v>44943</v>
      </c>
      <c r="B18" s="5">
        <v>5400</v>
      </c>
    </row>
    <row r="19" spans="1:2" x14ac:dyDescent="0.3">
      <c r="A19" s="4">
        <v>44944</v>
      </c>
      <c r="B19" s="5">
        <v>5420</v>
      </c>
    </row>
    <row r="20" spans="1:2" x14ac:dyDescent="0.3">
      <c r="A20" s="4">
        <v>44945</v>
      </c>
      <c r="B20" s="5">
        <v>5417</v>
      </c>
    </row>
    <row r="21" spans="1:2" x14ac:dyDescent="0.3">
      <c r="A21" s="4">
        <v>44946</v>
      </c>
      <c r="B21" s="5">
        <v>5412</v>
      </c>
    </row>
    <row r="22" spans="1:2" x14ac:dyDescent="0.3">
      <c r="A22" s="4">
        <v>44947</v>
      </c>
      <c r="B22" s="5">
        <v>5408</v>
      </c>
    </row>
    <row r="23" spans="1:2" x14ac:dyDescent="0.3">
      <c r="A23" s="4">
        <v>44948</v>
      </c>
      <c r="B23" s="5">
        <v>5404</v>
      </c>
    </row>
    <row r="24" spans="1:2" x14ac:dyDescent="0.3">
      <c r="A24" s="4">
        <v>44949</v>
      </c>
      <c r="B24" s="5">
        <v>5400</v>
      </c>
    </row>
    <row r="25" spans="1:2" x14ac:dyDescent="0.3">
      <c r="A25" s="4">
        <v>44950</v>
      </c>
      <c r="B25" s="5">
        <v>5450</v>
      </c>
    </row>
    <row r="26" spans="1:2" x14ac:dyDescent="0.3">
      <c r="A26" s="4">
        <v>44951</v>
      </c>
      <c r="B26" s="5">
        <v>5512</v>
      </c>
    </row>
    <row r="27" spans="1:2" x14ac:dyDescent="0.3">
      <c r="A27" s="4">
        <v>44952</v>
      </c>
      <c r="B27" s="5">
        <v>5510</v>
      </c>
    </row>
    <row r="28" spans="1:2" x14ac:dyDescent="0.3">
      <c r="A28" s="4">
        <v>44953</v>
      </c>
      <c r="B28" s="5">
        <v>5504</v>
      </c>
    </row>
    <row r="29" spans="1:2" x14ac:dyDescent="0.3">
      <c r="A29" s="4">
        <v>44954</v>
      </c>
      <c r="B29" s="5">
        <v>5503</v>
      </c>
    </row>
    <row r="30" spans="1:2" x14ac:dyDescent="0.3">
      <c r="A30" s="4">
        <v>44955</v>
      </c>
      <c r="B30" s="5">
        <v>5502</v>
      </c>
    </row>
    <row r="31" spans="1:2" x14ac:dyDescent="0.3">
      <c r="A31" s="4">
        <v>44956</v>
      </c>
      <c r="B31" s="5">
        <v>5501</v>
      </c>
    </row>
    <row r="32" spans="1:2" x14ac:dyDescent="0.3">
      <c r="A32" s="4">
        <v>44957</v>
      </c>
      <c r="B32" s="5">
        <v>5500</v>
      </c>
    </row>
    <row r="33" spans="1:2" x14ac:dyDescent="0.3">
      <c r="A33" s="4">
        <v>44958</v>
      </c>
      <c r="B33" s="5">
        <v>5589</v>
      </c>
    </row>
    <row r="34" spans="1:2" x14ac:dyDescent="0.3">
      <c r="A34" s="4">
        <v>44959</v>
      </c>
      <c r="B34" s="5">
        <v>5584</v>
      </c>
    </row>
    <row r="35" spans="1:2" x14ac:dyDescent="0.3">
      <c r="A35" s="4">
        <v>44960</v>
      </c>
      <c r="B35" s="5">
        <v>5575</v>
      </c>
    </row>
    <row r="36" spans="1:2" x14ac:dyDescent="0.3">
      <c r="A36" s="4">
        <v>44961</v>
      </c>
      <c r="B36" s="5">
        <v>5572</v>
      </c>
    </row>
    <row r="37" spans="1:2" x14ac:dyDescent="0.3">
      <c r="A37" s="4">
        <v>44962</v>
      </c>
      <c r="B37" s="5">
        <v>5571</v>
      </c>
    </row>
    <row r="38" spans="1:2" x14ac:dyDescent="0.3">
      <c r="A38" s="4">
        <v>44963</v>
      </c>
      <c r="B38" s="5">
        <v>5560</v>
      </c>
    </row>
    <row r="39" spans="1:2" x14ac:dyDescent="0.3">
      <c r="A39" s="4">
        <v>44964</v>
      </c>
      <c r="B39" s="5">
        <v>5550</v>
      </c>
    </row>
    <row r="40" spans="1:2" x14ac:dyDescent="0.3">
      <c r="A40" s="4">
        <v>44965</v>
      </c>
      <c r="B40" s="5">
        <v>5640</v>
      </c>
    </row>
    <row r="41" spans="1:2" x14ac:dyDescent="0.3">
      <c r="A41" s="4">
        <v>44966</v>
      </c>
      <c r="B41" s="5">
        <v>5600</v>
      </c>
    </row>
    <row r="42" spans="1:2" x14ac:dyDescent="0.3">
      <c r="A42" s="4">
        <v>44967</v>
      </c>
      <c r="B42" s="5">
        <v>5625</v>
      </c>
    </row>
    <row r="43" spans="1:2" x14ac:dyDescent="0.3">
      <c r="A43" s="4">
        <v>44968</v>
      </c>
      <c r="B43" s="5">
        <v>5618</v>
      </c>
    </row>
    <row r="44" spans="1:2" x14ac:dyDescent="0.3">
      <c r="A44" s="4">
        <v>44969</v>
      </c>
      <c r="B44" s="5">
        <v>5609</v>
      </c>
    </row>
    <row r="45" spans="1:2" x14ac:dyDescent="0.3">
      <c r="A45" s="4">
        <v>44970</v>
      </c>
      <c r="B45" s="5">
        <v>5602</v>
      </c>
    </row>
    <row r="46" spans="1:2" x14ac:dyDescent="0.3">
      <c r="A46" s="4">
        <v>44971</v>
      </c>
      <c r="B46" s="5">
        <v>5600</v>
      </c>
    </row>
    <row r="47" spans="1:2" x14ac:dyDescent="0.3">
      <c r="A47" s="4">
        <v>44972</v>
      </c>
      <c r="B47" s="5">
        <v>5650</v>
      </c>
    </row>
    <row r="48" spans="1:2" x14ac:dyDescent="0.3">
      <c r="A48" s="4">
        <v>44973</v>
      </c>
      <c r="B48" s="5">
        <v>5722</v>
      </c>
    </row>
    <row r="49" spans="1:2" x14ac:dyDescent="0.3">
      <c r="A49" s="4">
        <v>44974</v>
      </c>
      <c r="B49" s="5">
        <v>5700</v>
      </c>
    </row>
    <row r="50" spans="1:2" x14ac:dyDescent="0.3">
      <c r="A50" s="4">
        <v>44975</v>
      </c>
      <c r="B50" s="5">
        <v>5714</v>
      </c>
    </row>
    <row r="51" spans="1:2" x14ac:dyDescent="0.3">
      <c r="A51" s="4">
        <v>44976</v>
      </c>
      <c r="B51" s="5">
        <v>5708</v>
      </c>
    </row>
    <row r="52" spans="1:2" x14ac:dyDescent="0.3">
      <c r="A52" s="4">
        <v>44977</v>
      </c>
      <c r="B52" s="5">
        <v>5703</v>
      </c>
    </row>
    <row r="53" spans="1:2" x14ac:dyDescent="0.3">
      <c r="A53" s="4">
        <v>44978</v>
      </c>
      <c r="B53" s="5">
        <v>5700</v>
      </c>
    </row>
    <row r="54" spans="1:2" x14ac:dyDescent="0.3">
      <c r="A54" s="4">
        <v>44979</v>
      </c>
      <c r="B54" s="5">
        <v>5814</v>
      </c>
    </row>
    <row r="55" spans="1:2" x14ac:dyDescent="0.3">
      <c r="A55" s="4">
        <v>44980</v>
      </c>
      <c r="B55" s="5">
        <v>5801</v>
      </c>
    </row>
    <row r="56" spans="1:2" x14ac:dyDescent="0.3">
      <c r="A56" s="4">
        <v>44981</v>
      </c>
      <c r="B56" s="5">
        <v>5789</v>
      </c>
    </row>
    <row r="57" spans="1:2" x14ac:dyDescent="0.3">
      <c r="A57" s="4">
        <v>44982</v>
      </c>
      <c r="B57" s="5">
        <v>5788</v>
      </c>
    </row>
    <row r="58" spans="1:2" x14ac:dyDescent="0.3">
      <c r="A58" s="4">
        <v>44983</v>
      </c>
      <c r="B58" s="5">
        <v>5780</v>
      </c>
    </row>
    <row r="59" spans="1:2" x14ac:dyDescent="0.3">
      <c r="A59" s="4">
        <v>44984</v>
      </c>
      <c r="B59" s="5">
        <v>5772</v>
      </c>
    </row>
    <row r="60" spans="1:2" x14ac:dyDescent="0.3">
      <c r="A60" s="4">
        <v>44985</v>
      </c>
      <c r="B60" s="5">
        <v>5750</v>
      </c>
    </row>
    <row r="61" spans="1:2" x14ac:dyDescent="0.3">
      <c r="A61" s="4">
        <v>44986</v>
      </c>
      <c r="B61" s="5">
        <v>5805</v>
      </c>
    </row>
    <row r="62" spans="1:2" x14ac:dyDescent="0.3">
      <c r="A62" s="4">
        <v>44987</v>
      </c>
      <c r="B62" s="5">
        <v>5799</v>
      </c>
    </row>
    <row r="63" spans="1:2" x14ac:dyDescent="0.3">
      <c r="A63" s="4">
        <v>44988</v>
      </c>
      <c r="B63" s="5">
        <v>5780</v>
      </c>
    </row>
    <row r="64" spans="1:2" x14ac:dyDescent="0.3">
      <c r="A64" s="4">
        <v>44989</v>
      </c>
      <c r="B64" s="5">
        <v>5822</v>
      </c>
    </row>
    <row r="65" spans="1:2" x14ac:dyDescent="0.3">
      <c r="A65" s="4">
        <v>44990</v>
      </c>
      <c r="B65" s="5">
        <v>5814</v>
      </c>
    </row>
    <row r="66" spans="1:2" x14ac:dyDescent="0.3">
      <c r="A66" s="4">
        <v>44991</v>
      </c>
      <c r="B66" s="5">
        <v>5804</v>
      </c>
    </row>
    <row r="67" spans="1:2" x14ac:dyDescent="0.3">
      <c r="A67" s="4">
        <v>44992</v>
      </c>
      <c r="B67" s="5">
        <v>5800</v>
      </c>
    </row>
    <row r="68" spans="1:2" x14ac:dyDescent="0.3">
      <c r="A68" s="4">
        <v>44993</v>
      </c>
      <c r="B68" s="5">
        <v>5870</v>
      </c>
    </row>
    <row r="69" spans="1:2" x14ac:dyDescent="0.3">
      <c r="A69" s="4">
        <v>44994</v>
      </c>
      <c r="B69" s="5">
        <v>5866</v>
      </c>
    </row>
    <row r="70" spans="1:2" x14ac:dyDescent="0.3">
      <c r="A70" s="4">
        <v>44995</v>
      </c>
      <c r="B70" s="5">
        <v>5860</v>
      </c>
    </row>
    <row r="71" spans="1:2" x14ac:dyDescent="0.3">
      <c r="A71" s="4">
        <v>44996</v>
      </c>
      <c r="B71" s="5">
        <v>5852</v>
      </c>
    </row>
    <row r="72" spans="1:2" x14ac:dyDescent="0.3">
      <c r="A72" s="4">
        <v>44997</v>
      </c>
      <c r="B72" s="5">
        <v>5844</v>
      </c>
    </row>
    <row r="73" spans="1:2" x14ac:dyDescent="0.3">
      <c r="A73" s="4">
        <v>44998</v>
      </c>
      <c r="B73" s="5">
        <v>5840</v>
      </c>
    </row>
    <row r="74" spans="1:2" x14ac:dyDescent="0.3">
      <c r="A74" s="4">
        <v>44999</v>
      </c>
      <c r="B74" s="5">
        <v>6020</v>
      </c>
    </row>
    <row r="75" spans="1:2" x14ac:dyDescent="0.3">
      <c r="A75" s="4">
        <v>45000</v>
      </c>
      <c r="B75" s="5">
        <v>6045</v>
      </c>
    </row>
    <row r="76" spans="1:2" x14ac:dyDescent="0.3">
      <c r="A76" s="4">
        <v>45001</v>
      </c>
      <c r="B76" s="5">
        <v>6040</v>
      </c>
    </row>
    <row r="77" spans="1:2" x14ac:dyDescent="0.3">
      <c r="A77" s="4">
        <v>45002</v>
      </c>
      <c r="B77" s="5">
        <v>6318</v>
      </c>
    </row>
    <row r="78" spans="1:2" x14ac:dyDescent="0.3">
      <c r="A78" s="4">
        <v>45003</v>
      </c>
      <c r="B78" s="5">
        <v>6302</v>
      </c>
    </row>
    <row r="79" spans="1:2" x14ac:dyDescent="0.3">
      <c r="A79" s="4">
        <v>45004</v>
      </c>
      <c r="B79" s="5">
        <v>6288</v>
      </c>
    </row>
    <row r="80" spans="1:2" x14ac:dyDescent="0.3">
      <c r="A80" s="4">
        <v>45005</v>
      </c>
      <c r="B80" s="5">
        <v>6264</v>
      </c>
    </row>
    <row r="81" spans="1:2" x14ac:dyDescent="0.3">
      <c r="A81" s="4">
        <v>45006</v>
      </c>
      <c r="B81" s="5">
        <v>6250</v>
      </c>
    </row>
    <row r="82" spans="1:2" x14ac:dyDescent="0.3">
      <c r="A82" s="4">
        <v>45007</v>
      </c>
      <c r="B82" s="5">
        <v>6260</v>
      </c>
    </row>
    <row r="83" spans="1:2" x14ac:dyDescent="0.3">
      <c r="A83" s="4">
        <v>45008</v>
      </c>
      <c r="B83" s="5">
        <v>6522</v>
      </c>
    </row>
    <row r="84" spans="1:2" x14ac:dyDescent="0.3">
      <c r="A84" s="4">
        <v>45009</v>
      </c>
      <c r="B84" s="5">
        <v>6510</v>
      </c>
    </row>
    <row r="85" spans="1:2" x14ac:dyDescent="0.3">
      <c r="A85" s="4">
        <v>45010</v>
      </c>
      <c r="B85" s="5">
        <v>6623</v>
      </c>
    </row>
    <row r="86" spans="1:2" x14ac:dyDescent="0.3">
      <c r="A86" s="4">
        <v>45011</v>
      </c>
      <c r="B86" s="5">
        <v>6601</v>
      </c>
    </row>
    <row r="87" spans="1:2" x14ac:dyDescent="0.3">
      <c r="A87" s="4">
        <v>45012</v>
      </c>
      <c r="B87" s="5">
        <v>6575</v>
      </c>
    </row>
    <row r="88" spans="1:2" x14ac:dyDescent="0.3">
      <c r="A88" s="4">
        <v>45013</v>
      </c>
      <c r="B88" s="5">
        <v>6550</v>
      </c>
    </row>
    <row r="89" spans="1:2" x14ac:dyDescent="0.3">
      <c r="A89" s="4">
        <v>45014</v>
      </c>
      <c r="B89" s="5">
        <v>6548</v>
      </c>
    </row>
    <row r="90" spans="1:2" x14ac:dyDescent="0.3">
      <c r="A90" s="4">
        <v>45015</v>
      </c>
      <c r="B90" s="5">
        <v>6540</v>
      </c>
    </row>
    <row r="91" spans="1:2" x14ac:dyDescent="0.3">
      <c r="A91" s="4">
        <v>45016</v>
      </c>
      <c r="B91" s="5">
        <v>6537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1A3C-BE4C-47B2-9520-B67248D3D71E}">
  <dimension ref="A1:G91"/>
  <sheetViews>
    <sheetView zoomScale="85" zoomScaleNormal="85" workbookViewId="0">
      <selection activeCell="D2" sqref="D2"/>
    </sheetView>
  </sheetViews>
  <sheetFormatPr defaultRowHeight="14.4" x14ac:dyDescent="0.3"/>
  <cols>
    <col min="1" max="1" width="31.109375" customWidth="1"/>
    <col min="2" max="7" width="22.6640625" customWidth="1"/>
  </cols>
  <sheetData>
    <row r="1" spans="1:7" x14ac:dyDescent="0.3">
      <c r="A1" s="1" t="s">
        <v>15</v>
      </c>
      <c r="B1" s="1" t="s">
        <v>26</v>
      </c>
      <c r="C1" s="1" t="s">
        <v>27</v>
      </c>
      <c r="D1" s="1" t="s">
        <v>40</v>
      </c>
      <c r="E1" s="1" t="s">
        <v>28</v>
      </c>
      <c r="F1" s="1" t="s">
        <v>29</v>
      </c>
      <c r="G1" s="1" t="s">
        <v>30</v>
      </c>
    </row>
    <row r="2" spans="1:7" x14ac:dyDescent="0.3">
      <c r="A2" s="4">
        <v>44927</v>
      </c>
      <c r="B2" s="5">
        <v>20</v>
      </c>
      <c r="C2" s="5">
        <v>30</v>
      </c>
      <c r="D2" s="5">
        <v>17</v>
      </c>
      <c r="E2" s="5">
        <v>7</v>
      </c>
      <c r="F2" s="5">
        <v>44</v>
      </c>
      <c r="G2" s="5">
        <f>SUM(B2:F2)</f>
        <v>118</v>
      </c>
    </row>
    <row r="3" spans="1:7" x14ac:dyDescent="0.3">
      <c r="A3" s="4">
        <v>44928</v>
      </c>
      <c r="B3" s="5">
        <v>25</v>
      </c>
      <c r="C3" s="5">
        <v>26</v>
      </c>
      <c r="D3" s="5">
        <v>16</v>
      </c>
      <c r="E3" s="5">
        <v>11</v>
      </c>
      <c r="F3" s="5">
        <v>36</v>
      </c>
      <c r="G3" s="5">
        <f t="shared" ref="G3:G66" si="0">SUM(B3:F3)</f>
        <v>114</v>
      </c>
    </row>
    <row r="4" spans="1:7" x14ac:dyDescent="0.3">
      <c r="A4" s="4">
        <v>44929</v>
      </c>
      <c r="B4" s="5">
        <v>123</v>
      </c>
      <c r="C4" s="5">
        <v>89</v>
      </c>
      <c r="D4" s="5">
        <v>73</v>
      </c>
      <c r="E4" s="5">
        <v>15</v>
      </c>
      <c r="F4" s="5">
        <v>182</v>
      </c>
      <c r="G4" s="5">
        <f t="shared" si="0"/>
        <v>482</v>
      </c>
    </row>
    <row r="5" spans="1:7" x14ac:dyDescent="0.3">
      <c r="A5" s="4">
        <v>44930</v>
      </c>
      <c r="B5" s="5">
        <v>107</v>
      </c>
      <c r="C5" s="5">
        <v>99</v>
      </c>
      <c r="D5" s="5">
        <v>87</v>
      </c>
      <c r="E5" s="5">
        <v>46</v>
      </c>
      <c r="F5" s="5">
        <v>188</v>
      </c>
      <c r="G5" s="5">
        <f t="shared" si="0"/>
        <v>527</v>
      </c>
    </row>
    <row r="6" spans="1:7" x14ac:dyDescent="0.3">
      <c r="A6" s="4">
        <v>44931</v>
      </c>
      <c r="B6" s="5">
        <v>111</v>
      </c>
      <c r="C6" s="5">
        <v>93</v>
      </c>
      <c r="D6" s="5">
        <v>87</v>
      </c>
      <c r="E6" s="5">
        <v>27</v>
      </c>
      <c r="F6" s="5">
        <v>143</v>
      </c>
      <c r="G6" s="5">
        <f t="shared" si="0"/>
        <v>461</v>
      </c>
    </row>
    <row r="7" spans="1:7" x14ac:dyDescent="0.3">
      <c r="A7" s="4">
        <v>44932</v>
      </c>
      <c r="B7" s="5">
        <v>140</v>
      </c>
      <c r="C7" s="5">
        <v>147</v>
      </c>
      <c r="D7" s="5">
        <v>151</v>
      </c>
      <c r="E7" s="5">
        <v>14</v>
      </c>
      <c r="F7" s="5">
        <v>118</v>
      </c>
      <c r="G7" s="5">
        <f t="shared" si="0"/>
        <v>570</v>
      </c>
    </row>
    <row r="8" spans="1:7" x14ac:dyDescent="0.3">
      <c r="A8" s="4">
        <v>44933</v>
      </c>
      <c r="B8" s="5">
        <v>55</v>
      </c>
      <c r="C8" s="5">
        <v>39</v>
      </c>
      <c r="D8" s="5">
        <v>33</v>
      </c>
      <c r="E8" s="5">
        <v>28</v>
      </c>
      <c r="F8" s="5">
        <v>37</v>
      </c>
      <c r="G8" s="5">
        <f t="shared" si="0"/>
        <v>192</v>
      </c>
    </row>
    <row r="9" spans="1:7" x14ac:dyDescent="0.3">
      <c r="A9" s="4">
        <v>44934</v>
      </c>
      <c r="B9" s="5">
        <v>57</v>
      </c>
      <c r="C9" s="5">
        <v>45</v>
      </c>
      <c r="D9" s="5">
        <v>46</v>
      </c>
      <c r="E9" s="5">
        <v>11</v>
      </c>
      <c r="F9" s="5">
        <v>48</v>
      </c>
      <c r="G9" s="5">
        <f t="shared" si="0"/>
        <v>207</v>
      </c>
    </row>
    <row r="10" spans="1:7" x14ac:dyDescent="0.3">
      <c r="A10" s="4">
        <v>44935</v>
      </c>
      <c r="B10" s="5">
        <v>140</v>
      </c>
      <c r="C10" s="5">
        <v>152</v>
      </c>
      <c r="D10" s="5">
        <v>152</v>
      </c>
      <c r="E10" s="5">
        <v>24</v>
      </c>
      <c r="F10" s="5">
        <v>133</v>
      </c>
      <c r="G10" s="5">
        <f t="shared" si="0"/>
        <v>601</v>
      </c>
    </row>
    <row r="11" spans="1:7" x14ac:dyDescent="0.3">
      <c r="A11" s="4">
        <v>44936</v>
      </c>
      <c r="B11" s="5">
        <v>137</v>
      </c>
      <c r="C11" s="5">
        <v>130</v>
      </c>
      <c r="D11" s="5">
        <v>119</v>
      </c>
      <c r="E11" s="5">
        <v>46</v>
      </c>
      <c r="F11" s="5">
        <v>89</v>
      </c>
      <c r="G11" s="5">
        <f t="shared" si="0"/>
        <v>521</v>
      </c>
    </row>
    <row r="12" spans="1:7" x14ac:dyDescent="0.3">
      <c r="A12" s="4">
        <v>44937</v>
      </c>
      <c r="B12" s="5">
        <v>109</v>
      </c>
      <c r="C12" s="5">
        <v>113</v>
      </c>
      <c r="D12" s="5">
        <v>102</v>
      </c>
      <c r="E12" s="5">
        <v>55</v>
      </c>
      <c r="F12" s="5">
        <v>128</v>
      </c>
      <c r="G12" s="5">
        <f t="shared" si="0"/>
        <v>507</v>
      </c>
    </row>
    <row r="13" spans="1:7" x14ac:dyDescent="0.3">
      <c r="A13" s="4">
        <v>44938</v>
      </c>
      <c r="B13" s="5">
        <v>101</v>
      </c>
      <c r="C13" s="5">
        <v>101</v>
      </c>
      <c r="D13" s="5">
        <v>98</v>
      </c>
      <c r="E13" s="5">
        <v>22</v>
      </c>
      <c r="F13" s="5">
        <v>136</v>
      </c>
      <c r="G13" s="5">
        <f t="shared" si="0"/>
        <v>458</v>
      </c>
    </row>
    <row r="14" spans="1:7" x14ac:dyDescent="0.3">
      <c r="A14" s="4">
        <v>44939</v>
      </c>
      <c r="B14" s="5">
        <v>120</v>
      </c>
      <c r="C14" s="5">
        <v>95</v>
      </c>
      <c r="D14" s="5">
        <v>85</v>
      </c>
      <c r="E14" s="5">
        <v>39</v>
      </c>
      <c r="F14" s="5">
        <v>197</v>
      </c>
      <c r="G14" s="5">
        <f t="shared" si="0"/>
        <v>536</v>
      </c>
    </row>
    <row r="15" spans="1:7" x14ac:dyDescent="0.3">
      <c r="A15" s="4">
        <v>44940</v>
      </c>
      <c r="B15" s="5">
        <v>50</v>
      </c>
      <c r="C15" s="5">
        <v>52</v>
      </c>
      <c r="D15" s="5">
        <v>47</v>
      </c>
      <c r="E15" s="5">
        <v>15</v>
      </c>
      <c r="F15" s="5">
        <v>93</v>
      </c>
      <c r="G15" s="5">
        <f t="shared" si="0"/>
        <v>257</v>
      </c>
    </row>
    <row r="16" spans="1:7" x14ac:dyDescent="0.3">
      <c r="A16" s="4">
        <v>44941</v>
      </c>
      <c r="B16" s="5">
        <v>42</v>
      </c>
      <c r="C16" s="5">
        <v>45</v>
      </c>
      <c r="D16" s="5">
        <v>45</v>
      </c>
      <c r="E16" s="5">
        <v>17</v>
      </c>
      <c r="F16" s="5">
        <v>60</v>
      </c>
      <c r="G16" s="5">
        <f t="shared" si="0"/>
        <v>209</v>
      </c>
    </row>
    <row r="17" spans="1:7" x14ac:dyDescent="0.3">
      <c r="A17" s="4">
        <v>44942</v>
      </c>
      <c r="B17" s="5">
        <v>114</v>
      </c>
      <c r="C17" s="5">
        <v>82</v>
      </c>
      <c r="D17" s="5">
        <v>73</v>
      </c>
      <c r="E17" s="5">
        <v>50</v>
      </c>
      <c r="F17" s="5">
        <v>81</v>
      </c>
      <c r="G17" s="5">
        <f t="shared" si="0"/>
        <v>400</v>
      </c>
    </row>
    <row r="18" spans="1:7" x14ac:dyDescent="0.3">
      <c r="A18" s="4">
        <v>44943</v>
      </c>
      <c r="B18" s="5">
        <v>120</v>
      </c>
      <c r="C18" s="5">
        <v>92</v>
      </c>
      <c r="D18" s="5">
        <v>85</v>
      </c>
      <c r="E18" s="5">
        <v>28</v>
      </c>
      <c r="F18" s="5">
        <v>133</v>
      </c>
      <c r="G18" s="5">
        <f t="shared" si="0"/>
        <v>458</v>
      </c>
    </row>
    <row r="19" spans="1:7" x14ac:dyDescent="0.3">
      <c r="A19" s="4">
        <v>44944</v>
      </c>
      <c r="B19" s="5">
        <v>93</v>
      </c>
      <c r="C19" s="5">
        <v>80</v>
      </c>
      <c r="D19" s="5">
        <v>65</v>
      </c>
      <c r="E19" s="5">
        <v>34</v>
      </c>
      <c r="F19" s="5">
        <v>133</v>
      </c>
      <c r="G19" s="5">
        <f t="shared" si="0"/>
        <v>405</v>
      </c>
    </row>
    <row r="20" spans="1:7" x14ac:dyDescent="0.3">
      <c r="A20" s="4">
        <v>44945</v>
      </c>
      <c r="B20" s="5">
        <v>103</v>
      </c>
      <c r="C20" s="5">
        <v>95</v>
      </c>
      <c r="D20" s="5">
        <v>85</v>
      </c>
      <c r="E20" s="5">
        <v>51</v>
      </c>
      <c r="F20" s="5">
        <v>193</v>
      </c>
      <c r="G20" s="5">
        <f t="shared" si="0"/>
        <v>527</v>
      </c>
    </row>
    <row r="21" spans="1:7" x14ac:dyDescent="0.3">
      <c r="A21" s="4">
        <v>44946</v>
      </c>
      <c r="B21" s="5">
        <v>102</v>
      </c>
      <c r="C21" s="5">
        <v>65</v>
      </c>
      <c r="D21" s="5">
        <v>65</v>
      </c>
      <c r="E21" s="5">
        <v>55</v>
      </c>
      <c r="F21" s="5">
        <v>124</v>
      </c>
      <c r="G21" s="5">
        <f t="shared" si="0"/>
        <v>411</v>
      </c>
    </row>
    <row r="22" spans="1:7" x14ac:dyDescent="0.3">
      <c r="A22" s="4">
        <v>44947</v>
      </c>
      <c r="B22" s="5">
        <v>51</v>
      </c>
      <c r="C22" s="5">
        <v>37</v>
      </c>
      <c r="D22" s="5">
        <v>38</v>
      </c>
      <c r="E22" s="5">
        <v>26</v>
      </c>
      <c r="F22" s="5">
        <v>43</v>
      </c>
      <c r="G22" s="5">
        <f t="shared" si="0"/>
        <v>195</v>
      </c>
    </row>
    <row r="23" spans="1:7" x14ac:dyDescent="0.3">
      <c r="A23" s="4">
        <v>44948</v>
      </c>
      <c r="B23" s="5">
        <v>59</v>
      </c>
      <c r="C23" s="5">
        <v>54</v>
      </c>
      <c r="D23" s="5">
        <v>56</v>
      </c>
      <c r="E23" s="5">
        <v>29</v>
      </c>
      <c r="F23" s="5">
        <v>77</v>
      </c>
      <c r="G23" s="5">
        <f t="shared" si="0"/>
        <v>275</v>
      </c>
    </row>
    <row r="24" spans="1:7" x14ac:dyDescent="0.3">
      <c r="A24" s="4">
        <v>44949</v>
      </c>
      <c r="B24" s="5">
        <v>122</v>
      </c>
      <c r="C24" s="5">
        <v>88</v>
      </c>
      <c r="D24" s="5">
        <v>89</v>
      </c>
      <c r="E24" s="5">
        <v>35</v>
      </c>
      <c r="F24" s="5">
        <v>107</v>
      </c>
      <c r="G24" s="5">
        <f t="shared" si="0"/>
        <v>441</v>
      </c>
    </row>
    <row r="25" spans="1:7" x14ac:dyDescent="0.3">
      <c r="A25" s="4">
        <v>44950</v>
      </c>
      <c r="B25" s="5">
        <v>87</v>
      </c>
      <c r="C25" s="5">
        <v>70</v>
      </c>
      <c r="D25" s="5">
        <v>62</v>
      </c>
      <c r="E25" s="5">
        <v>17</v>
      </c>
      <c r="F25" s="5">
        <v>183</v>
      </c>
      <c r="G25" s="5">
        <f t="shared" si="0"/>
        <v>419</v>
      </c>
    </row>
    <row r="26" spans="1:7" x14ac:dyDescent="0.3">
      <c r="A26" s="4">
        <v>44951</v>
      </c>
      <c r="B26" s="5">
        <v>128</v>
      </c>
      <c r="C26" s="5">
        <v>111</v>
      </c>
      <c r="D26" s="5">
        <v>100</v>
      </c>
      <c r="E26" s="5">
        <v>30</v>
      </c>
      <c r="F26" s="5">
        <v>157</v>
      </c>
      <c r="G26" s="5">
        <f t="shared" si="0"/>
        <v>526</v>
      </c>
    </row>
    <row r="27" spans="1:7" x14ac:dyDescent="0.3">
      <c r="A27" s="4">
        <v>44952</v>
      </c>
      <c r="B27" s="5">
        <v>112</v>
      </c>
      <c r="C27" s="5">
        <v>121</v>
      </c>
      <c r="D27" s="5">
        <v>112</v>
      </c>
      <c r="E27" s="5">
        <v>35</v>
      </c>
      <c r="F27" s="5">
        <v>102</v>
      </c>
      <c r="G27" s="5">
        <f t="shared" si="0"/>
        <v>482</v>
      </c>
    </row>
    <row r="28" spans="1:7" x14ac:dyDescent="0.3">
      <c r="A28" s="4">
        <v>44953</v>
      </c>
      <c r="B28" s="5">
        <v>97</v>
      </c>
      <c r="C28" s="5">
        <v>97</v>
      </c>
      <c r="D28" s="5">
        <v>83</v>
      </c>
      <c r="E28" s="5">
        <v>31</v>
      </c>
      <c r="F28" s="5">
        <v>167</v>
      </c>
      <c r="G28" s="5">
        <f t="shared" si="0"/>
        <v>475</v>
      </c>
    </row>
    <row r="29" spans="1:7" x14ac:dyDescent="0.3">
      <c r="A29" s="4">
        <v>44954</v>
      </c>
      <c r="B29" s="5">
        <v>55</v>
      </c>
      <c r="C29" s="5">
        <v>54</v>
      </c>
      <c r="D29" s="5">
        <v>55</v>
      </c>
      <c r="E29" s="5">
        <v>8</v>
      </c>
      <c r="F29" s="5">
        <v>63</v>
      </c>
      <c r="G29" s="5">
        <f t="shared" si="0"/>
        <v>235</v>
      </c>
    </row>
    <row r="30" spans="1:7" x14ac:dyDescent="0.3">
      <c r="A30" s="4">
        <v>44955</v>
      </c>
      <c r="B30" s="5">
        <v>54</v>
      </c>
      <c r="C30" s="5">
        <v>59</v>
      </c>
      <c r="D30" s="5">
        <v>62</v>
      </c>
      <c r="E30" s="5">
        <v>22</v>
      </c>
      <c r="F30" s="5">
        <v>71</v>
      </c>
      <c r="G30" s="5">
        <f t="shared" si="0"/>
        <v>268</v>
      </c>
    </row>
    <row r="31" spans="1:7" x14ac:dyDescent="0.3">
      <c r="A31" s="4">
        <v>44956</v>
      </c>
      <c r="B31" s="5">
        <v>131</v>
      </c>
      <c r="C31" s="5">
        <v>100</v>
      </c>
      <c r="D31" s="5">
        <v>100</v>
      </c>
      <c r="E31" s="5">
        <v>28</v>
      </c>
      <c r="F31" s="5">
        <v>180</v>
      </c>
      <c r="G31" s="5">
        <f t="shared" si="0"/>
        <v>539</v>
      </c>
    </row>
    <row r="32" spans="1:7" x14ac:dyDescent="0.3">
      <c r="A32" s="4">
        <v>44957</v>
      </c>
      <c r="B32" s="5">
        <v>108</v>
      </c>
      <c r="C32" s="5">
        <v>114</v>
      </c>
      <c r="D32" s="5">
        <v>120</v>
      </c>
      <c r="E32" s="5">
        <v>47</v>
      </c>
      <c r="F32" s="5">
        <v>150</v>
      </c>
      <c r="G32" s="5">
        <f t="shared" si="0"/>
        <v>539</v>
      </c>
    </row>
    <row r="33" spans="1:7" x14ac:dyDescent="0.3">
      <c r="A33" s="4">
        <v>44958</v>
      </c>
      <c r="B33" s="5">
        <v>126</v>
      </c>
      <c r="C33" s="5">
        <v>84</v>
      </c>
      <c r="D33" s="5">
        <v>86</v>
      </c>
      <c r="E33" s="5">
        <v>49</v>
      </c>
      <c r="F33" s="5">
        <v>162</v>
      </c>
      <c r="G33" s="5">
        <f t="shared" si="0"/>
        <v>507</v>
      </c>
    </row>
    <row r="34" spans="1:7" x14ac:dyDescent="0.3">
      <c r="A34" s="4">
        <v>44959</v>
      </c>
      <c r="B34" s="5">
        <v>116</v>
      </c>
      <c r="C34" s="5">
        <v>72</v>
      </c>
      <c r="D34" s="5">
        <v>59</v>
      </c>
      <c r="E34" s="5">
        <v>54</v>
      </c>
      <c r="F34" s="5">
        <v>142</v>
      </c>
      <c r="G34" s="5">
        <f t="shared" si="0"/>
        <v>443</v>
      </c>
    </row>
    <row r="35" spans="1:7" x14ac:dyDescent="0.3">
      <c r="A35" s="4">
        <v>44960</v>
      </c>
      <c r="B35" s="5">
        <v>102</v>
      </c>
      <c r="C35" s="5">
        <v>68</v>
      </c>
      <c r="D35" s="5">
        <v>58</v>
      </c>
      <c r="E35" s="5">
        <v>40</v>
      </c>
      <c r="F35" s="5">
        <v>85</v>
      </c>
      <c r="G35" s="5">
        <f t="shared" si="0"/>
        <v>353</v>
      </c>
    </row>
    <row r="36" spans="1:7" x14ac:dyDescent="0.3">
      <c r="A36" s="4">
        <v>44961</v>
      </c>
      <c r="B36" s="5">
        <v>60</v>
      </c>
      <c r="C36" s="5">
        <v>61</v>
      </c>
      <c r="D36" s="5">
        <v>61</v>
      </c>
      <c r="E36" s="5">
        <v>29</v>
      </c>
      <c r="F36" s="5">
        <v>67</v>
      </c>
      <c r="G36" s="5">
        <f t="shared" si="0"/>
        <v>278</v>
      </c>
    </row>
    <row r="37" spans="1:7" x14ac:dyDescent="0.3">
      <c r="A37" s="4">
        <v>44962</v>
      </c>
      <c r="B37" s="5">
        <v>55</v>
      </c>
      <c r="C37" s="5">
        <v>49</v>
      </c>
      <c r="D37" s="5">
        <v>43</v>
      </c>
      <c r="E37" s="5">
        <v>26</v>
      </c>
      <c r="F37" s="5">
        <v>70</v>
      </c>
      <c r="G37" s="5">
        <f t="shared" si="0"/>
        <v>243</v>
      </c>
    </row>
    <row r="38" spans="1:7" x14ac:dyDescent="0.3">
      <c r="A38" s="4">
        <v>44963</v>
      </c>
      <c r="B38" s="5">
        <v>100</v>
      </c>
      <c r="C38" s="5">
        <v>77</v>
      </c>
      <c r="D38" s="5">
        <v>77</v>
      </c>
      <c r="E38" s="5">
        <v>14</v>
      </c>
      <c r="F38" s="5">
        <v>135</v>
      </c>
      <c r="G38" s="5">
        <f t="shared" si="0"/>
        <v>403</v>
      </c>
    </row>
    <row r="39" spans="1:7" x14ac:dyDescent="0.3">
      <c r="A39" s="4">
        <v>44964</v>
      </c>
      <c r="B39" s="5">
        <v>117</v>
      </c>
      <c r="C39" s="5">
        <v>76</v>
      </c>
      <c r="D39" s="5">
        <v>70</v>
      </c>
      <c r="E39" s="5">
        <v>49</v>
      </c>
      <c r="F39" s="5">
        <v>170</v>
      </c>
      <c r="G39" s="5">
        <f t="shared" si="0"/>
        <v>482</v>
      </c>
    </row>
    <row r="40" spans="1:7" x14ac:dyDescent="0.3">
      <c r="A40" s="4">
        <v>44965</v>
      </c>
      <c r="B40" s="5">
        <v>124</v>
      </c>
      <c r="C40" s="5">
        <v>104</v>
      </c>
      <c r="D40" s="5">
        <v>88</v>
      </c>
      <c r="E40" s="5">
        <v>58</v>
      </c>
      <c r="F40" s="5">
        <v>148</v>
      </c>
      <c r="G40" s="5">
        <f t="shared" si="0"/>
        <v>522</v>
      </c>
    </row>
    <row r="41" spans="1:7" x14ac:dyDescent="0.3">
      <c r="A41" s="4">
        <v>44966</v>
      </c>
      <c r="B41" s="5">
        <v>140</v>
      </c>
      <c r="C41" s="5">
        <v>147</v>
      </c>
      <c r="D41" s="5">
        <v>147</v>
      </c>
      <c r="E41" s="5">
        <v>31</v>
      </c>
      <c r="F41" s="5">
        <v>200</v>
      </c>
      <c r="G41" s="5">
        <f t="shared" si="0"/>
        <v>665</v>
      </c>
    </row>
    <row r="42" spans="1:7" x14ac:dyDescent="0.3">
      <c r="A42" s="4">
        <v>44967</v>
      </c>
      <c r="B42" s="5">
        <v>88</v>
      </c>
      <c r="C42" s="5">
        <v>91</v>
      </c>
      <c r="D42" s="5">
        <v>84</v>
      </c>
      <c r="E42" s="5">
        <v>22</v>
      </c>
      <c r="F42" s="5">
        <v>188</v>
      </c>
      <c r="G42" s="5">
        <f t="shared" si="0"/>
        <v>473</v>
      </c>
    </row>
    <row r="43" spans="1:7" x14ac:dyDescent="0.3">
      <c r="A43" s="4">
        <v>44968</v>
      </c>
      <c r="B43" s="5">
        <v>45</v>
      </c>
      <c r="C43" s="5">
        <v>46</v>
      </c>
      <c r="D43" s="5">
        <v>44</v>
      </c>
      <c r="E43" s="5">
        <v>10</v>
      </c>
      <c r="F43" s="5">
        <v>88</v>
      </c>
      <c r="G43" s="5">
        <f t="shared" si="0"/>
        <v>233</v>
      </c>
    </row>
    <row r="44" spans="1:7" x14ac:dyDescent="0.3">
      <c r="A44" s="4">
        <v>44969</v>
      </c>
      <c r="B44" s="5">
        <v>45</v>
      </c>
      <c r="C44" s="5">
        <v>24</v>
      </c>
      <c r="D44" s="5">
        <v>27</v>
      </c>
      <c r="E44" s="5">
        <v>17</v>
      </c>
      <c r="F44" s="5">
        <v>98</v>
      </c>
      <c r="G44" s="5">
        <f t="shared" si="0"/>
        <v>211</v>
      </c>
    </row>
    <row r="45" spans="1:7" x14ac:dyDescent="0.3">
      <c r="A45" s="4">
        <v>44970</v>
      </c>
      <c r="B45" s="5">
        <v>94</v>
      </c>
      <c r="C45" s="5">
        <v>96</v>
      </c>
      <c r="D45" s="5">
        <v>101</v>
      </c>
      <c r="E45" s="5">
        <v>58</v>
      </c>
      <c r="F45" s="5">
        <v>95</v>
      </c>
      <c r="G45" s="5">
        <f t="shared" si="0"/>
        <v>444</v>
      </c>
    </row>
    <row r="46" spans="1:7" x14ac:dyDescent="0.3">
      <c r="A46" s="4">
        <v>44971</v>
      </c>
      <c r="B46" s="5">
        <v>90</v>
      </c>
      <c r="C46" s="5">
        <v>47</v>
      </c>
      <c r="D46" s="5">
        <v>44</v>
      </c>
      <c r="E46" s="5">
        <v>32</v>
      </c>
      <c r="F46" s="5">
        <v>145</v>
      </c>
      <c r="G46" s="5">
        <f t="shared" si="0"/>
        <v>358</v>
      </c>
    </row>
    <row r="47" spans="1:7" x14ac:dyDescent="0.3">
      <c r="A47" s="4">
        <v>44972</v>
      </c>
      <c r="B47" s="5">
        <v>139</v>
      </c>
      <c r="C47" s="5">
        <v>134</v>
      </c>
      <c r="D47" s="5">
        <v>126</v>
      </c>
      <c r="E47" s="5">
        <v>41</v>
      </c>
      <c r="F47" s="5">
        <v>206</v>
      </c>
      <c r="G47" s="5">
        <f t="shared" si="0"/>
        <v>646</v>
      </c>
    </row>
    <row r="48" spans="1:7" x14ac:dyDescent="0.3">
      <c r="A48" s="4">
        <v>44973</v>
      </c>
      <c r="B48" s="5">
        <v>119</v>
      </c>
      <c r="C48" s="5">
        <v>83</v>
      </c>
      <c r="D48" s="5">
        <v>67</v>
      </c>
      <c r="E48" s="5">
        <v>40</v>
      </c>
      <c r="F48" s="5">
        <v>146</v>
      </c>
      <c r="G48" s="5">
        <f t="shared" si="0"/>
        <v>455</v>
      </c>
    </row>
    <row r="49" spans="1:7" x14ac:dyDescent="0.3">
      <c r="A49" s="4">
        <v>44974</v>
      </c>
      <c r="B49" s="5">
        <v>128</v>
      </c>
      <c r="C49" s="5">
        <v>133</v>
      </c>
      <c r="D49" s="5">
        <v>136</v>
      </c>
      <c r="E49" s="5">
        <v>13</v>
      </c>
      <c r="F49" s="5">
        <v>125</v>
      </c>
      <c r="G49" s="5">
        <f t="shared" si="0"/>
        <v>535</v>
      </c>
    </row>
    <row r="50" spans="1:7" x14ac:dyDescent="0.3">
      <c r="A50" s="4">
        <v>44975</v>
      </c>
      <c r="B50" s="5">
        <v>67</v>
      </c>
      <c r="C50" s="5">
        <v>64</v>
      </c>
      <c r="D50" s="5">
        <v>60</v>
      </c>
      <c r="E50" s="5">
        <v>11</v>
      </c>
      <c r="F50" s="5">
        <v>66</v>
      </c>
      <c r="G50" s="5">
        <f t="shared" si="0"/>
        <v>268</v>
      </c>
    </row>
    <row r="51" spans="1:7" x14ac:dyDescent="0.3">
      <c r="A51" s="4">
        <v>44976</v>
      </c>
      <c r="B51" s="5">
        <v>68</v>
      </c>
      <c r="C51" s="5">
        <v>72</v>
      </c>
      <c r="D51" s="5">
        <v>65</v>
      </c>
      <c r="E51" s="5">
        <v>13</v>
      </c>
      <c r="F51" s="5">
        <v>90</v>
      </c>
      <c r="G51" s="5">
        <f t="shared" si="0"/>
        <v>308</v>
      </c>
    </row>
    <row r="52" spans="1:7" x14ac:dyDescent="0.3">
      <c r="A52" s="4">
        <v>44977</v>
      </c>
      <c r="B52" s="5">
        <v>135</v>
      </c>
      <c r="C52" s="5">
        <v>103</v>
      </c>
      <c r="D52" s="5">
        <v>101</v>
      </c>
      <c r="E52" s="5">
        <v>18</v>
      </c>
      <c r="F52" s="5">
        <v>112</v>
      </c>
      <c r="G52" s="5">
        <f t="shared" si="0"/>
        <v>469</v>
      </c>
    </row>
    <row r="53" spans="1:7" x14ac:dyDescent="0.3">
      <c r="A53" s="4">
        <v>44978</v>
      </c>
      <c r="B53" s="5">
        <v>112</v>
      </c>
      <c r="C53" s="5">
        <v>95</v>
      </c>
      <c r="D53" s="5">
        <v>100</v>
      </c>
      <c r="E53" s="5">
        <v>54</v>
      </c>
      <c r="F53" s="5">
        <v>169</v>
      </c>
      <c r="G53" s="5">
        <f t="shared" si="0"/>
        <v>530</v>
      </c>
    </row>
    <row r="54" spans="1:7" x14ac:dyDescent="0.3">
      <c r="A54" s="4">
        <v>44979</v>
      </c>
      <c r="B54" s="5">
        <v>107</v>
      </c>
      <c r="C54" s="5">
        <v>69</v>
      </c>
      <c r="D54" s="5">
        <v>71</v>
      </c>
      <c r="E54" s="5">
        <v>32</v>
      </c>
      <c r="F54" s="5">
        <v>169</v>
      </c>
      <c r="G54" s="5">
        <f t="shared" si="0"/>
        <v>448</v>
      </c>
    </row>
    <row r="55" spans="1:7" x14ac:dyDescent="0.3">
      <c r="A55" s="4">
        <v>44980</v>
      </c>
      <c r="B55" s="5">
        <v>118</v>
      </c>
      <c r="C55" s="5">
        <v>127</v>
      </c>
      <c r="D55" s="5">
        <v>117</v>
      </c>
      <c r="E55" s="5">
        <v>49</v>
      </c>
      <c r="F55" s="5">
        <v>72</v>
      </c>
      <c r="G55" s="5">
        <f t="shared" si="0"/>
        <v>483</v>
      </c>
    </row>
    <row r="56" spans="1:7" x14ac:dyDescent="0.3">
      <c r="A56" s="4">
        <v>44981</v>
      </c>
      <c r="B56" s="5">
        <v>138</v>
      </c>
      <c r="C56" s="5">
        <v>126</v>
      </c>
      <c r="D56" s="5">
        <v>130</v>
      </c>
      <c r="E56" s="5">
        <v>53</v>
      </c>
      <c r="F56" s="5">
        <v>204</v>
      </c>
      <c r="G56" s="5">
        <f t="shared" si="0"/>
        <v>651</v>
      </c>
    </row>
    <row r="57" spans="1:7" x14ac:dyDescent="0.3">
      <c r="A57" s="4">
        <v>44982</v>
      </c>
      <c r="B57" s="5">
        <v>62</v>
      </c>
      <c r="C57" s="5">
        <v>61</v>
      </c>
      <c r="D57" s="5">
        <v>61</v>
      </c>
      <c r="E57" s="5">
        <v>33</v>
      </c>
      <c r="F57" s="5">
        <v>67</v>
      </c>
      <c r="G57" s="5">
        <f t="shared" si="0"/>
        <v>284</v>
      </c>
    </row>
    <row r="58" spans="1:7" x14ac:dyDescent="0.3">
      <c r="A58" s="4">
        <v>44983</v>
      </c>
      <c r="B58" s="5">
        <v>55</v>
      </c>
      <c r="C58" s="5">
        <v>49</v>
      </c>
      <c r="D58" s="5">
        <v>46</v>
      </c>
      <c r="E58" s="5">
        <v>26</v>
      </c>
      <c r="F58" s="5">
        <v>70</v>
      </c>
      <c r="G58" s="5">
        <f t="shared" si="0"/>
        <v>246</v>
      </c>
    </row>
    <row r="59" spans="1:7" x14ac:dyDescent="0.3">
      <c r="A59" s="4">
        <v>44984</v>
      </c>
      <c r="B59" s="5">
        <v>125</v>
      </c>
      <c r="C59" s="5">
        <v>107</v>
      </c>
      <c r="D59" s="5">
        <v>99</v>
      </c>
      <c r="E59" s="5">
        <v>17</v>
      </c>
      <c r="F59" s="5">
        <v>98</v>
      </c>
      <c r="G59" s="5">
        <f t="shared" si="0"/>
        <v>446</v>
      </c>
    </row>
    <row r="60" spans="1:7" x14ac:dyDescent="0.3">
      <c r="A60" s="4">
        <v>44985</v>
      </c>
      <c r="B60" s="5">
        <v>111</v>
      </c>
      <c r="C60" s="5">
        <v>102</v>
      </c>
      <c r="D60" s="5">
        <v>87</v>
      </c>
      <c r="E60" s="5">
        <v>21</v>
      </c>
      <c r="F60" s="5">
        <v>87</v>
      </c>
      <c r="G60" s="5">
        <f t="shared" si="0"/>
        <v>408</v>
      </c>
    </row>
    <row r="61" spans="1:7" x14ac:dyDescent="0.3">
      <c r="A61" s="4">
        <v>44986</v>
      </c>
      <c r="B61" s="5">
        <v>98</v>
      </c>
      <c r="C61" s="5">
        <v>77</v>
      </c>
      <c r="D61" s="5">
        <v>69</v>
      </c>
      <c r="E61" s="5">
        <v>47</v>
      </c>
      <c r="F61" s="5">
        <v>80</v>
      </c>
      <c r="G61" s="5">
        <f t="shared" si="0"/>
        <v>371</v>
      </c>
    </row>
    <row r="62" spans="1:7" x14ac:dyDescent="0.3">
      <c r="A62" s="4">
        <v>44987</v>
      </c>
      <c r="B62" s="5">
        <v>89</v>
      </c>
      <c r="C62" s="5">
        <v>73</v>
      </c>
      <c r="D62" s="5">
        <v>57</v>
      </c>
      <c r="E62" s="5">
        <v>27</v>
      </c>
      <c r="F62" s="5">
        <v>130</v>
      </c>
      <c r="G62" s="5">
        <f t="shared" si="0"/>
        <v>376</v>
      </c>
    </row>
    <row r="63" spans="1:7" x14ac:dyDescent="0.3">
      <c r="A63" s="4">
        <v>44988</v>
      </c>
      <c r="B63" s="5">
        <v>91</v>
      </c>
      <c r="C63" s="5">
        <v>102</v>
      </c>
      <c r="D63" s="5">
        <v>104</v>
      </c>
      <c r="E63" s="5">
        <v>53</v>
      </c>
      <c r="F63" s="5">
        <v>182</v>
      </c>
      <c r="G63" s="5">
        <f t="shared" si="0"/>
        <v>532</v>
      </c>
    </row>
    <row r="64" spans="1:7" x14ac:dyDescent="0.3">
      <c r="A64" s="4">
        <v>44989</v>
      </c>
      <c r="B64" s="5">
        <v>53</v>
      </c>
      <c r="C64" s="5">
        <v>46</v>
      </c>
      <c r="D64" s="5">
        <v>44</v>
      </c>
      <c r="E64" s="5">
        <v>10</v>
      </c>
      <c r="F64" s="5">
        <v>88</v>
      </c>
      <c r="G64" s="5">
        <f t="shared" si="0"/>
        <v>241</v>
      </c>
    </row>
    <row r="65" spans="1:7" x14ac:dyDescent="0.3">
      <c r="A65" s="4">
        <v>44990</v>
      </c>
      <c r="B65" s="5">
        <v>52</v>
      </c>
      <c r="C65" s="5">
        <v>24</v>
      </c>
      <c r="D65" s="5">
        <v>31</v>
      </c>
      <c r="E65" s="5">
        <v>16</v>
      </c>
      <c r="F65" s="5">
        <v>98</v>
      </c>
      <c r="G65" s="5">
        <f t="shared" si="0"/>
        <v>221</v>
      </c>
    </row>
    <row r="66" spans="1:7" x14ac:dyDescent="0.3">
      <c r="A66" s="4">
        <v>44991</v>
      </c>
      <c r="B66" s="5">
        <v>128</v>
      </c>
      <c r="C66" s="5">
        <v>104</v>
      </c>
      <c r="D66" s="5">
        <v>90</v>
      </c>
      <c r="E66" s="5">
        <v>27</v>
      </c>
      <c r="F66" s="5">
        <v>206</v>
      </c>
      <c r="G66" s="5">
        <f t="shared" si="0"/>
        <v>555</v>
      </c>
    </row>
    <row r="67" spans="1:7" x14ac:dyDescent="0.3">
      <c r="A67" s="4">
        <v>44992</v>
      </c>
      <c r="B67" s="5">
        <v>140</v>
      </c>
      <c r="C67" s="5">
        <v>101</v>
      </c>
      <c r="D67" s="5">
        <v>92</v>
      </c>
      <c r="E67" s="5">
        <v>32</v>
      </c>
      <c r="F67" s="5">
        <v>113</v>
      </c>
      <c r="G67" s="5">
        <f t="shared" ref="G67:G91" si="1">SUM(B67:F67)</f>
        <v>478</v>
      </c>
    </row>
    <row r="68" spans="1:7" x14ac:dyDescent="0.3">
      <c r="A68" s="4">
        <v>44993</v>
      </c>
      <c r="B68" s="5">
        <v>125</v>
      </c>
      <c r="C68" s="5">
        <v>117</v>
      </c>
      <c r="D68" s="5">
        <v>118</v>
      </c>
      <c r="E68" s="5">
        <v>33</v>
      </c>
      <c r="F68" s="5">
        <v>108</v>
      </c>
      <c r="G68" s="5">
        <f t="shared" si="1"/>
        <v>501</v>
      </c>
    </row>
    <row r="69" spans="1:7" x14ac:dyDescent="0.3">
      <c r="A69" s="4">
        <v>44994</v>
      </c>
      <c r="B69" s="5">
        <v>108</v>
      </c>
      <c r="C69" s="5">
        <v>103</v>
      </c>
      <c r="D69" s="5">
        <v>95</v>
      </c>
      <c r="E69" s="5">
        <v>12</v>
      </c>
      <c r="F69" s="5">
        <v>87</v>
      </c>
      <c r="G69" s="5">
        <f t="shared" si="1"/>
        <v>405</v>
      </c>
    </row>
    <row r="70" spans="1:7" x14ac:dyDescent="0.3">
      <c r="A70" s="4">
        <v>44995</v>
      </c>
      <c r="B70" s="5">
        <v>95</v>
      </c>
      <c r="C70" s="5">
        <v>74</v>
      </c>
      <c r="D70" s="5">
        <v>77</v>
      </c>
      <c r="E70" s="5">
        <v>54</v>
      </c>
      <c r="F70" s="5">
        <v>173</v>
      </c>
      <c r="G70" s="5">
        <f t="shared" si="1"/>
        <v>473</v>
      </c>
    </row>
    <row r="71" spans="1:7" x14ac:dyDescent="0.3">
      <c r="A71" s="4">
        <v>44996</v>
      </c>
      <c r="B71" s="5">
        <v>54</v>
      </c>
      <c r="C71" s="5">
        <v>52</v>
      </c>
      <c r="D71" s="5">
        <v>47</v>
      </c>
      <c r="E71" s="5">
        <v>18</v>
      </c>
      <c r="F71" s="5">
        <v>93</v>
      </c>
      <c r="G71" s="5">
        <f t="shared" si="1"/>
        <v>264</v>
      </c>
    </row>
    <row r="72" spans="1:7" x14ac:dyDescent="0.3">
      <c r="A72" s="4">
        <v>44997</v>
      </c>
      <c r="B72" s="5">
        <v>43</v>
      </c>
      <c r="C72" s="5">
        <v>45</v>
      </c>
      <c r="D72" s="5">
        <v>51</v>
      </c>
      <c r="E72" s="5">
        <v>17</v>
      </c>
      <c r="F72" s="5">
        <v>60</v>
      </c>
      <c r="G72" s="5">
        <f t="shared" si="1"/>
        <v>216</v>
      </c>
    </row>
    <row r="73" spans="1:7" x14ac:dyDescent="0.3">
      <c r="A73" s="4">
        <v>44998</v>
      </c>
      <c r="B73" s="5">
        <v>128</v>
      </c>
      <c r="C73" s="5">
        <v>116</v>
      </c>
      <c r="D73" s="5">
        <v>100</v>
      </c>
      <c r="E73" s="5">
        <v>11</v>
      </c>
      <c r="F73" s="5">
        <v>98</v>
      </c>
      <c r="G73" s="5">
        <f t="shared" si="1"/>
        <v>453</v>
      </c>
    </row>
    <row r="74" spans="1:7" x14ac:dyDescent="0.3">
      <c r="A74" s="4">
        <v>44999</v>
      </c>
      <c r="B74" s="5">
        <v>102</v>
      </c>
      <c r="C74" s="5">
        <v>88</v>
      </c>
      <c r="D74" s="5">
        <v>85</v>
      </c>
      <c r="E74" s="5">
        <v>18</v>
      </c>
      <c r="F74" s="5">
        <v>207</v>
      </c>
      <c r="G74" s="5">
        <f t="shared" si="1"/>
        <v>500</v>
      </c>
    </row>
    <row r="75" spans="1:7" x14ac:dyDescent="0.3">
      <c r="A75" s="4">
        <v>45000</v>
      </c>
      <c r="B75" s="5">
        <v>95</v>
      </c>
      <c r="C75" s="5">
        <v>74</v>
      </c>
      <c r="D75" s="5">
        <v>61</v>
      </c>
      <c r="E75" s="5">
        <v>27</v>
      </c>
      <c r="F75" s="5">
        <v>179</v>
      </c>
      <c r="G75" s="5">
        <f t="shared" si="1"/>
        <v>436</v>
      </c>
    </row>
    <row r="76" spans="1:7" x14ac:dyDescent="0.3">
      <c r="A76" s="4">
        <v>45001</v>
      </c>
      <c r="B76" s="5">
        <v>137</v>
      </c>
      <c r="C76" s="5">
        <v>135</v>
      </c>
      <c r="D76" s="5">
        <v>121</v>
      </c>
      <c r="E76" s="5">
        <v>56</v>
      </c>
      <c r="F76" s="5">
        <v>96</v>
      </c>
      <c r="G76" s="5">
        <f t="shared" si="1"/>
        <v>545</v>
      </c>
    </row>
    <row r="77" spans="1:7" x14ac:dyDescent="0.3">
      <c r="A77" s="4">
        <v>45002</v>
      </c>
      <c r="B77" s="5">
        <v>133</v>
      </c>
      <c r="C77" s="5">
        <v>89</v>
      </c>
      <c r="D77" s="5">
        <v>80</v>
      </c>
      <c r="E77" s="5">
        <v>24</v>
      </c>
      <c r="F77" s="5">
        <v>159</v>
      </c>
      <c r="G77" s="5">
        <f t="shared" si="1"/>
        <v>485</v>
      </c>
    </row>
    <row r="78" spans="1:7" x14ac:dyDescent="0.3">
      <c r="A78" s="4">
        <v>45003</v>
      </c>
      <c r="B78" s="5">
        <v>63</v>
      </c>
      <c r="C78" s="5">
        <v>61</v>
      </c>
      <c r="D78" s="5">
        <v>70</v>
      </c>
      <c r="E78" s="5">
        <v>33</v>
      </c>
      <c r="F78" s="5">
        <v>67</v>
      </c>
      <c r="G78" s="5">
        <f t="shared" si="1"/>
        <v>294</v>
      </c>
    </row>
    <row r="79" spans="1:7" x14ac:dyDescent="0.3">
      <c r="A79" s="4">
        <v>45004</v>
      </c>
      <c r="B79" s="5">
        <v>52</v>
      </c>
      <c r="C79" s="5">
        <v>54</v>
      </c>
      <c r="D79" s="5">
        <v>46</v>
      </c>
      <c r="E79" s="5">
        <v>24</v>
      </c>
      <c r="F79" s="5">
        <v>70</v>
      </c>
      <c r="G79" s="5">
        <f t="shared" si="1"/>
        <v>246</v>
      </c>
    </row>
    <row r="80" spans="1:7" x14ac:dyDescent="0.3">
      <c r="A80" s="4">
        <v>45005</v>
      </c>
      <c r="B80" s="5">
        <v>88</v>
      </c>
      <c r="C80" s="5">
        <v>46</v>
      </c>
      <c r="D80" s="5">
        <v>44</v>
      </c>
      <c r="E80" s="5">
        <v>29</v>
      </c>
      <c r="F80" s="5">
        <v>85</v>
      </c>
      <c r="G80" s="5">
        <f t="shared" si="1"/>
        <v>292</v>
      </c>
    </row>
    <row r="81" spans="1:7" x14ac:dyDescent="0.3">
      <c r="A81" s="4">
        <v>45006</v>
      </c>
      <c r="B81" s="5">
        <v>86</v>
      </c>
      <c r="C81" s="5">
        <v>96</v>
      </c>
      <c r="D81" s="5">
        <v>83</v>
      </c>
      <c r="E81" s="5">
        <v>19</v>
      </c>
      <c r="F81" s="5">
        <v>175</v>
      </c>
      <c r="G81" s="5">
        <f t="shared" si="1"/>
        <v>459</v>
      </c>
    </row>
    <row r="82" spans="1:7" x14ac:dyDescent="0.3">
      <c r="A82" s="4">
        <v>45007</v>
      </c>
      <c r="B82" s="5">
        <v>100</v>
      </c>
      <c r="C82" s="5">
        <v>74</v>
      </c>
      <c r="D82" s="5">
        <v>62</v>
      </c>
      <c r="E82" s="5">
        <v>46</v>
      </c>
      <c r="F82" s="5">
        <v>205</v>
      </c>
      <c r="G82" s="5">
        <f t="shared" si="1"/>
        <v>487</v>
      </c>
    </row>
    <row r="83" spans="1:7" x14ac:dyDescent="0.3">
      <c r="A83" s="4">
        <v>45008</v>
      </c>
      <c r="B83" s="5">
        <v>85</v>
      </c>
      <c r="C83" s="5">
        <v>47</v>
      </c>
      <c r="D83" s="5">
        <v>45</v>
      </c>
      <c r="E83" s="5">
        <v>35</v>
      </c>
      <c r="F83" s="5">
        <v>135</v>
      </c>
      <c r="G83" s="5">
        <f t="shared" si="1"/>
        <v>347</v>
      </c>
    </row>
    <row r="84" spans="1:7" x14ac:dyDescent="0.3">
      <c r="A84" s="4">
        <v>45009</v>
      </c>
      <c r="B84" s="5">
        <v>96</v>
      </c>
      <c r="C84" s="5">
        <v>69</v>
      </c>
      <c r="D84" s="5">
        <v>57</v>
      </c>
      <c r="E84" s="5">
        <v>39</v>
      </c>
      <c r="F84" s="5">
        <v>174</v>
      </c>
      <c r="G84" s="5">
        <f t="shared" si="1"/>
        <v>435</v>
      </c>
    </row>
    <row r="85" spans="1:7" x14ac:dyDescent="0.3">
      <c r="A85" s="4">
        <v>45010</v>
      </c>
      <c r="B85" s="5">
        <v>62</v>
      </c>
      <c r="C85" s="5">
        <v>61</v>
      </c>
      <c r="D85" s="5">
        <v>53</v>
      </c>
      <c r="E85" s="5">
        <v>33</v>
      </c>
      <c r="F85" s="5">
        <v>67</v>
      </c>
      <c r="G85" s="5">
        <f t="shared" si="1"/>
        <v>276</v>
      </c>
    </row>
    <row r="86" spans="1:7" x14ac:dyDescent="0.3">
      <c r="A86" s="4">
        <v>45011</v>
      </c>
      <c r="B86" s="5">
        <v>58</v>
      </c>
      <c r="C86" s="5">
        <v>54</v>
      </c>
      <c r="D86" s="5">
        <v>46</v>
      </c>
      <c r="E86" s="5">
        <v>28</v>
      </c>
      <c r="F86" s="5">
        <v>70</v>
      </c>
      <c r="G86" s="5">
        <f t="shared" si="1"/>
        <v>256</v>
      </c>
    </row>
    <row r="87" spans="1:7" x14ac:dyDescent="0.3">
      <c r="A87" s="4">
        <v>45012</v>
      </c>
      <c r="B87" s="5">
        <v>89</v>
      </c>
      <c r="C87" s="5">
        <v>87</v>
      </c>
      <c r="D87" s="5">
        <v>82</v>
      </c>
      <c r="E87" s="5">
        <v>26</v>
      </c>
      <c r="F87" s="5">
        <v>124</v>
      </c>
      <c r="G87" s="5">
        <f t="shared" si="1"/>
        <v>408</v>
      </c>
    </row>
    <row r="88" spans="1:7" x14ac:dyDescent="0.3">
      <c r="A88" s="4">
        <v>45013</v>
      </c>
      <c r="B88" s="5">
        <v>122</v>
      </c>
      <c r="C88" s="5">
        <v>103</v>
      </c>
      <c r="D88" s="5">
        <v>88</v>
      </c>
      <c r="E88" s="5">
        <v>47</v>
      </c>
      <c r="F88" s="5">
        <v>178</v>
      </c>
      <c r="G88" s="5">
        <f t="shared" si="1"/>
        <v>538</v>
      </c>
    </row>
    <row r="89" spans="1:7" x14ac:dyDescent="0.3">
      <c r="A89" s="4">
        <v>45014</v>
      </c>
      <c r="B89" s="5">
        <v>133</v>
      </c>
      <c r="C89" s="5">
        <v>108</v>
      </c>
      <c r="D89" s="5">
        <v>100</v>
      </c>
      <c r="E89" s="5">
        <v>46</v>
      </c>
      <c r="F89" s="5">
        <v>141</v>
      </c>
      <c r="G89" s="5">
        <f t="shared" si="1"/>
        <v>528</v>
      </c>
    </row>
    <row r="90" spans="1:7" x14ac:dyDescent="0.3">
      <c r="A90" s="4">
        <v>45015</v>
      </c>
      <c r="B90" s="5">
        <v>126</v>
      </c>
      <c r="C90" s="5">
        <v>123</v>
      </c>
      <c r="D90" s="5">
        <v>118</v>
      </c>
      <c r="E90" s="5">
        <v>12</v>
      </c>
      <c r="F90" s="5">
        <v>181</v>
      </c>
      <c r="G90" s="5">
        <f t="shared" si="1"/>
        <v>560</v>
      </c>
    </row>
    <row r="91" spans="1:7" x14ac:dyDescent="0.3">
      <c r="A91" s="4">
        <v>45016</v>
      </c>
      <c r="B91" s="5">
        <v>115</v>
      </c>
      <c r="C91" s="5">
        <v>70</v>
      </c>
      <c r="D91" s="5">
        <v>73</v>
      </c>
      <c r="E91" s="5">
        <v>20</v>
      </c>
      <c r="F91" s="5">
        <v>73</v>
      </c>
      <c r="G91" s="5">
        <f t="shared" si="1"/>
        <v>351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148E-7B30-4990-B9C5-ADB675F841E3}">
  <dimension ref="A1:N41"/>
  <sheetViews>
    <sheetView zoomScale="70" zoomScaleNormal="70" workbookViewId="0"/>
  </sheetViews>
  <sheetFormatPr defaultRowHeight="13.8" x14ac:dyDescent="0.3"/>
  <cols>
    <col min="1" max="1" width="13.88671875" style="1" customWidth="1"/>
    <col min="2" max="2" width="30.33203125" style="1" customWidth="1"/>
    <col min="3" max="3" width="19.44140625" style="1" customWidth="1"/>
    <col min="4" max="4" width="3.6640625" style="1" customWidth="1"/>
    <col min="5" max="5" width="17.33203125" style="1" customWidth="1"/>
    <col min="6" max="6" width="32.88671875" style="1" customWidth="1"/>
    <col min="7" max="7" width="16.6640625" style="1" customWidth="1"/>
    <col min="8" max="8" width="15.5546875" style="1" customWidth="1"/>
    <col min="9" max="10" width="8.88671875" style="1"/>
    <col min="11" max="11" width="19.5546875" style="1" customWidth="1"/>
    <col min="12" max="12" width="8.88671875" style="1"/>
    <col min="13" max="13" width="22.6640625" style="1" customWidth="1"/>
    <col min="14" max="14" width="19" style="1" customWidth="1"/>
    <col min="15" max="16384" width="8.88671875" style="1"/>
  </cols>
  <sheetData>
    <row r="1" spans="1:14" x14ac:dyDescent="0.3">
      <c r="B1" s="7" t="s">
        <v>31</v>
      </c>
      <c r="F1" s="7" t="s">
        <v>36</v>
      </c>
    </row>
    <row r="2" spans="1:14" x14ac:dyDescent="0.3">
      <c r="B2" s="9">
        <f>INDEX(ESub[],ROWS(ESub[SUBSCRIBED]),2)</f>
        <v>6537</v>
      </c>
      <c r="F2" s="9">
        <f>SUM(K11:K40)</f>
        <v>12158</v>
      </c>
    </row>
    <row r="4" spans="1:14" x14ac:dyDescent="0.3">
      <c r="B4" s="7" t="s">
        <v>32</v>
      </c>
      <c r="C4" s="7" t="s">
        <v>35</v>
      </c>
      <c r="F4" s="7" t="s">
        <v>37</v>
      </c>
      <c r="G4" s="7" t="s">
        <v>35</v>
      </c>
    </row>
    <row r="5" spans="1:14" x14ac:dyDescent="0.3">
      <c r="B5" s="9">
        <f>INDEX(ESub[],ROWS(ESub[SUBSCRIBED])-1,2)</f>
        <v>6540</v>
      </c>
      <c r="C5" s="10">
        <f>B2-B5</f>
        <v>-3</v>
      </c>
      <c r="F5" s="9">
        <f>F2-K40+N17</f>
        <v>12178</v>
      </c>
      <c r="G5" s="10">
        <f>F2-F5</f>
        <v>-20</v>
      </c>
    </row>
    <row r="7" spans="1:14" x14ac:dyDescent="0.3">
      <c r="B7" s="7" t="s">
        <v>33</v>
      </c>
      <c r="C7" s="7" t="s">
        <v>35</v>
      </c>
      <c r="F7" s="7" t="s">
        <v>38</v>
      </c>
      <c r="G7" s="7" t="s">
        <v>35</v>
      </c>
    </row>
    <row r="8" spans="1:14" x14ac:dyDescent="0.3">
      <c r="B8" s="9">
        <f>INDEX(ESub[],ROWS(ESub[SUBSCRIBED])-7,2)</f>
        <v>6510</v>
      </c>
      <c r="C8" s="10">
        <f>B2-B8</f>
        <v>27</v>
      </c>
      <c r="F8" s="9">
        <f>F2-SUM(K34:K40)+SUM(N11:N17)</f>
        <v>12130</v>
      </c>
      <c r="G8" s="10">
        <f>F2-F8</f>
        <v>28</v>
      </c>
    </row>
    <row r="10" spans="1:14" x14ac:dyDescent="0.3">
      <c r="B10" s="7" t="s">
        <v>34</v>
      </c>
      <c r="F10" s="7" t="s">
        <v>26</v>
      </c>
      <c r="G10" s="7" t="s">
        <v>27</v>
      </c>
      <c r="H10" s="7" t="s">
        <v>40</v>
      </c>
      <c r="I10" s="7" t="s">
        <v>28</v>
      </c>
      <c r="J10" s="7" t="s">
        <v>29</v>
      </c>
      <c r="K10" s="7" t="s">
        <v>30</v>
      </c>
      <c r="M10" s="23" t="s">
        <v>39</v>
      </c>
      <c r="N10" s="23"/>
    </row>
    <row r="11" spans="1:14" x14ac:dyDescent="0.3">
      <c r="A11" s="8">
        <f>INDEX(ESub[],ROWS(ESub[SUBSCRIBED])-29,1)</f>
        <v>44987</v>
      </c>
      <c r="B11" s="9">
        <f>INDEX(ESub[],ROWS(ESub[SUBSCRIBED])-29,2)</f>
        <v>5799</v>
      </c>
      <c r="E11" s="8">
        <f>INDEX(Google[], ROWS(Google[DATE])+ROW(Calc!E11)-40, COLUMN(Calc!E11)-4)</f>
        <v>44987</v>
      </c>
      <c r="F11" s="9">
        <f>INDEX(Google[], ROWS(Google[DATE])+ROW(Calc!F11)-40, COLUMN(Calc!F11)-4)</f>
        <v>89</v>
      </c>
      <c r="G11" s="9">
        <f>INDEX(Google[], ROWS(Google[DATE])+ROW(Calc!G11)-40, COLUMN(Calc!G11)-4)</f>
        <v>73</v>
      </c>
      <c r="H11" s="9">
        <f>INDEX(Google[], ROWS(Google[DATE])+ROW(Calc!H11)-40, COLUMN(Calc!H11)-4)</f>
        <v>57</v>
      </c>
      <c r="I11" s="9">
        <f>INDEX(Google[], ROWS(Google[DATE])+ROW(Calc!I11)-40, COLUMN(Calc!I11)-4)</f>
        <v>27</v>
      </c>
      <c r="J11" s="9">
        <f>INDEX(Google[], ROWS(Google[DATE])+ROW(Calc!J11)-40, COLUMN(Calc!J11)-4)</f>
        <v>130</v>
      </c>
      <c r="K11" s="9">
        <f>INDEX(Google[], ROWS(Google[DATE])+ROW(Calc!K11)-40, COLUMN(Calc!K11)-4)</f>
        <v>376</v>
      </c>
      <c r="M11" s="8">
        <f>INDEX(Google[], ROWS(Google[DATE])+ROW(Calc!M11)-47, COLUMN(Calc!M11)-12)</f>
        <v>44980</v>
      </c>
      <c r="N11" s="9">
        <f>INDEX(Google[], ROWS(Google[DATE])+ROW(Calc!N11)-47, COLUMN(Calc!N11)-7)</f>
        <v>483</v>
      </c>
    </row>
    <row r="12" spans="1:14" x14ac:dyDescent="0.3">
      <c r="A12" s="8">
        <f>INDEX(ESub[],ROWS(ESub[SUBSCRIBED])-28,1)</f>
        <v>44988</v>
      </c>
      <c r="B12" s="9">
        <f>INDEX(ESub[],ROWS(ESub[SUBSCRIBED])-28,2)</f>
        <v>5780</v>
      </c>
      <c r="E12" s="8">
        <f>INDEX(Google[], ROWS(Google[DATE])+ROW(Calc!E12)-40, COLUMN(Calc!E12)-4)</f>
        <v>44988</v>
      </c>
      <c r="F12" s="9">
        <f>INDEX(Google[], ROWS(Google[DATE])+ROW(Calc!F12)-40, COLUMN(Calc!F12)-4)</f>
        <v>91</v>
      </c>
      <c r="G12" s="9">
        <f>INDEX(Google[], ROWS(Google[DATE])+ROW(Calc!G12)-40, COLUMN(Calc!G12)-4)</f>
        <v>102</v>
      </c>
      <c r="H12" s="9">
        <f>INDEX(Google[], ROWS(Google[DATE])+ROW(Calc!H12)-40, COLUMN(Calc!H12)-4)</f>
        <v>104</v>
      </c>
      <c r="I12" s="9">
        <f>INDEX(Google[], ROWS(Google[DATE])+ROW(Calc!I12)-40, COLUMN(Calc!I12)-4)</f>
        <v>53</v>
      </c>
      <c r="J12" s="9">
        <f>INDEX(Google[], ROWS(Google[DATE])+ROW(Calc!J12)-40, COLUMN(Calc!J12)-4)</f>
        <v>182</v>
      </c>
      <c r="K12" s="9">
        <f>INDEX(Google[], ROWS(Google[DATE])+ROW(Calc!K12)-40, COLUMN(Calc!K12)-4)</f>
        <v>532</v>
      </c>
      <c r="M12" s="8">
        <f>INDEX(Google[], ROWS(Google[DATE])+ROW(Calc!M12)-47, COLUMN(Calc!M12)-12)</f>
        <v>44981</v>
      </c>
      <c r="N12" s="9">
        <f>INDEX(Google[], ROWS(Google[DATE])+ROW(Calc!N12)-47, COLUMN(Calc!N12)-7)</f>
        <v>651</v>
      </c>
    </row>
    <row r="13" spans="1:14" x14ac:dyDescent="0.3">
      <c r="A13" s="8">
        <f>INDEX(ESub[],ROWS(ESub[SUBSCRIBED])-27,1)</f>
        <v>44989</v>
      </c>
      <c r="B13" s="9">
        <f>INDEX(ESub[],ROWS(ESub[SUBSCRIBED])-27,2)</f>
        <v>5822</v>
      </c>
      <c r="E13" s="8">
        <f>INDEX(Google[], ROWS(Google[DATE])+ROW(Calc!E13)-40, COLUMN(Calc!E13)-4)</f>
        <v>44989</v>
      </c>
      <c r="F13" s="9">
        <f>INDEX(Google[], ROWS(Google[DATE])+ROW(Calc!F13)-40, COLUMN(Calc!F13)-4)</f>
        <v>53</v>
      </c>
      <c r="G13" s="9">
        <f>INDEX(Google[], ROWS(Google[DATE])+ROW(Calc!G13)-40, COLUMN(Calc!G13)-4)</f>
        <v>46</v>
      </c>
      <c r="H13" s="9">
        <f>INDEX(Google[], ROWS(Google[DATE])+ROW(Calc!H13)-40, COLUMN(Calc!H13)-4)</f>
        <v>44</v>
      </c>
      <c r="I13" s="9">
        <f>INDEX(Google[], ROWS(Google[DATE])+ROW(Calc!I13)-40, COLUMN(Calc!I13)-4)</f>
        <v>10</v>
      </c>
      <c r="J13" s="9">
        <f>INDEX(Google[], ROWS(Google[DATE])+ROW(Calc!J13)-40, COLUMN(Calc!J13)-4)</f>
        <v>88</v>
      </c>
      <c r="K13" s="9">
        <f>INDEX(Google[], ROWS(Google[DATE])+ROW(Calc!K13)-40, COLUMN(Calc!K13)-4)</f>
        <v>241</v>
      </c>
      <c r="M13" s="8">
        <f>INDEX(Google[], ROWS(Google[DATE])+ROW(Calc!M13)-47, COLUMN(Calc!M13)-12)</f>
        <v>44982</v>
      </c>
      <c r="N13" s="9">
        <f>INDEX(Google[], ROWS(Google[DATE])+ROW(Calc!N13)-47, COLUMN(Calc!N13)-7)</f>
        <v>284</v>
      </c>
    </row>
    <row r="14" spans="1:14" x14ac:dyDescent="0.3">
      <c r="A14" s="8">
        <f>INDEX(ESub[],ROWS(ESub[SUBSCRIBED])-26,1)</f>
        <v>44990</v>
      </c>
      <c r="B14" s="9">
        <f>INDEX(ESub[],ROWS(ESub[SUBSCRIBED])-26,2)</f>
        <v>5814</v>
      </c>
      <c r="E14" s="8">
        <f>INDEX(Google[], ROWS(Google[DATE])+ROW(Calc!E14)-40, COLUMN(Calc!E14)-4)</f>
        <v>44990</v>
      </c>
      <c r="F14" s="9">
        <f>INDEX(Google[], ROWS(Google[DATE])+ROW(Calc!F14)-40, COLUMN(Calc!F14)-4)</f>
        <v>52</v>
      </c>
      <c r="G14" s="9">
        <f>INDEX(Google[], ROWS(Google[DATE])+ROW(Calc!G14)-40, COLUMN(Calc!G14)-4)</f>
        <v>24</v>
      </c>
      <c r="H14" s="9">
        <f>INDEX(Google[], ROWS(Google[DATE])+ROW(Calc!H14)-40, COLUMN(Calc!H14)-4)</f>
        <v>31</v>
      </c>
      <c r="I14" s="9">
        <f>INDEX(Google[], ROWS(Google[DATE])+ROW(Calc!I14)-40, COLUMN(Calc!I14)-4)</f>
        <v>16</v>
      </c>
      <c r="J14" s="9">
        <f>INDEX(Google[], ROWS(Google[DATE])+ROW(Calc!J14)-40, COLUMN(Calc!J14)-4)</f>
        <v>98</v>
      </c>
      <c r="K14" s="9">
        <f>INDEX(Google[], ROWS(Google[DATE])+ROW(Calc!K14)-40, COLUMN(Calc!K14)-4)</f>
        <v>221</v>
      </c>
      <c r="M14" s="8">
        <f>INDEX(Google[], ROWS(Google[DATE])+ROW(Calc!M14)-47, COLUMN(Calc!M14)-12)</f>
        <v>44983</v>
      </c>
      <c r="N14" s="9">
        <f>INDEX(Google[], ROWS(Google[DATE])+ROW(Calc!N14)-47, COLUMN(Calc!N14)-7)</f>
        <v>246</v>
      </c>
    </row>
    <row r="15" spans="1:14" x14ac:dyDescent="0.3">
      <c r="A15" s="8">
        <f>INDEX(ESub[],ROWS(ESub[SUBSCRIBED])-25,1)</f>
        <v>44991</v>
      </c>
      <c r="B15" s="9">
        <f>INDEX(ESub[],ROWS(ESub[SUBSCRIBED])-25,2)</f>
        <v>5804</v>
      </c>
      <c r="E15" s="8">
        <f>INDEX(Google[], ROWS(Google[DATE])+ROW(Calc!E15)-40, COLUMN(Calc!E15)-4)</f>
        <v>44991</v>
      </c>
      <c r="F15" s="9">
        <f>INDEX(Google[], ROWS(Google[DATE])+ROW(Calc!F15)-40, COLUMN(Calc!F15)-4)</f>
        <v>128</v>
      </c>
      <c r="G15" s="9">
        <f>INDEX(Google[], ROWS(Google[DATE])+ROW(Calc!G15)-40, COLUMN(Calc!G15)-4)</f>
        <v>104</v>
      </c>
      <c r="H15" s="9">
        <f>INDEX(Google[], ROWS(Google[DATE])+ROW(Calc!H15)-40, COLUMN(Calc!H15)-4)</f>
        <v>90</v>
      </c>
      <c r="I15" s="9">
        <f>INDEX(Google[], ROWS(Google[DATE])+ROW(Calc!I15)-40, COLUMN(Calc!I15)-4)</f>
        <v>27</v>
      </c>
      <c r="J15" s="9">
        <f>INDEX(Google[], ROWS(Google[DATE])+ROW(Calc!J15)-40, COLUMN(Calc!J15)-4)</f>
        <v>206</v>
      </c>
      <c r="K15" s="9">
        <f>INDEX(Google[], ROWS(Google[DATE])+ROW(Calc!K15)-40, COLUMN(Calc!K15)-4)</f>
        <v>555</v>
      </c>
      <c r="M15" s="8">
        <f>INDEX(Google[], ROWS(Google[DATE])+ROW(Calc!M15)-47, COLUMN(Calc!M15)-12)</f>
        <v>44984</v>
      </c>
      <c r="N15" s="9">
        <f>INDEX(Google[], ROWS(Google[DATE])+ROW(Calc!N15)-47, COLUMN(Calc!N15)-7)</f>
        <v>446</v>
      </c>
    </row>
    <row r="16" spans="1:14" x14ac:dyDescent="0.3">
      <c r="A16" s="8">
        <f>INDEX(ESub[],ROWS(ESub[SUBSCRIBED])-24,1)</f>
        <v>44992</v>
      </c>
      <c r="B16" s="9">
        <f>INDEX(ESub[],ROWS(ESub[SUBSCRIBED])-24,2)</f>
        <v>5800</v>
      </c>
      <c r="E16" s="8">
        <f>INDEX(Google[], ROWS(Google[DATE])+ROW(Calc!E16)-40, COLUMN(Calc!E16)-4)</f>
        <v>44992</v>
      </c>
      <c r="F16" s="9">
        <f>INDEX(Google[], ROWS(Google[DATE])+ROW(Calc!F16)-40, COLUMN(Calc!F16)-4)</f>
        <v>140</v>
      </c>
      <c r="G16" s="9">
        <f>INDEX(Google[], ROWS(Google[DATE])+ROW(Calc!G16)-40, COLUMN(Calc!G16)-4)</f>
        <v>101</v>
      </c>
      <c r="H16" s="9">
        <f>INDEX(Google[], ROWS(Google[DATE])+ROW(Calc!H16)-40, COLUMN(Calc!H16)-4)</f>
        <v>92</v>
      </c>
      <c r="I16" s="9">
        <f>INDEX(Google[], ROWS(Google[DATE])+ROW(Calc!I16)-40, COLUMN(Calc!I16)-4)</f>
        <v>32</v>
      </c>
      <c r="J16" s="9">
        <f>INDEX(Google[], ROWS(Google[DATE])+ROW(Calc!J16)-40, COLUMN(Calc!J16)-4)</f>
        <v>113</v>
      </c>
      <c r="K16" s="9">
        <f>INDEX(Google[], ROWS(Google[DATE])+ROW(Calc!K16)-40, COLUMN(Calc!K16)-4)</f>
        <v>478</v>
      </c>
      <c r="M16" s="8">
        <f>INDEX(Google[], ROWS(Google[DATE])+ROW(Calc!M16)-47, COLUMN(Calc!M16)-12)</f>
        <v>44985</v>
      </c>
      <c r="N16" s="9">
        <f>INDEX(Google[], ROWS(Google[DATE])+ROW(Calc!N16)-47, COLUMN(Calc!N16)-7)</f>
        <v>408</v>
      </c>
    </row>
    <row r="17" spans="1:14" x14ac:dyDescent="0.3">
      <c r="A17" s="8">
        <f>INDEX(ESub[],ROWS(ESub[SUBSCRIBED])-23,1)</f>
        <v>44993</v>
      </c>
      <c r="B17" s="9">
        <f>INDEX(ESub[],ROWS(ESub[SUBSCRIBED])-23,2)</f>
        <v>5870</v>
      </c>
      <c r="E17" s="8">
        <f>INDEX(Google[], ROWS(Google[DATE])+ROW(Calc!E17)-40, COLUMN(Calc!E17)-4)</f>
        <v>44993</v>
      </c>
      <c r="F17" s="9">
        <f>INDEX(Google[], ROWS(Google[DATE])+ROW(Calc!F17)-40, COLUMN(Calc!F17)-4)</f>
        <v>125</v>
      </c>
      <c r="G17" s="9">
        <f>INDEX(Google[], ROWS(Google[DATE])+ROW(Calc!G17)-40, COLUMN(Calc!G17)-4)</f>
        <v>117</v>
      </c>
      <c r="H17" s="9">
        <f>INDEX(Google[], ROWS(Google[DATE])+ROW(Calc!H17)-40, COLUMN(Calc!H17)-4)</f>
        <v>118</v>
      </c>
      <c r="I17" s="9">
        <f>INDEX(Google[], ROWS(Google[DATE])+ROW(Calc!I17)-40, COLUMN(Calc!I17)-4)</f>
        <v>33</v>
      </c>
      <c r="J17" s="9">
        <f>INDEX(Google[], ROWS(Google[DATE])+ROW(Calc!J17)-40, COLUMN(Calc!J17)-4)</f>
        <v>108</v>
      </c>
      <c r="K17" s="9">
        <f>INDEX(Google[], ROWS(Google[DATE])+ROW(Calc!K17)-40, COLUMN(Calc!K17)-4)</f>
        <v>501</v>
      </c>
      <c r="M17" s="8">
        <f>INDEX(Google[], ROWS(Google[DATE])+ROW(Calc!M17)-47, COLUMN(Calc!M17)-12)</f>
        <v>44986</v>
      </c>
      <c r="N17" s="9">
        <f>INDEX(Google[], ROWS(Google[DATE])+ROW(Calc!N17)-47, COLUMN(Calc!N17)-7)</f>
        <v>371</v>
      </c>
    </row>
    <row r="18" spans="1:14" x14ac:dyDescent="0.3">
      <c r="A18" s="8">
        <f>INDEX(ESub[],ROWS(ESub[SUBSCRIBED])-22,1)</f>
        <v>44994</v>
      </c>
      <c r="B18" s="9">
        <f>INDEX(ESub[],ROWS(ESub[SUBSCRIBED])-22,2)</f>
        <v>5866</v>
      </c>
      <c r="E18" s="8">
        <f>INDEX(Google[], ROWS(Google[DATE])+ROW(Calc!E18)-40, COLUMN(Calc!E18)-4)</f>
        <v>44994</v>
      </c>
      <c r="F18" s="9">
        <f>INDEX(Google[], ROWS(Google[DATE])+ROW(Calc!F18)-40, COLUMN(Calc!F18)-4)</f>
        <v>108</v>
      </c>
      <c r="G18" s="9">
        <f>INDEX(Google[], ROWS(Google[DATE])+ROW(Calc!G18)-40, COLUMN(Calc!G18)-4)</f>
        <v>103</v>
      </c>
      <c r="H18" s="9">
        <f>INDEX(Google[], ROWS(Google[DATE])+ROW(Calc!H18)-40, COLUMN(Calc!H18)-4)</f>
        <v>95</v>
      </c>
      <c r="I18" s="9">
        <f>INDEX(Google[], ROWS(Google[DATE])+ROW(Calc!I18)-40, COLUMN(Calc!I18)-4)</f>
        <v>12</v>
      </c>
      <c r="J18" s="9">
        <f>INDEX(Google[], ROWS(Google[DATE])+ROW(Calc!J18)-40, COLUMN(Calc!J18)-4)</f>
        <v>87</v>
      </c>
      <c r="K18" s="9">
        <f>INDEX(Google[], ROWS(Google[DATE])+ROW(Calc!K18)-40, COLUMN(Calc!K18)-4)</f>
        <v>405</v>
      </c>
    </row>
    <row r="19" spans="1:14" x14ac:dyDescent="0.3">
      <c r="A19" s="8">
        <f>INDEX(ESub[],ROWS(ESub[SUBSCRIBED])-21,1)</f>
        <v>44995</v>
      </c>
      <c r="B19" s="9">
        <f>INDEX(ESub[],ROWS(ESub[SUBSCRIBED])-21,2)</f>
        <v>5860</v>
      </c>
      <c r="E19" s="8">
        <f>INDEX(Google[], ROWS(Google[DATE])+ROW(Calc!E19)-40, COLUMN(Calc!E19)-4)</f>
        <v>44995</v>
      </c>
      <c r="F19" s="9">
        <f>INDEX(Google[], ROWS(Google[DATE])+ROW(Calc!F19)-40, COLUMN(Calc!F19)-4)</f>
        <v>95</v>
      </c>
      <c r="G19" s="9">
        <f>INDEX(Google[], ROWS(Google[DATE])+ROW(Calc!G19)-40, COLUMN(Calc!G19)-4)</f>
        <v>74</v>
      </c>
      <c r="H19" s="9">
        <f>INDEX(Google[], ROWS(Google[DATE])+ROW(Calc!H19)-40, COLUMN(Calc!H19)-4)</f>
        <v>77</v>
      </c>
      <c r="I19" s="9">
        <f>INDEX(Google[], ROWS(Google[DATE])+ROW(Calc!I19)-40, COLUMN(Calc!I19)-4)</f>
        <v>54</v>
      </c>
      <c r="J19" s="9">
        <f>INDEX(Google[], ROWS(Google[DATE])+ROW(Calc!J19)-40, COLUMN(Calc!J19)-4)</f>
        <v>173</v>
      </c>
      <c r="K19" s="9">
        <f>INDEX(Google[], ROWS(Google[DATE])+ROW(Calc!K19)-40, COLUMN(Calc!K19)-4)</f>
        <v>473</v>
      </c>
    </row>
    <row r="20" spans="1:14" x14ac:dyDescent="0.3">
      <c r="A20" s="8">
        <f>INDEX(ESub[],ROWS(ESub[SUBSCRIBED])-20,1)</f>
        <v>44996</v>
      </c>
      <c r="B20" s="9">
        <f>INDEX(ESub[],ROWS(ESub[SUBSCRIBED])-20,2)</f>
        <v>5852</v>
      </c>
      <c r="E20" s="8">
        <f>INDEX(Google[], ROWS(Google[DATE])+ROW(Calc!E20)-40, COLUMN(Calc!E20)-4)</f>
        <v>44996</v>
      </c>
      <c r="F20" s="9">
        <f>INDEX(Google[], ROWS(Google[DATE])+ROW(Calc!F20)-40, COLUMN(Calc!F20)-4)</f>
        <v>54</v>
      </c>
      <c r="G20" s="9">
        <f>INDEX(Google[], ROWS(Google[DATE])+ROW(Calc!G20)-40, COLUMN(Calc!G20)-4)</f>
        <v>52</v>
      </c>
      <c r="H20" s="9">
        <f>INDEX(Google[], ROWS(Google[DATE])+ROW(Calc!H20)-40, COLUMN(Calc!H20)-4)</f>
        <v>47</v>
      </c>
      <c r="I20" s="9">
        <f>INDEX(Google[], ROWS(Google[DATE])+ROW(Calc!I20)-40, COLUMN(Calc!I20)-4)</f>
        <v>18</v>
      </c>
      <c r="J20" s="9">
        <f>INDEX(Google[], ROWS(Google[DATE])+ROW(Calc!J20)-40, COLUMN(Calc!J20)-4)</f>
        <v>93</v>
      </c>
      <c r="K20" s="9">
        <f>INDEX(Google[], ROWS(Google[DATE])+ROW(Calc!K20)-40, COLUMN(Calc!K20)-4)</f>
        <v>264</v>
      </c>
    </row>
    <row r="21" spans="1:14" x14ac:dyDescent="0.3">
      <c r="A21" s="8">
        <f>INDEX(ESub[],ROWS(ESub[SUBSCRIBED])-19,1)</f>
        <v>44997</v>
      </c>
      <c r="B21" s="9">
        <f>INDEX(ESub[],ROWS(ESub[SUBSCRIBED])-19,2)</f>
        <v>5844</v>
      </c>
      <c r="E21" s="8">
        <f>INDEX(Google[], ROWS(Google[DATE])+ROW(Calc!E21)-40, COLUMN(Calc!E21)-4)</f>
        <v>44997</v>
      </c>
      <c r="F21" s="9">
        <f>INDEX(Google[], ROWS(Google[DATE])+ROW(Calc!F21)-40, COLUMN(Calc!F21)-4)</f>
        <v>43</v>
      </c>
      <c r="G21" s="9">
        <f>INDEX(Google[], ROWS(Google[DATE])+ROW(Calc!G21)-40, COLUMN(Calc!G21)-4)</f>
        <v>45</v>
      </c>
      <c r="H21" s="9">
        <f>INDEX(Google[], ROWS(Google[DATE])+ROW(Calc!H21)-40, COLUMN(Calc!H21)-4)</f>
        <v>51</v>
      </c>
      <c r="I21" s="9">
        <f>INDEX(Google[], ROWS(Google[DATE])+ROW(Calc!I21)-40, COLUMN(Calc!I21)-4)</f>
        <v>17</v>
      </c>
      <c r="J21" s="9">
        <f>INDEX(Google[], ROWS(Google[DATE])+ROW(Calc!J21)-40, COLUMN(Calc!J21)-4)</f>
        <v>60</v>
      </c>
      <c r="K21" s="9">
        <f>INDEX(Google[], ROWS(Google[DATE])+ROW(Calc!K21)-40, COLUMN(Calc!K21)-4)</f>
        <v>216</v>
      </c>
    </row>
    <row r="22" spans="1:14" x14ac:dyDescent="0.3">
      <c r="A22" s="8">
        <f>INDEX(ESub[],ROWS(ESub[SUBSCRIBED])-18,1)</f>
        <v>44998</v>
      </c>
      <c r="B22" s="9">
        <f>INDEX(ESub[],ROWS(ESub[SUBSCRIBED])-18,2)</f>
        <v>5840</v>
      </c>
      <c r="E22" s="8">
        <f>INDEX(Google[], ROWS(Google[DATE])+ROW(Calc!E22)-40, COLUMN(Calc!E22)-4)</f>
        <v>44998</v>
      </c>
      <c r="F22" s="9">
        <f>INDEX(Google[], ROWS(Google[DATE])+ROW(Calc!F22)-40, COLUMN(Calc!F22)-4)</f>
        <v>128</v>
      </c>
      <c r="G22" s="9">
        <f>INDEX(Google[], ROWS(Google[DATE])+ROW(Calc!G22)-40, COLUMN(Calc!G22)-4)</f>
        <v>116</v>
      </c>
      <c r="H22" s="9">
        <f>INDEX(Google[], ROWS(Google[DATE])+ROW(Calc!H22)-40, COLUMN(Calc!H22)-4)</f>
        <v>100</v>
      </c>
      <c r="I22" s="9">
        <f>INDEX(Google[], ROWS(Google[DATE])+ROW(Calc!I22)-40, COLUMN(Calc!I22)-4)</f>
        <v>11</v>
      </c>
      <c r="J22" s="9">
        <f>INDEX(Google[], ROWS(Google[DATE])+ROW(Calc!J22)-40, COLUMN(Calc!J22)-4)</f>
        <v>98</v>
      </c>
      <c r="K22" s="9">
        <f>INDEX(Google[], ROWS(Google[DATE])+ROW(Calc!K22)-40, COLUMN(Calc!K22)-4)</f>
        <v>453</v>
      </c>
    </row>
    <row r="23" spans="1:14" x14ac:dyDescent="0.3">
      <c r="A23" s="8">
        <f>INDEX(ESub[],ROWS(ESub[SUBSCRIBED])-17,1)</f>
        <v>44999</v>
      </c>
      <c r="B23" s="9">
        <f>INDEX(ESub[],ROWS(ESub[SUBSCRIBED])-17,2)</f>
        <v>6020</v>
      </c>
      <c r="E23" s="8">
        <f>INDEX(Google[], ROWS(Google[DATE])+ROW(Calc!E23)-40, COLUMN(Calc!E23)-4)</f>
        <v>44999</v>
      </c>
      <c r="F23" s="9">
        <f>INDEX(Google[], ROWS(Google[DATE])+ROW(Calc!F23)-40, COLUMN(Calc!F23)-4)</f>
        <v>102</v>
      </c>
      <c r="G23" s="9">
        <f>INDEX(Google[], ROWS(Google[DATE])+ROW(Calc!G23)-40, COLUMN(Calc!G23)-4)</f>
        <v>88</v>
      </c>
      <c r="H23" s="9">
        <f>INDEX(Google[], ROWS(Google[DATE])+ROW(Calc!H23)-40, COLUMN(Calc!H23)-4)</f>
        <v>85</v>
      </c>
      <c r="I23" s="9">
        <f>INDEX(Google[], ROWS(Google[DATE])+ROW(Calc!I23)-40, COLUMN(Calc!I23)-4)</f>
        <v>18</v>
      </c>
      <c r="J23" s="9">
        <f>INDEX(Google[], ROWS(Google[DATE])+ROW(Calc!J23)-40, COLUMN(Calc!J23)-4)</f>
        <v>207</v>
      </c>
      <c r="K23" s="9">
        <f>INDEX(Google[], ROWS(Google[DATE])+ROW(Calc!K23)-40, COLUMN(Calc!K23)-4)</f>
        <v>500</v>
      </c>
    </row>
    <row r="24" spans="1:14" x14ac:dyDescent="0.3">
      <c r="A24" s="8">
        <f>INDEX(ESub[],ROWS(ESub[SUBSCRIBED])-16,1)</f>
        <v>45000</v>
      </c>
      <c r="B24" s="9">
        <f>INDEX(ESub[],ROWS(ESub[SUBSCRIBED])-16,2)</f>
        <v>6045</v>
      </c>
      <c r="E24" s="8">
        <f>INDEX(Google[], ROWS(Google[DATE])+ROW(Calc!E24)-40, COLUMN(Calc!E24)-4)</f>
        <v>45000</v>
      </c>
      <c r="F24" s="9">
        <f>INDEX(Google[], ROWS(Google[DATE])+ROW(Calc!F24)-40, COLUMN(Calc!F24)-4)</f>
        <v>95</v>
      </c>
      <c r="G24" s="9">
        <f>INDEX(Google[], ROWS(Google[DATE])+ROW(Calc!G24)-40, COLUMN(Calc!G24)-4)</f>
        <v>74</v>
      </c>
      <c r="H24" s="9">
        <f>INDEX(Google[], ROWS(Google[DATE])+ROW(Calc!H24)-40, COLUMN(Calc!H24)-4)</f>
        <v>61</v>
      </c>
      <c r="I24" s="9">
        <f>INDEX(Google[], ROWS(Google[DATE])+ROW(Calc!I24)-40, COLUMN(Calc!I24)-4)</f>
        <v>27</v>
      </c>
      <c r="J24" s="9">
        <f>INDEX(Google[], ROWS(Google[DATE])+ROW(Calc!J24)-40, COLUMN(Calc!J24)-4)</f>
        <v>179</v>
      </c>
      <c r="K24" s="9">
        <f>INDEX(Google[], ROWS(Google[DATE])+ROW(Calc!K24)-40, COLUMN(Calc!K24)-4)</f>
        <v>436</v>
      </c>
    </row>
    <row r="25" spans="1:14" x14ac:dyDescent="0.3">
      <c r="A25" s="8">
        <f>INDEX(ESub[],ROWS(ESub[SUBSCRIBED])-15,1)</f>
        <v>45001</v>
      </c>
      <c r="B25" s="9">
        <f>INDEX(ESub[],ROWS(ESub[SUBSCRIBED])-15,2)</f>
        <v>6040</v>
      </c>
      <c r="E25" s="8">
        <f>INDEX(Google[], ROWS(Google[DATE])+ROW(Calc!E25)-40, COLUMN(Calc!E25)-4)</f>
        <v>45001</v>
      </c>
      <c r="F25" s="9">
        <f>INDEX(Google[], ROWS(Google[DATE])+ROW(Calc!F25)-40, COLUMN(Calc!F25)-4)</f>
        <v>137</v>
      </c>
      <c r="G25" s="9">
        <f>INDEX(Google[], ROWS(Google[DATE])+ROW(Calc!G25)-40, COLUMN(Calc!G25)-4)</f>
        <v>135</v>
      </c>
      <c r="H25" s="9">
        <f>INDEX(Google[], ROWS(Google[DATE])+ROW(Calc!H25)-40, COLUMN(Calc!H25)-4)</f>
        <v>121</v>
      </c>
      <c r="I25" s="9">
        <f>INDEX(Google[], ROWS(Google[DATE])+ROW(Calc!I25)-40, COLUMN(Calc!I25)-4)</f>
        <v>56</v>
      </c>
      <c r="J25" s="9">
        <f>INDEX(Google[], ROWS(Google[DATE])+ROW(Calc!J25)-40, COLUMN(Calc!J25)-4)</f>
        <v>96</v>
      </c>
      <c r="K25" s="9">
        <f>INDEX(Google[], ROWS(Google[DATE])+ROW(Calc!K25)-40, COLUMN(Calc!K25)-4)</f>
        <v>545</v>
      </c>
    </row>
    <row r="26" spans="1:14" x14ac:dyDescent="0.3">
      <c r="A26" s="8">
        <f>INDEX(ESub[],ROWS(ESub[SUBSCRIBED])-14,1)</f>
        <v>45002</v>
      </c>
      <c r="B26" s="9">
        <f>INDEX(ESub[],ROWS(ESub[SUBSCRIBED])-14,2)</f>
        <v>6318</v>
      </c>
      <c r="E26" s="8">
        <f>INDEX(Google[], ROWS(Google[DATE])+ROW(Calc!E26)-40, COLUMN(Calc!E26)-4)</f>
        <v>45002</v>
      </c>
      <c r="F26" s="9">
        <f>INDEX(Google[], ROWS(Google[DATE])+ROW(Calc!F26)-40, COLUMN(Calc!F26)-4)</f>
        <v>133</v>
      </c>
      <c r="G26" s="9">
        <f>INDEX(Google[], ROWS(Google[DATE])+ROW(Calc!G26)-40, COLUMN(Calc!G26)-4)</f>
        <v>89</v>
      </c>
      <c r="H26" s="9">
        <f>INDEX(Google[], ROWS(Google[DATE])+ROW(Calc!H26)-40, COLUMN(Calc!H26)-4)</f>
        <v>80</v>
      </c>
      <c r="I26" s="9">
        <f>INDEX(Google[], ROWS(Google[DATE])+ROW(Calc!I26)-40, COLUMN(Calc!I26)-4)</f>
        <v>24</v>
      </c>
      <c r="J26" s="9">
        <f>INDEX(Google[], ROWS(Google[DATE])+ROW(Calc!J26)-40, COLUMN(Calc!J26)-4)</f>
        <v>159</v>
      </c>
      <c r="K26" s="9">
        <f>INDEX(Google[], ROWS(Google[DATE])+ROW(Calc!K26)-40, COLUMN(Calc!K26)-4)</f>
        <v>485</v>
      </c>
    </row>
    <row r="27" spans="1:14" x14ac:dyDescent="0.3">
      <c r="A27" s="8">
        <f>INDEX(ESub[],ROWS(ESub[SUBSCRIBED])-13,1)</f>
        <v>45003</v>
      </c>
      <c r="B27" s="9">
        <f>INDEX(ESub[],ROWS(ESub[SUBSCRIBED])-13,2)</f>
        <v>6302</v>
      </c>
      <c r="E27" s="8">
        <f>INDEX(Google[], ROWS(Google[DATE])+ROW(Calc!E27)-40, COLUMN(Calc!E27)-4)</f>
        <v>45003</v>
      </c>
      <c r="F27" s="9">
        <f>INDEX(Google[], ROWS(Google[DATE])+ROW(Calc!F27)-40, COLUMN(Calc!F27)-4)</f>
        <v>63</v>
      </c>
      <c r="G27" s="9">
        <f>INDEX(Google[], ROWS(Google[DATE])+ROW(Calc!G27)-40, COLUMN(Calc!G27)-4)</f>
        <v>61</v>
      </c>
      <c r="H27" s="9">
        <f>INDEX(Google[], ROWS(Google[DATE])+ROW(Calc!H27)-40, COLUMN(Calc!H27)-4)</f>
        <v>70</v>
      </c>
      <c r="I27" s="9">
        <f>INDEX(Google[], ROWS(Google[DATE])+ROW(Calc!I27)-40, COLUMN(Calc!I27)-4)</f>
        <v>33</v>
      </c>
      <c r="J27" s="9">
        <f>INDEX(Google[], ROWS(Google[DATE])+ROW(Calc!J27)-40, COLUMN(Calc!J27)-4)</f>
        <v>67</v>
      </c>
      <c r="K27" s="9">
        <f>INDEX(Google[], ROWS(Google[DATE])+ROW(Calc!K27)-40, COLUMN(Calc!K27)-4)</f>
        <v>294</v>
      </c>
    </row>
    <row r="28" spans="1:14" x14ac:dyDescent="0.3">
      <c r="A28" s="8">
        <f>INDEX(ESub[],ROWS(ESub[SUBSCRIBED])-12,1)</f>
        <v>45004</v>
      </c>
      <c r="B28" s="9">
        <f>INDEX(ESub[],ROWS(ESub[SUBSCRIBED])-12,2)</f>
        <v>6288</v>
      </c>
      <c r="E28" s="8">
        <f>INDEX(Google[], ROWS(Google[DATE])+ROW(Calc!E28)-40, COLUMN(Calc!E28)-4)</f>
        <v>45004</v>
      </c>
      <c r="F28" s="9">
        <f>INDEX(Google[], ROWS(Google[DATE])+ROW(Calc!F28)-40, COLUMN(Calc!F28)-4)</f>
        <v>52</v>
      </c>
      <c r="G28" s="9">
        <f>INDEX(Google[], ROWS(Google[DATE])+ROW(Calc!G28)-40, COLUMN(Calc!G28)-4)</f>
        <v>54</v>
      </c>
      <c r="H28" s="9">
        <f>INDEX(Google[], ROWS(Google[DATE])+ROW(Calc!H28)-40, COLUMN(Calc!H28)-4)</f>
        <v>46</v>
      </c>
      <c r="I28" s="9">
        <f>INDEX(Google[], ROWS(Google[DATE])+ROW(Calc!I28)-40, COLUMN(Calc!I28)-4)</f>
        <v>24</v>
      </c>
      <c r="J28" s="9">
        <f>INDEX(Google[], ROWS(Google[DATE])+ROW(Calc!J28)-40, COLUMN(Calc!J28)-4)</f>
        <v>70</v>
      </c>
      <c r="K28" s="9">
        <f>INDEX(Google[], ROWS(Google[DATE])+ROW(Calc!K28)-40, COLUMN(Calc!K28)-4)</f>
        <v>246</v>
      </c>
    </row>
    <row r="29" spans="1:14" x14ac:dyDescent="0.3">
      <c r="A29" s="8">
        <f>INDEX(ESub[],ROWS(ESub[SUBSCRIBED])-11,1)</f>
        <v>45005</v>
      </c>
      <c r="B29" s="9">
        <f>INDEX(ESub[],ROWS(ESub[SUBSCRIBED])-11,2)</f>
        <v>6264</v>
      </c>
      <c r="E29" s="8">
        <f>INDEX(Google[], ROWS(Google[DATE])+ROW(Calc!E29)-40, COLUMN(Calc!E29)-4)</f>
        <v>45005</v>
      </c>
      <c r="F29" s="9">
        <f>INDEX(Google[], ROWS(Google[DATE])+ROW(Calc!F29)-40, COLUMN(Calc!F29)-4)</f>
        <v>88</v>
      </c>
      <c r="G29" s="9">
        <f>INDEX(Google[], ROWS(Google[DATE])+ROW(Calc!G29)-40, COLUMN(Calc!G29)-4)</f>
        <v>46</v>
      </c>
      <c r="H29" s="9">
        <f>INDEX(Google[], ROWS(Google[DATE])+ROW(Calc!H29)-40, COLUMN(Calc!H29)-4)</f>
        <v>44</v>
      </c>
      <c r="I29" s="9">
        <f>INDEX(Google[], ROWS(Google[DATE])+ROW(Calc!I29)-40, COLUMN(Calc!I29)-4)</f>
        <v>29</v>
      </c>
      <c r="J29" s="9">
        <f>INDEX(Google[], ROWS(Google[DATE])+ROW(Calc!J29)-40, COLUMN(Calc!J29)-4)</f>
        <v>85</v>
      </c>
      <c r="K29" s="9">
        <f>INDEX(Google[], ROWS(Google[DATE])+ROW(Calc!K29)-40, COLUMN(Calc!K29)-4)</f>
        <v>292</v>
      </c>
    </row>
    <row r="30" spans="1:14" x14ac:dyDescent="0.3">
      <c r="A30" s="8">
        <f>INDEX(ESub[],ROWS(ESub[SUBSCRIBED])-10,1)</f>
        <v>45006</v>
      </c>
      <c r="B30" s="9">
        <f>INDEX(ESub[],ROWS(ESub[SUBSCRIBED])-10,2)</f>
        <v>6250</v>
      </c>
      <c r="E30" s="8">
        <f>INDEX(Google[], ROWS(Google[DATE])+ROW(Calc!E30)-40, COLUMN(Calc!E30)-4)</f>
        <v>45006</v>
      </c>
      <c r="F30" s="9">
        <f>INDEX(Google[], ROWS(Google[DATE])+ROW(Calc!F30)-40, COLUMN(Calc!F30)-4)</f>
        <v>86</v>
      </c>
      <c r="G30" s="9">
        <f>INDEX(Google[], ROWS(Google[DATE])+ROW(Calc!G30)-40, COLUMN(Calc!G30)-4)</f>
        <v>96</v>
      </c>
      <c r="H30" s="9">
        <f>INDEX(Google[], ROWS(Google[DATE])+ROW(Calc!H30)-40, COLUMN(Calc!H30)-4)</f>
        <v>83</v>
      </c>
      <c r="I30" s="9">
        <f>INDEX(Google[], ROWS(Google[DATE])+ROW(Calc!I30)-40, COLUMN(Calc!I30)-4)</f>
        <v>19</v>
      </c>
      <c r="J30" s="9">
        <f>INDEX(Google[], ROWS(Google[DATE])+ROW(Calc!J30)-40, COLUMN(Calc!J30)-4)</f>
        <v>175</v>
      </c>
      <c r="K30" s="9">
        <f>INDEX(Google[], ROWS(Google[DATE])+ROW(Calc!K30)-40, COLUMN(Calc!K30)-4)</f>
        <v>459</v>
      </c>
    </row>
    <row r="31" spans="1:14" x14ac:dyDescent="0.3">
      <c r="A31" s="8">
        <f>INDEX(ESub[],ROWS(ESub[SUBSCRIBED])-9,1)</f>
        <v>45007</v>
      </c>
      <c r="B31" s="9">
        <f>INDEX(ESub[],ROWS(ESub[SUBSCRIBED])-9,2)</f>
        <v>6260</v>
      </c>
      <c r="E31" s="8">
        <f>INDEX(Google[], ROWS(Google[DATE])+ROW(Calc!E31)-40, COLUMN(Calc!E31)-4)</f>
        <v>45007</v>
      </c>
      <c r="F31" s="9">
        <f>INDEX(Google[], ROWS(Google[DATE])+ROW(Calc!F31)-40, COLUMN(Calc!F31)-4)</f>
        <v>100</v>
      </c>
      <c r="G31" s="9">
        <f>INDEX(Google[], ROWS(Google[DATE])+ROW(Calc!G31)-40, COLUMN(Calc!G31)-4)</f>
        <v>74</v>
      </c>
      <c r="H31" s="9">
        <f>INDEX(Google[], ROWS(Google[DATE])+ROW(Calc!H31)-40, COLUMN(Calc!H31)-4)</f>
        <v>62</v>
      </c>
      <c r="I31" s="9">
        <f>INDEX(Google[], ROWS(Google[DATE])+ROW(Calc!I31)-40, COLUMN(Calc!I31)-4)</f>
        <v>46</v>
      </c>
      <c r="J31" s="9">
        <f>INDEX(Google[], ROWS(Google[DATE])+ROW(Calc!J31)-40, COLUMN(Calc!J31)-4)</f>
        <v>205</v>
      </c>
      <c r="K31" s="9">
        <f>INDEX(Google[], ROWS(Google[DATE])+ROW(Calc!K31)-40, COLUMN(Calc!K31)-4)</f>
        <v>487</v>
      </c>
    </row>
    <row r="32" spans="1:14" x14ac:dyDescent="0.3">
      <c r="A32" s="8">
        <f>INDEX(ESub[],ROWS(ESub[SUBSCRIBED])-8,1)</f>
        <v>45008</v>
      </c>
      <c r="B32" s="9">
        <f>INDEX(ESub[],ROWS(ESub[SUBSCRIBED])-8,2)</f>
        <v>6522</v>
      </c>
      <c r="E32" s="8">
        <f>INDEX(Google[], ROWS(Google[DATE])+ROW(Calc!E32)-40, COLUMN(Calc!E32)-4)</f>
        <v>45008</v>
      </c>
      <c r="F32" s="9">
        <f>INDEX(Google[], ROWS(Google[DATE])+ROW(Calc!F32)-40, COLUMN(Calc!F32)-4)</f>
        <v>85</v>
      </c>
      <c r="G32" s="9">
        <f>INDEX(Google[], ROWS(Google[DATE])+ROW(Calc!G32)-40, COLUMN(Calc!G32)-4)</f>
        <v>47</v>
      </c>
      <c r="H32" s="9">
        <f>INDEX(Google[], ROWS(Google[DATE])+ROW(Calc!H32)-40, COLUMN(Calc!H32)-4)</f>
        <v>45</v>
      </c>
      <c r="I32" s="9">
        <f>INDEX(Google[], ROWS(Google[DATE])+ROW(Calc!I32)-40, COLUMN(Calc!I32)-4)</f>
        <v>35</v>
      </c>
      <c r="J32" s="9">
        <f>INDEX(Google[], ROWS(Google[DATE])+ROW(Calc!J32)-40, COLUMN(Calc!J32)-4)</f>
        <v>135</v>
      </c>
      <c r="K32" s="9">
        <f>INDEX(Google[], ROWS(Google[DATE])+ROW(Calc!K32)-40, COLUMN(Calc!K32)-4)</f>
        <v>347</v>
      </c>
    </row>
    <row r="33" spans="1:11" x14ac:dyDescent="0.3">
      <c r="A33" s="8">
        <f>INDEX(ESub[],ROWS(ESub[SUBSCRIBED])-7,1)</f>
        <v>45009</v>
      </c>
      <c r="B33" s="9">
        <f>INDEX(ESub[],ROWS(ESub[SUBSCRIBED])-7,2)</f>
        <v>6510</v>
      </c>
      <c r="E33" s="8">
        <f>INDEX(Google[], ROWS(Google[DATE])+ROW(Calc!E33)-40, COLUMN(Calc!E33)-4)</f>
        <v>45009</v>
      </c>
      <c r="F33" s="9">
        <f>INDEX(Google[], ROWS(Google[DATE])+ROW(Calc!F33)-40, COLUMN(Calc!F33)-4)</f>
        <v>96</v>
      </c>
      <c r="G33" s="9">
        <f>INDEX(Google[], ROWS(Google[DATE])+ROW(Calc!G33)-40, COLUMN(Calc!G33)-4)</f>
        <v>69</v>
      </c>
      <c r="H33" s="9">
        <f>INDEX(Google[], ROWS(Google[DATE])+ROW(Calc!H33)-40, COLUMN(Calc!H33)-4)</f>
        <v>57</v>
      </c>
      <c r="I33" s="9">
        <f>INDEX(Google[], ROWS(Google[DATE])+ROW(Calc!I33)-40, COLUMN(Calc!I33)-4)</f>
        <v>39</v>
      </c>
      <c r="J33" s="9">
        <f>INDEX(Google[], ROWS(Google[DATE])+ROW(Calc!J33)-40, COLUMN(Calc!J33)-4)</f>
        <v>174</v>
      </c>
      <c r="K33" s="9">
        <f>INDEX(Google[], ROWS(Google[DATE])+ROW(Calc!K33)-40, COLUMN(Calc!K33)-4)</f>
        <v>435</v>
      </c>
    </row>
    <row r="34" spans="1:11" x14ac:dyDescent="0.3">
      <c r="A34" s="8">
        <f>INDEX(ESub[],ROWS(ESub[SUBSCRIBED])-6,1)</f>
        <v>45010</v>
      </c>
      <c r="B34" s="9">
        <f>INDEX(ESub[],ROWS(ESub[SUBSCRIBED])-6,2)</f>
        <v>6623</v>
      </c>
      <c r="E34" s="8">
        <f>INDEX(Google[], ROWS(Google[DATE])+ROW(Calc!E34)-40, COLUMN(Calc!E34)-4)</f>
        <v>45010</v>
      </c>
      <c r="F34" s="9">
        <f>INDEX(Google[], ROWS(Google[DATE])+ROW(Calc!F34)-40, COLUMN(Calc!F34)-4)</f>
        <v>62</v>
      </c>
      <c r="G34" s="9">
        <f>INDEX(Google[], ROWS(Google[DATE])+ROW(Calc!G34)-40, COLUMN(Calc!G34)-4)</f>
        <v>61</v>
      </c>
      <c r="H34" s="9">
        <f>INDEX(Google[], ROWS(Google[DATE])+ROW(Calc!H34)-40, COLUMN(Calc!H34)-4)</f>
        <v>53</v>
      </c>
      <c r="I34" s="9">
        <f>INDEX(Google[], ROWS(Google[DATE])+ROW(Calc!I34)-40, COLUMN(Calc!I34)-4)</f>
        <v>33</v>
      </c>
      <c r="J34" s="9">
        <f>INDEX(Google[], ROWS(Google[DATE])+ROW(Calc!J34)-40, COLUMN(Calc!J34)-4)</f>
        <v>67</v>
      </c>
      <c r="K34" s="9">
        <f>INDEX(Google[], ROWS(Google[DATE])+ROW(Calc!K34)-40, COLUMN(Calc!K34)-4)</f>
        <v>276</v>
      </c>
    </row>
    <row r="35" spans="1:11" x14ac:dyDescent="0.3">
      <c r="A35" s="8">
        <f>INDEX(ESub[],ROWS(ESub[SUBSCRIBED])-5,1)</f>
        <v>45011</v>
      </c>
      <c r="B35" s="9">
        <f>INDEX(ESub[],ROWS(ESub[SUBSCRIBED])-5,2)</f>
        <v>6601</v>
      </c>
      <c r="E35" s="8">
        <f>INDEX(Google[], ROWS(Google[DATE])+ROW(Calc!E35)-40, COLUMN(Calc!E35)-4)</f>
        <v>45011</v>
      </c>
      <c r="F35" s="9">
        <f>INDEX(Google[], ROWS(Google[DATE])+ROW(Calc!F35)-40, COLUMN(Calc!F35)-4)</f>
        <v>58</v>
      </c>
      <c r="G35" s="9">
        <f>INDEX(Google[], ROWS(Google[DATE])+ROW(Calc!G35)-40, COLUMN(Calc!G35)-4)</f>
        <v>54</v>
      </c>
      <c r="H35" s="9">
        <f>INDEX(Google[], ROWS(Google[DATE])+ROW(Calc!H35)-40, COLUMN(Calc!H35)-4)</f>
        <v>46</v>
      </c>
      <c r="I35" s="9">
        <f>INDEX(Google[], ROWS(Google[DATE])+ROW(Calc!I35)-40, COLUMN(Calc!I35)-4)</f>
        <v>28</v>
      </c>
      <c r="J35" s="9">
        <f>INDEX(Google[], ROWS(Google[DATE])+ROW(Calc!J35)-40, COLUMN(Calc!J35)-4)</f>
        <v>70</v>
      </c>
      <c r="K35" s="9">
        <f>INDEX(Google[], ROWS(Google[DATE])+ROW(Calc!K35)-40, COLUMN(Calc!K35)-4)</f>
        <v>256</v>
      </c>
    </row>
    <row r="36" spans="1:11" x14ac:dyDescent="0.3">
      <c r="A36" s="8">
        <f>INDEX(ESub[],ROWS(ESub[SUBSCRIBED])-4,1)</f>
        <v>45012</v>
      </c>
      <c r="B36" s="9">
        <f>INDEX(ESub[],ROWS(ESub[SUBSCRIBED])-4,2)</f>
        <v>6575</v>
      </c>
      <c r="E36" s="8">
        <f>INDEX(Google[], ROWS(Google[DATE])+ROW(Calc!E36)-40, COLUMN(Calc!E36)-4)</f>
        <v>45012</v>
      </c>
      <c r="F36" s="9">
        <f>INDEX(Google[], ROWS(Google[DATE])+ROW(Calc!F36)-40, COLUMN(Calc!F36)-4)</f>
        <v>89</v>
      </c>
      <c r="G36" s="9">
        <f>INDEX(Google[], ROWS(Google[DATE])+ROW(Calc!G36)-40, COLUMN(Calc!G36)-4)</f>
        <v>87</v>
      </c>
      <c r="H36" s="9">
        <f>INDEX(Google[], ROWS(Google[DATE])+ROW(Calc!H36)-40, COLUMN(Calc!H36)-4)</f>
        <v>82</v>
      </c>
      <c r="I36" s="9">
        <f>INDEX(Google[], ROWS(Google[DATE])+ROW(Calc!I36)-40, COLUMN(Calc!I36)-4)</f>
        <v>26</v>
      </c>
      <c r="J36" s="9">
        <f>INDEX(Google[], ROWS(Google[DATE])+ROW(Calc!J36)-40, COLUMN(Calc!J36)-4)</f>
        <v>124</v>
      </c>
      <c r="K36" s="9">
        <f>INDEX(Google[], ROWS(Google[DATE])+ROW(Calc!K36)-40, COLUMN(Calc!K36)-4)</f>
        <v>408</v>
      </c>
    </row>
    <row r="37" spans="1:11" x14ac:dyDescent="0.3">
      <c r="A37" s="8">
        <f>INDEX(ESub[],ROWS(ESub[SUBSCRIBED])-3,1)</f>
        <v>45013</v>
      </c>
      <c r="B37" s="9">
        <f>INDEX(ESub[],ROWS(ESub[SUBSCRIBED])-3,2)</f>
        <v>6550</v>
      </c>
      <c r="E37" s="8">
        <f>INDEX(Google[], ROWS(Google[DATE])+ROW(Calc!E37)-40, COLUMN(Calc!E37)-4)</f>
        <v>45013</v>
      </c>
      <c r="F37" s="9">
        <f>INDEX(Google[], ROWS(Google[DATE])+ROW(Calc!F37)-40, COLUMN(Calc!F37)-4)</f>
        <v>122</v>
      </c>
      <c r="G37" s="9">
        <f>INDEX(Google[], ROWS(Google[DATE])+ROW(Calc!G37)-40, COLUMN(Calc!G37)-4)</f>
        <v>103</v>
      </c>
      <c r="H37" s="9">
        <f>INDEX(Google[], ROWS(Google[DATE])+ROW(Calc!H37)-40, COLUMN(Calc!H37)-4)</f>
        <v>88</v>
      </c>
      <c r="I37" s="9">
        <f>INDEX(Google[], ROWS(Google[DATE])+ROW(Calc!I37)-40, COLUMN(Calc!I37)-4)</f>
        <v>47</v>
      </c>
      <c r="J37" s="9">
        <f>INDEX(Google[], ROWS(Google[DATE])+ROW(Calc!J37)-40, COLUMN(Calc!J37)-4)</f>
        <v>178</v>
      </c>
      <c r="K37" s="9">
        <f>INDEX(Google[], ROWS(Google[DATE])+ROW(Calc!K37)-40, COLUMN(Calc!K37)-4)</f>
        <v>538</v>
      </c>
    </row>
    <row r="38" spans="1:11" x14ac:dyDescent="0.3">
      <c r="A38" s="8">
        <f>INDEX(ESub[],ROWS(ESub[SUBSCRIBED])-2,1)</f>
        <v>45014</v>
      </c>
      <c r="B38" s="9">
        <f>INDEX(ESub[],ROWS(ESub[SUBSCRIBED])-2,2)</f>
        <v>6548</v>
      </c>
      <c r="E38" s="8">
        <f>INDEX(Google[], ROWS(Google[DATE])+ROW(Calc!E38)-40, COLUMN(Calc!E38)-4)</f>
        <v>45014</v>
      </c>
      <c r="F38" s="9">
        <f>INDEX(Google[], ROWS(Google[DATE])+ROW(Calc!F38)-40, COLUMN(Calc!F38)-4)</f>
        <v>133</v>
      </c>
      <c r="G38" s="9">
        <f>INDEX(Google[], ROWS(Google[DATE])+ROW(Calc!G38)-40, COLUMN(Calc!G38)-4)</f>
        <v>108</v>
      </c>
      <c r="H38" s="9">
        <f>INDEX(Google[], ROWS(Google[DATE])+ROW(Calc!H38)-40, COLUMN(Calc!H38)-4)</f>
        <v>100</v>
      </c>
      <c r="I38" s="9">
        <f>INDEX(Google[], ROWS(Google[DATE])+ROW(Calc!I38)-40, COLUMN(Calc!I38)-4)</f>
        <v>46</v>
      </c>
      <c r="J38" s="9">
        <f>INDEX(Google[], ROWS(Google[DATE])+ROW(Calc!J38)-40, COLUMN(Calc!J38)-4)</f>
        <v>141</v>
      </c>
      <c r="K38" s="9">
        <f>INDEX(Google[], ROWS(Google[DATE])+ROW(Calc!K38)-40, COLUMN(Calc!K38)-4)</f>
        <v>528</v>
      </c>
    </row>
    <row r="39" spans="1:11" x14ac:dyDescent="0.3">
      <c r="A39" s="8">
        <f>INDEX(ESub[],ROWS(ESub[SUBSCRIBED])-1,1)</f>
        <v>45015</v>
      </c>
      <c r="B39" s="9">
        <f>INDEX(ESub[],ROWS(ESub[SUBSCRIBED])-1,2)</f>
        <v>6540</v>
      </c>
      <c r="E39" s="8">
        <f>INDEX(Google[], ROWS(Google[DATE])+ROW(Calc!E39)-40, COLUMN(Calc!E39)-4)</f>
        <v>45015</v>
      </c>
      <c r="F39" s="9">
        <f>INDEX(Google[], ROWS(Google[DATE])+ROW(Calc!F39)-40, COLUMN(Calc!F39)-4)</f>
        <v>126</v>
      </c>
      <c r="G39" s="9">
        <f>INDEX(Google[], ROWS(Google[DATE])+ROW(Calc!G39)-40, COLUMN(Calc!G39)-4)</f>
        <v>123</v>
      </c>
      <c r="H39" s="9">
        <f>INDEX(Google[], ROWS(Google[DATE])+ROW(Calc!H39)-40, COLUMN(Calc!H39)-4)</f>
        <v>118</v>
      </c>
      <c r="I39" s="9">
        <f>INDEX(Google[], ROWS(Google[DATE])+ROW(Calc!I39)-40, COLUMN(Calc!I39)-4)</f>
        <v>12</v>
      </c>
      <c r="J39" s="9">
        <f>INDEX(Google[], ROWS(Google[DATE])+ROW(Calc!J39)-40, COLUMN(Calc!J39)-4)</f>
        <v>181</v>
      </c>
      <c r="K39" s="9">
        <f>INDEX(Google[], ROWS(Google[DATE])+ROW(Calc!K39)-40, COLUMN(Calc!K39)-4)</f>
        <v>560</v>
      </c>
    </row>
    <row r="40" spans="1:11" ht="14.4" thickBot="1" x14ac:dyDescent="0.35">
      <c r="A40" s="8">
        <f>INDEX(ESub[],ROWS(ESub[SUBSCRIBED]),1)</f>
        <v>45016</v>
      </c>
      <c r="B40" s="9">
        <f>INDEX(ESub[],ROWS(ESub[SUBSCRIBED]),2)</f>
        <v>6537</v>
      </c>
      <c r="E40" s="8">
        <f>INDEX(Google[], ROWS(Google[DATE])+ROW(Calc!E40)-40, COLUMN(Calc!E40)-4)</f>
        <v>45016</v>
      </c>
      <c r="F40" s="24">
        <f>INDEX(Google[], ROWS(Google[DATE])+ROW(Calc!F40)-40, COLUMN(Calc!F40)-4)</f>
        <v>115</v>
      </c>
      <c r="G40" s="24">
        <f>INDEX(Google[], ROWS(Google[DATE])+ROW(Calc!G40)-40, COLUMN(Calc!G40)-4)</f>
        <v>70</v>
      </c>
      <c r="H40" s="24">
        <f>INDEX(Google[], ROWS(Google[DATE])+ROW(Calc!H40)-40, COLUMN(Calc!H40)-4)</f>
        <v>73</v>
      </c>
      <c r="I40" s="24">
        <f>INDEX(Google[], ROWS(Google[DATE])+ROW(Calc!I40)-40, COLUMN(Calc!I40)-4)</f>
        <v>20</v>
      </c>
      <c r="J40" s="24">
        <f>INDEX(Google[], ROWS(Google[DATE])+ROW(Calc!J40)-40, COLUMN(Calc!J40)-4)</f>
        <v>73</v>
      </c>
      <c r="K40" s="24">
        <f>INDEX(Google[], ROWS(Google[DATE])+ROW(Calc!K40)-40, COLUMN(Calc!K40)-4)</f>
        <v>351</v>
      </c>
    </row>
    <row r="41" spans="1:11" x14ac:dyDescent="0.3">
      <c r="F41" s="5">
        <f>SUM(F11:F40)</f>
        <v>2848</v>
      </c>
      <c r="G41" s="5">
        <f t="shared" ref="G41:K41" si="0">SUM(G11:G40)</f>
        <v>2396</v>
      </c>
      <c r="H41" s="5">
        <f t="shared" si="0"/>
        <v>2220</v>
      </c>
      <c r="I41" s="5">
        <f t="shared" si="0"/>
        <v>872</v>
      </c>
      <c r="J41" s="5">
        <f t="shared" si="0"/>
        <v>3822</v>
      </c>
      <c r="K41" s="5">
        <f t="shared" si="0"/>
        <v>12158</v>
      </c>
    </row>
  </sheetData>
  <mergeCells count="1">
    <mergeCell ref="M10:N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5F11-7950-47AD-83EE-12AB10379AF9}">
  <dimension ref="A1:S42"/>
  <sheetViews>
    <sheetView tabSelected="1" zoomScale="85" zoomScaleNormal="85" workbookViewId="0"/>
  </sheetViews>
  <sheetFormatPr defaultRowHeight="13.8" x14ac:dyDescent="0.3"/>
  <cols>
    <col min="1" max="6" width="8.88671875" style="1"/>
    <col min="7" max="7" width="1.77734375" style="1" customWidth="1"/>
    <col min="8" max="8" width="31.5546875" style="1" customWidth="1"/>
    <col min="9" max="13" width="11.33203125" style="1" customWidth="1"/>
    <col min="14" max="14" width="1.77734375" style="1" customWidth="1"/>
    <col min="15" max="15" width="3.33203125" style="1" customWidth="1"/>
    <col min="16" max="19" width="40.77734375" style="1" customWidth="1"/>
    <col min="20" max="16384" width="8.88671875" style="1"/>
  </cols>
  <sheetData>
    <row r="1" spans="1:19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" customHeight="1" x14ac:dyDescent="0.3">
      <c r="A3" s="11"/>
      <c r="B3" s="11"/>
      <c r="C3" s="11"/>
      <c r="D3" s="11"/>
      <c r="E3" s="11"/>
      <c r="F3" s="11"/>
      <c r="G3" s="17"/>
      <c r="H3" s="17"/>
      <c r="I3" s="17"/>
      <c r="J3" s="17"/>
      <c r="K3" s="17"/>
      <c r="L3" s="17"/>
      <c r="M3" s="17"/>
      <c r="N3" s="17"/>
      <c r="O3" s="11"/>
      <c r="P3" s="11"/>
      <c r="Q3" s="11"/>
      <c r="R3" s="11"/>
      <c r="S3" s="11"/>
    </row>
    <row r="4" spans="1:19" x14ac:dyDescent="0.3">
      <c r="A4" s="11"/>
      <c r="B4" s="11"/>
      <c r="C4" s="11"/>
      <c r="D4" s="11"/>
      <c r="E4" s="11"/>
      <c r="F4" s="11"/>
      <c r="G4" s="17"/>
      <c r="H4" s="18" t="s">
        <v>17</v>
      </c>
      <c r="I4" s="17" t="s">
        <v>18</v>
      </c>
      <c r="J4" s="17" t="s">
        <v>19</v>
      </c>
      <c r="K4" s="17" t="s">
        <v>21</v>
      </c>
      <c r="L4" s="17" t="s">
        <v>22</v>
      </c>
      <c r="M4" s="17" t="s">
        <v>23</v>
      </c>
      <c r="N4" s="17"/>
      <c r="O4" s="11"/>
      <c r="P4" s="11"/>
      <c r="Q4" s="11"/>
      <c r="R4" s="11"/>
      <c r="S4" s="11"/>
    </row>
    <row r="5" spans="1:19" ht="5.4" customHeight="1" x14ac:dyDescent="0.3">
      <c r="A5" s="11"/>
      <c r="B5" s="11"/>
      <c r="C5" s="11"/>
      <c r="D5" s="11"/>
      <c r="E5" s="11"/>
      <c r="F5" s="11"/>
      <c r="G5" s="17"/>
      <c r="H5" s="17"/>
      <c r="I5" s="17"/>
      <c r="J5" s="17"/>
      <c r="K5" s="17"/>
      <c r="L5" s="17"/>
      <c r="M5" s="17"/>
      <c r="N5" s="17"/>
      <c r="O5" s="11"/>
      <c r="P5" s="11"/>
      <c r="Q5" s="11"/>
      <c r="R5" s="11"/>
      <c r="S5" s="11"/>
    </row>
    <row r="6" spans="1:19" ht="19.2" customHeight="1" x14ac:dyDescent="0.3">
      <c r="A6" s="11"/>
      <c r="B6" s="11"/>
      <c r="C6" s="11"/>
      <c r="D6" s="11"/>
      <c r="E6" s="11"/>
      <c r="F6" s="11"/>
      <c r="G6" s="17"/>
      <c r="H6" s="18" t="str">
        <f>INDEX(Campaign[],ROWS(Campaign[CAMPAIGN])-5,3)</f>
        <v>Weekly Newsletter</v>
      </c>
      <c r="I6" s="19">
        <f>INDEX(Campaign[],ROWS(Campaign[CAMPAIGN])-5,4)</f>
        <v>6020</v>
      </c>
      <c r="J6" s="19">
        <f>INDEX(Campaign[],ROWS(Campaign[CAMPAIGN])-5,5)</f>
        <v>2135</v>
      </c>
      <c r="K6" s="19">
        <f>INDEX(Campaign[],ROWS(Campaign[CAMPAIGN])-5,7)</f>
        <v>125</v>
      </c>
      <c r="L6" s="19">
        <f>INDEX(Campaign[],ROWS(Campaign[CAMPAIGN])-5,9)</f>
        <v>20</v>
      </c>
      <c r="M6" s="19">
        <f>INDEX(Campaign[],ROWS(Campaign[CAMPAIGN])-5,10)</f>
        <v>14</v>
      </c>
      <c r="N6" s="17"/>
      <c r="O6" s="11"/>
      <c r="P6" s="11"/>
      <c r="Q6" s="11"/>
      <c r="R6" s="11"/>
      <c r="S6" s="11"/>
    </row>
    <row r="7" spans="1:19" x14ac:dyDescent="0.3">
      <c r="A7" s="11"/>
      <c r="B7" s="11"/>
      <c r="C7" s="11"/>
      <c r="D7" s="11"/>
      <c r="E7" s="11"/>
      <c r="F7" s="11"/>
      <c r="G7" s="17"/>
      <c r="H7" s="20">
        <f>INDEX(Campaign[],ROWS(Campaign[CAMPAIGN])-5,1)</f>
        <v>44999</v>
      </c>
      <c r="I7" s="21"/>
      <c r="J7" s="22">
        <f>INDEX(Campaign[],ROWS(Campaign[CAMPAIGN])-5,6)</f>
        <v>0.35465116279069769</v>
      </c>
      <c r="K7" s="22">
        <f>INDEX(Campaign[],ROWS(Campaign[CAMPAIGN])-5,8)</f>
        <v>5.8548009367681501E-2</v>
      </c>
      <c r="L7" s="21"/>
      <c r="M7" s="21"/>
      <c r="N7" s="21"/>
      <c r="O7" s="11"/>
      <c r="P7" s="11"/>
      <c r="Q7" s="11"/>
      <c r="R7" s="11"/>
      <c r="S7" s="11"/>
    </row>
    <row r="8" spans="1:19" ht="5.4" customHeight="1" x14ac:dyDescent="0.3">
      <c r="A8" s="11"/>
      <c r="B8" s="11"/>
      <c r="C8" s="11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1"/>
      <c r="P8" s="11"/>
      <c r="Q8" s="11"/>
      <c r="R8" s="11"/>
      <c r="S8" s="11"/>
    </row>
    <row r="9" spans="1:19" ht="19.2" customHeight="1" x14ac:dyDescent="0.3">
      <c r="A9" s="11"/>
      <c r="B9" s="11"/>
      <c r="C9" s="11"/>
      <c r="D9" s="11"/>
      <c r="E9" s="11"/>
      <c r="F9" s="11"/>
      <c r="G9" s="17"/>
      <c r="H9" s="12" t="str">
        <f>INDEX(Campaign[],ROWS(Campaign[CAMPAIGN])-4,3)</f>
        <v>Daily customer Update</v>
      </c>
      <c r="I9" s="15">
        <f>INDEX(Campaign[],ROWS(Campaign[CAMPAIGN])-4,4)</f>
        <v>6040</v>
      </c>
      <c r="J9" s="15">
        <f>INDEX(Campaign[],ROWS(Campaign[CAMPAIGN])-4,5)</f>
        <v>1450</v>
      </c>
      <c r="K9" s="15">
        <f>INDEX(Campaign[],ROWS(Campaign[CAMPAIGN])-4,7)</f>
        <v>102</v>
      </c>
      <c r="L9" s="15">
        <f>INDEX(Campaign[],ROWS(Campaign[CAMPAIGN])-4,9)</f>
        <v>13</v>
      </c>
      <c r="M9" s="15">
        <f>INDEX(Campaign[],ROWS(Campaign[CAMPAIGN])-4,10)</f>
        <v>6</v>
      </c>
      <c r="N9" s="17"/>
      <c r="O9" s="11"/>
      <c r="P9" s="11"/>
      <c r="Q9" s="11"/>
      <c r="R9" s="11"/>
      <c r="S9" s="11"/>
    </row>
    <row r="10" spans="1:19" x14ac:dyDescent="0.3">
      <c r="A10" s="11"/>
      <c r="B10" s="11"/>
      <c r="C10" s="11"/>
      <c r="D10" s="11"/>
      <c r="E10" s="11"/>
      <c r="F10" s="11"/>
      <c r="G10" s="17"/>
      <c r="H10" s="14">
        <f>INDEX(Campaign[],ROWS(Campaign[CAMPAIGN])-4,1)</f>
        <v>45001</v>
      </c>
      <c r="I10" s="13"/>
      <c r="J10" s="16">
        <f>INDEX(Campaign[],ROWS(Campaign[CAMPAIGN])-4,6)</f>
        <v>0.24006622516556292</v>
      </c>
      <c r="K10" s="16">
        <f>INDEX(Campaign[],ROWS(Campaign[CAMPAIGN])-4,8)</f>
        <v>7.0344827586206901E-2</v>
      </c>
      <c r="L10" s="13"/>
      <c r="M10" s="13"/>
      <c r="N10" s="21"/>
      <c r="O10" s="11"/>
      <c r="P10" s="11"/>
      <c r="Q10" s="11"/>
      <c r="R10" s="11"/>
      <c r="S10" s="11"/>
    </row>
    <row r="11" spans="1:19" ht="5.4" customHeight="1" x14ac:dyDescent="0.3">
      <c r="A11" s="11"/>
      <c r="B11" s="11"/>
      <c r="C11" s="11"/>
      <c r="D11" s="11"/>
      <c r="E11" s="11"/>
      <c r="F11" s="11"/>
      <c r="G11" s="17"/>
      <c r="H11" s="17"/>
      <c r="I11" s="17"/>
      <c r="J11" s="17"/>
      <c r="K11" s="17"/>
      <c r="L11" s="17"/>
      <c r="M11" s="17"/>
      <c r="N11" s="17"/>
      <c r="O11" s="11"/>
      <c r="P11" s="11"/>
      <c r="Q11" s="11"/>
      <c r="R11" s="11"/>
      <c r="S11" s="11"/>
    </row>
    <row r="12" spans="1:19" ht="19.2" customHeight="1" x14ac:dyDescent="0.3">
      <c r="A12" s="11"/>
      <c r="B12" s="11"/>
      <c r="C12" s="11"/>
      <c r="D12" s="11"/>
      <c r="E12" s="11"/>
      <c r="F12" s="11"/>
      <c r="G12" s="17"/>
      <c r="H12" s="18" t="str">
        <f>INDEX(Campaign[],ROWS(Campaign[CAMPAIGN])-3,3)</f>
        <v>Weekly Newsletter</v>
      </c>
      <c r="I12" s="19">
        <f>INDEX(Campaign[],ROWS(Campaign[CAMPAIGN])-3,4)</f>
        <v>6250</v>
      </c>
      <c r="J12" s="19">
        <f>INDEX(Campaign[],ROWS(Campaign[CAMPAIGN])-3,5)</f>
        <v>2359</v>
      </c>
      <c r="K12" s="19">
        <f>INDEX(Campaign[],ROWS(Campaign[CAMPAIGN])-3,7)</f>
        <v>225</v>
      </c>
      <c r="L12" s="19">
        <f>INDEX(Campaign[],ROWS(Campaign[CAMPAIGN])-3,9)</f>
        <v>44</v>
      </c>
      <c r="M12" s="19">
        <f>INDEX(Campaign[],ROWS(Campaign[CAMPAIGN])-3,10)</f>
        <v>41</v>
      </c>
      <c r="N12" s="17"/>
      <c r="O12" s="11"/>
      <c r="P12" s="11"/>
      <c r="Q12" s="11"/>
      <c r="R12" s="11"/>
      <c r="S12" s="11"/>
    </row>
    <row r="13" spans="1:19" x14ac:dyDescent="0.3">
      <c r="A13" s="11"/>
      <c r="B13" s="11"/>
      <c r="C13" s="11"/>
      <c r="D13" s="11"/>
      <c r="E13" s="11"/>
      <c r="F13" s="11"/>
      <c r="G13" s="17"/>
      <c r="H13" s="20">
        <f>INDEX(Campaign[],ROWS(Campaign[CAMPAIGN])-3,1)</f>
        <v>45006</v>
      </c>
      <c r="I13" s="21"/>
      <c r="J13" s="22">
        <f>INDEX(Campaign[],ROWS(Campaign[CAMPAIGN])-3,6)</f>
        <v>0.37744</v>
      </c>
      <c r="K13" s="22">
        <f>INDEX(Campaign[],ROWS(Campaign[CAMPAIGN])-3,8)</f>
        <v>9.53793980500212E-2</v>
      </c>
      <c r="L13" s="21"/>
      <c r="M13" s="21"/>
      <c r="N13" s="21"/>
      <c r="O13" s="11"/>
      <c r="P13" s="11"/>
      <c r="Q13" s="11"/>
      <c r="R13" s="11"/>
      <c r="S13" s="11"/>
    </row>
    <row r="14" spans="1:19" ht="5.4" customHeight="1" x14ac:dyDescent="0.3">
      <c r="A14" s="11"/>
      <c r="B14" s="11"/>
      <c r="C14" s="11"/>
      <c r="D14" s="11"/>
      <c r="E14" s="11"/>
      <c r="F14" s="11"/>
      <c r="G14" s="17"/>
      <c r="H14" s="17"/>
      <c r="I14" s="17"/>
      <c r="J14" s="17"/>
      <c r="K14" s="17"/>
      <c r="L14" s="17"/>
      <c r="M14" s="17"/>
      <c r="N14" s="17"/>
      <c r="O14" s="11"/>
      <c r="P14" s="11"/>
      <c r="Q14" s="11"/>
      <c r="R14" s="11"/>
      <c r="S14" s="11"/>
    </row>
    <row r="15" spans="1:19" ht="19.2" customHeight="1" x14ac:dyDescent="0.3">
      <c r="A15" s="11"/>
      <c r="B15" s="11"/>
      <c r="C15" s="11"/>
      <c r="D15" s="11"/>
      <c r="E15" s="11"/>
      <c r="F15" s="11"/>
      <c r="G15" s="17"/>
      <c r="H15" s="12" t="str">
        <f>INDEX(Campaign[],ROWS(Campaign[CAMPAIGN])-2,3)</f>
        <v>Course is now 50% off</v>
      </c>
      <c r="I15" s="15">
        <f>INDEX(Campaign[],ROWS(Campaign[CAMPAIGN])-2,4)</f>
        <v>6260</v>
      </c>
      <c r="J15" s="15">
        <f>INDEX(Campaign[],ROWS(Campaign[CAMPAIGN])-2,5)</f>
        <v>3996</v>
      </c>
      <c r="K15" s="15">
        <f>INDEX(Campaign[],ROWS(Campaign[CAMPAIGN])-2,7)</f>
        <v>418</v>
      </c>
      <c r="L15" s="15">
        <f>INDEX(Campaign[],ROWS(Campaign[CAMPAIGN])-2,9)</f>
        <v>98</v>
      </c>
      <c r="M15" s="15">
        <f>INDEX(Campaign[],ROWS(Campaign[CAMPAIGN])-2,10)</f>
        <v>85</v>
      </c>
      <c r="N15" s="17"/>
      <c r="O15" s="11"/>
      <c r="P15" s="11"/>
      <c r="Q15" s="11"/>
      <c r="R15" s="11"/>
      <c r="S15" s="11"/>
    </row>
    <row r="16" spans="1:19" x14ac:dyDescent="0.3">
      <c r="A16" s="11"/>
      <c r="B16" s="11"/>
      <c r="C16" s="11"/>
      <c r="D16" s="11"/>
      <c r="E16" s="11"/>
      <c r="F16" s="11"/>
      <c r="G16" s="17"/>
      <c r="H16" s="14">
        <f>INDEX(Campaign[],ROWS(Campaign[CAMPAIGN])-2,1)</f>
        <v>45007</v>
      </c>
      <c r="I16" s="13"/>
      <c r="J16" s="16">
        <f>INDEX(Campaign[],ROWS(Campaign[CAMPAIGN])-2,6)</f>
        <v>0.63833865814696489</v>
      </c>
      <c r="K16" s="16">
        <f>INDEX(Campaign[],ROWS(Campaign[CAMPAIGN])-2,8)</f>
        <v>0.10460460460460461</v>
      </c>
      <c r="L16" s="13"/>
      <c r="M16" s="13"/>
      <c r="N16" s="21"/>
      <c r="O16" s="11"/>
      <c r="P16" s="11"/>
      <c r="Q16" s="11"/>
      <c r="R16" s="11"/>
      <c r="S16" s="11"/>
    </row>
    <row r="17" spans="1:19" ht="5.4" customHeight="1" x14ac:dyDescent="0.3">
      <c r="A17" s="11"/>
      <c r="B17" s="11"/>
      <c r="C17" s="11"/>
      <c r="D17" s="11"/>
      <c r="E17" s="11"/>
      <c r="F17" s="11"/>
      <c r="G17" s="17"/>
      <c r="H17" s="17"/>
      <c r="I17" s="17"/>
      <c r="J17" s="17"/>
      <c r="K17" s="17"/>
      <c r="L17" s="17"/>
      <c r="M17" s="17"/>
      <c r="N17" s="17"/>
      <c r="O17" s="11"/>
      <c r="P17" s="11"/>
      <c r="Q17" s="11"/>
      <c r="R17" s="11"/>
      <c r="S17" s="11"/>
    </row>
    <row r="18" spans="1:19" ht="19.2" customHeight="1" x14ac:dyDescent="0.3">
      <c r="A18" s="11"/>
      <c r="B18" s="11"/>
      <c r="C18" s="11"/>
      <c r="D18" s="11"/>
      <c r="E18" s="11"/>
      <c r="F18" s="11"/>
      <c r="G18" s="17"/>
      <c r="H18" s="18" t="str">
        <f>INDEX(Campaign[],ROWS(Campaign[CAMPAIGN])-1,3)</f>
        <v>Promise of Responsive Service</v>
      </c>
      <c r="I18" s="19">
        <f>INDEX(Campaign[],ROWS(Campaign[CAMPAIGN])-1,4)</f>
        <v>6510</v>
      </c>
      <c r="J18" s="19">
        <f>INDEX(Campaign[],ROWS(Campaign[CAMPAIGN])-1,5)</f>
        <v>4187</v>
      </c>
      <c r="K18" s="19">
        <f>INDEX(Campaign[],ROWS(Campaign[CAMPAIGN])-1,7)</f>
        <v>705</v>
      </c>
      <c r="L18" s="19">
        <f>INDEX(Campaign[],ROWS(Campaign[CAMPAIGN])-1,9)</f>
        <v>177</v>
      </c>
      <c r="M18" s="19">
        <f>INDEX(Campaign[],ROWS(Campaign[CAMPAIGN])-1,10)</f>
        <v>103</v>
      </c>
      <c r="N18" s="17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7"/>
      <c r="H19" s="20">
        <f>INDEX(Campaign[],ROWS(Campaign[CAMPAIGN])-1,1)</f>
        <v>45009</v>
      </c>
      <c r="I19" s="21"/>
      <c r="J19" s="22">
        <f>INDEX(Campaign[],ROWS(Campaign[CAMPAIGN])-1,6)</f>
        <v>0.64316436251920128</v>
      </c>
      <c r="K19" s="22">
        <f>INDEX(Campaign[],ROWS(Campaign[CAMPAIGN])-1,8)</f>
        <v>0.16837831382851684</v>
      </c>
      <c r="L19" s="21"/>
      <c r="M19" s="21"/>
      <c r="N19" s="21"/>
      <c r="O19" s="11"/>
      <c r="P19" s="11"/>
      <c r="Q19" s="11"/>
      <c r="R19" s="11"/>
      <c r="S19" s="11"/>
    </row>
    <row r="20" spans="1:19" ht="5.4" customHeight="1" x14ac:dyDescent="0.3">
      <c r="A20" s="11"/>
      <c r="B20" s="11"/>
      <c r="C20" s="11"/>
      <c r="D20" s="11"/>
      <c r="E20" s="11"/>
      <c r="F20" s="11"/>
      <c r="G20" s="17"/>
      <c r="H20" s="17"/>
      <c r="I20" s="17"/>
      <c r="J20" s="17"/>
      <c r="K20" s="17"/>
      <c r="L20" s="17"/>
      <c r="M20" s="17"/>
      <c r="N20" s="17"/>
      <c r="O20" s="11"/>
      <c r="P20" s="11"/>
      <c r="Q20" s="11"/>
      <c r="R20" s="11"/>
      <c r="S20" s="11"/>
    </row>
    <row r="21" spans="1:19" ht="19.2" customHeight="1" x14ac:dyDescent="0.3">
      <c r="A21" s="11"/>
      <c r="B21" s="11"/>
      <c r="C21" s="11"/>
      <c r="D21" s="11"/>
      <c r="E21" s="11"/>
      <c r="F21" s="11"/>
      <c r="G21" s="17"/>
      <c r="H21" s="12" t="str">
        <f>INDEX(Campaign[],ROWS(Campaign[CAMPAIGN]),3)</f>
        <v>Weekly Newsletter</v>
      </c>
      <c r="I21" s="15">
        <f>INDEX(Campaign[],ROWS(Campaign[CAMPAIGN]),4)</f>
        <v>6550</v>
      </c>
      <c r="J21" s="15">
        <f>INDEX(Campaign[],ROWS(Campaign[CAMPAIGN]),5)</f>
        <v>1541</v>
      </c>
      <c r="K21" s="15">
        <f>INDEX(Campaign[],ROWS(Campaign[CAMPAIGN]),7)</f>
        <v>145</v>
      </c>
      <c r="L21" s="15">
        <f>INDEX(Campaign[],ROWS(Campaign[CAMPAIGN]),9)</f>
        <v>36</v>
      </c>
      <c r="M21" s="15">
        <f>INDEX(Campaign[],ROWS(Campaign[CAMPAIGN]),10)</f>
        <v>31</v>
      </c>
      <c r="N21" s="17"/>
      <c r="O21" s="11"/>
      <c r="P21" s="11"/>
      <c r="Q21" s="11"/>
      <c r="R21" s="11"/>
      <c r="S21" s="11"/>
    </row>
    <row r="22" spans="1:19" x14ac:dyDescent="0.3">
      <c r="A22" s="11"/>
      <c r="B22" s="11"/>
      <c r="C22" s="11"/>
      <c r="D22" s="11"/>
      <c r="E22" s="11"/>
      <c r="F22" s="11"/>
      <c r="G22" s="17"/>
      <c r="H22" s="14">
        <f>INDEX(Campaign[],ROWS(Campaign[CAMPAIGN]),1)</f>
        <v>45013</v>
      </c>
      <c r="I22" s="13"/>
      <c r="J22" s="16">
        <f>INDEX(Campaign[],ROWS(Campaign[CAMPAIGN]),6)</f>
        <v>0.23526717557251908</v>
      </c>
      <c r="K22" s="16">
        <f>INDEX(Campaign[],ROWS(Campaign[CAMPAIGN]),8)</f>
        <v>9.4094743672939643E-2</v>
      </c>
      <c r="L22" s="13"/>
      <c r="M22" s="13"/>
      <c r="N22" s="21"/>
      <c r="O22" s="11"/>
      <c r="P22" s="11"/>
      <c r="Q22" s="11"/>
      <c r="R22" s="11"/>
      <c r="S22" s="11"/>
    </row>
    <row r="23" spans="1:19" ht="5.4" customHeight="1" x14ac:dyDescent="0.3">
      <c r="A23" s="11"/>
      <c r="B23" s="11"/>
      <c r="C23" s="11"/>
      <c r="D23" s="11"/>
      <c r="E23" s="11"/>
      <c r="F23" s="11"/>
      <c r="G23" s="17"/>
      <c r="H23" s="11"/>
      <c r="I23" s="11"/>
      <c r="J23" s="11"/>
      <c r="K23" s="11"/>
      <c r="L23" s="11"/>
      <c r="M23" s="11"/>
      <c r="N23" s="17"/>
      <c r="O23" s="11"/>
      <c r="P23" s="11"/>
      <c r="Q23" s="11"/>
      <c r="R23" s="11"/>
      <c r="S23" s="11"/>
    </row>
    <row r="24" spans="1:19" x14ac:dyDescent="0.3">
      <c r="A24" s="11"/>
      <c r="B24" s="11"/>
      <c r="C24" s="11"/>
      <c r="D24" s="11"/>
      <c r="E24" s="11"/>
      <c r="F24" s="11"/>
      <c r="G24" s="17"/>
      <c r="H24" s="17"/>
      <c r="I24" s="17"/>
      <c r="J24" s="17"/>
      <c r="K24" s="17"/>
      <c r="L24" s="17"/>
      <c r="M24" s="17"/>
      <c r="N24" s="17"/>
      <c r="O24" s="11"/>
      <c r="P24" s="11"/>
      <c r="Q24" s="11"/>
      <c r="R24" s="11"/>
      <c r="S24" s="11"/>
    </row>
    <row r="25" spans="1:19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244.2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25.2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30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30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30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30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30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30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30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30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30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30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30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3.2" customHeight="1" x14ac:dyDescent="0.3"/>
  </sheetData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A199-68D6-4EBF-8369-78EE30697F1E}">
  <dimension ref="B6"/>
  <sheetViews>
    <sheetView workbookViewId="0">
      <selection activeCell="B15" sqref="B15"/>
    </sheetView>
  </sheetViews>
  <sheetFormatPr defaultRowHeight="14.4" x14ac:dyDescent="0.3"/>
  <cols>
    <col min="2" max="2" width="31.88671875" customWidth="1"/>
  </cols>
  <sheetData>
    <row r="6" spans="2:2" x14ac:dyDescent="0.3">
      <c r="B6" s="25" t="s">
        <v>41</v>
      </c>
    </row>
  </sheetData>
  <hyperlinks>
    <hyperlink ref="B6" r:id="rId1" xr:uid="{1F984A34-5025-461B-918F-66942C58C8D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E-Subscribers</vt:lpstr>
      <vt:lpstr>Google</vt:lpstr>
      <vt:lpstr>Calc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2022-11-19T11:39:08Z</cp:lastPrinted>
  <dcterms:created xsi:type="dcterms:W3CDTF">2022-11-19T08:46:06Z</dcterms:created>
  <dcterms:modified xsi:type="dcterms:W3CDTF">2022-11-19T12:50:05Z</dcterms:modified>
</cp:coreProperties>
</file>