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firstSheet="2" activeTab="4"/>
  </bookViews>
  <sheets>
    <sheet name="Sheet1" sheetId="1" r:id="rId1"/>
    <sheet name="原进攻怪参数" sheetId="2" r:id="rId2"/>
    <sheet name="新公式" sheetId="3" r:id="rId3"/>
    <sheet name="伤害因子调节" sheetId="10" r:id="rId4"/>
    <sheet name="BOSS血量" sheetId="6" r:id="rId5"/>
    <sheet name="各武功伤害及效果" sheetId="5" r:id="rId6"/>
    <sheet name="江湖技能代码" sheetId="8" r:id="rId7"/>
    <sheet name="绝学和绝内代码" sheetId="9" r:id="rId8"/>
    <sheet name="Sheet2" sheetId="7" r:id="rId9"/>
    <sheet name="新旧进攻怪生命值对比" sheetId="4" r:id="rId10"/>
  </sheets>
  <calcPr calcId="144525"/>
</workbook>
</file>

<file path=xl/sharedStrings.xml><?xml version="1.0" encoding="utf-8"?>
<sst xmlns="http://schemas.openxmlformats.org/spreadsheetml/2006/main" count="893" uniqueCount="590">
  <si>
    <t>伤害</t>
  </si>
  <si>
    <t>第1项</t>
  </si>
  <si>
    <t>第2项</t>
  </si>
  <si>
    <t>factor1</t>
  </si>
  <si>
    <t>历练系数</t>
  </si>
  <si>
    <t>招式伤害</t>
  </si>
  <si>
    <t>敌人等级</t>
  </si>
  <si>
    <t>factor2</t>
  </si>
  <si>
    <t>内力</t>
  </si>
  <si>
    <t>factor3</t>
  </si>
  <si>
    <t>B性格</t>
  </si>
  <si>
    <t>factor4</t>
  </si>
  <si>
    <t>真实伤害</t>
  </si>
  <si>
    <t>factor5</t>
  </si>
  <si>
    <t>暴击因子</t>
  </si>
  <si>
    <t>factor6</t>
  </si>
  <si>
    <t>技能等级</t>
  </si>
  <si>
    <t>伤害加成</t>
  </si>
  <si>
    <t>factor7</t>
  </si>
  <si>
    <t>伤害系数</t>
  </si>
  <si>
    <t>w1</t>
  </si>
  <si>
    <t>w2</t>
  </si>
  <si>
    <t>MIN</t>
  </si>
  <si>
    <t>MAX</t>
  </si>
  <si>
    <t>最大最小比</t>
  </si>
  <si>
    <t>波数</t>
  </si>
  <si>
    <t>进攻怪等级</t>
  </si>
  <si>
    <t>基础伤害</t>
  </si>
  <si>
    <t>伤害奖励</t>
  </si>
  <si>
    <t>难6伤害</t>
  </si>
  <si>
    <t>基础血量</t>
  </si>
  <si>
    <t>难6血量</t>
  </si>
  <si>
    <t>预期伤害</t>
  </si>
  <si>
    <t>溢出倍数</t>
  </si>
  <si>
    <t>历练</t>
  </si>
  <si>
    <t>等级</t>
  </si>
  <si>
    <t>备注</t>
  </si>
  <si>
    <t>3级技能</t>
  </si>
  <si>
    <t>8级技能</t>
  </si>
  <si>
    <t>15级技能</t>
  </si>
  <si>
    <t>25技能</t>
  </si>
  <si>
    <t>技能搭配</t>
  </si>
  <si>
    <t>江湖武学</t>
  </si>
  <si>
    <t>江湖内功</t>
  </si>
  <si>
    <t>绝学</t>
  </si>
  <si>
    <t>高级装备</t>
  </si>
  <si>
    <t>绝内</t>
  </si>
  <si>
    <t>残章</t>
  </si>
  <si>
    <t>多个绝内</t>
  </si>
  <si>
    <t>招式伤害因子</t>
  </si>
  <si>
    <t>内力因子</t>
  </si>
  <si>
    <t>真实伤害因子</t>
  </si>
  <si>
    <t>ATK1</t>
  </si>
  <si>
    <t>ATK2</t>
  </si>
  <si>
    <t>ATK</t>
  </si>
  <si>
    <t>怪物等级</t>
  </si>
  <si>
    <t>TAR_DEF</t>
  </si>
  <si>
    <t>Random</t>
  </si>
  <si>
    <t>Critical</t>
  </si>
  <si>
    <t>Crit_Prob</t>
  </si>
  <si>
    <t>DODGE</t>
  </si>
  <si>
    <t>DAMAGE_EXPECT</t>
  </si>
  <si>
    <t>Attacker_HP</t>
  </si>
  <si>
    <t>神龙心法等级</t>
  </si>
  <si>
    <t>技能等级系数</t>
  </si>
  <si>
    <t>上一级倍数</t>
  </si>
  <si>
    <t>副本</t>
  </si>
  <si>
    <t>BOSS</t>
  </si>
  <si>
    <t>血量</t>
  </si>
  <si>
    <t>伤害百分比</t>
  </si>
  <si>
    <t>闪避</t>
  </si>
  <si>
    <t>命中</t>
  </si>
  <si>
    <t>有效血量</t>
  </si>
  <si>
    <t>比值</t>
  </si>
  <si>
    <t>恶道头子</t>
  </si>
  <si>
    <t>马贼王中王</t>
  </si>
  <si>
    <t>唐文亮</t>
  </si>
  <si>
    <t>关能</t>
  </si>
  <si>
    <t>云中鹤</t>
  </si>
  <si>
    <t>南海鳄神</t>
  </si>
  <si>
    <t>叶二娘</t>
  </si>
  <si>
    <t>段延庆</t>
  </si>
  <si>
    <t>长须老鬼</t>
  </si>
  <si>
    <t>公孙止</t>
  </si>
  <si>
    <t>李秋水</t>
  </si>
  <si>
    <t>天山童姥</t>
  </si>
  <si>
    <t>无崖子</t>
  </si>
  <si>
    <t>东方不败</t>
  </si>
  <si>
    <t>门派伤害</t>
  </si>
  <si>
    <t>武功名称</t>
  </si>
  <si>
    <t>代码</t>
  </si>
  <si>
    <t>基础伤害评分</t>
  </si>
  <si>
    <t>最终伤害评分</t>
  </si>
  <si>
    <t>主动被动</t>
  </si>
  <si>
    <t>升重速度</t>
  </si>
  <si>
    <t>伤害范围</t>
  </si>
  <si>
    <t>触发概率/CD</t>
  </si>
  <si>
    <t>伤害因子w1</t>
  </si>
  <si>
    <t>伤害因子w2</t>
  </si>
  <si>
    <t>shxishu加成1</t>
  </si>
  <si>
    <t>shxishu加成2</t>
  </si>
  <si>
    <t>shxishu加成3</t>
  </si>
  <si>
    <t>shxishu加成4</t>
  </si>
  <si>
    <t>shxishu加成5</t>
  </si>
  <si>
    <t>shxishu加成6</t>
  </si>
  <si>
    <t>shxishu加成7</t>
  </si>
  <si>
    <t>其他加成</t>
  </si>
  <si>
    <t>门派武功</t>
  </si>
  <si>
    <t>少林</t>
  </si>
  <si>
    <t>韦陀棍法</t>
  </si>
  <si>
    <t>A05G</t>
  </si>
  <si>
    <t>被动</t>
  </si>
  <si>
    <t>300+经脉*8</t>
  </si>
  <si>
    <t>22+福缘/3</t>
  </si>
  <si>
    <t>降魔功+50%</t>
  </si>
  <si>
    <t>罗汉伏魔功+50%</t>
  </si>
  <si>
    <t>少林袈裟*8</t>
  </si>
  <si>
    <t>达摩剑法</t>
  </si>
  <si>
    <t>A000</t>
  </si>
  <si>
    <t>主动</t>
  </si>
  <si>
    <t>19-等级</t>
  </si>
  <si>
    <t>唐诗剑法+80%</t>
  </si>
  <si>
    <t>九阴真经·内功+70%</t>
  </si>
  <si>
    <t>大力金刚指</t>
  </si>
  <si>
    <t>A05K</t>
  </si>
  <si>
    <t>单体</t>
  </si>
  <si>
    <t>九阳+60%</t>
  </si>
  <si>
    <t>弹指+80%</t>
  </si>
  <si>
    <t>吸星+化功+100%</t>
  </si>
  <si>
    <t>金钟罩+化功</t>
  </si>
  <si>
    <t>A05O</t>
  </si>
  <si>
    <t>金钟罩+易筋经</t>
  </si>
  <si>
    <t>65-5*等级</t>
  </si>
  <si>
    <t>降魔+神照经</t>
  </si>
  <si>
    <t>S000</t>
  </si>
  <si>
    <t>武当</t>
  </si>
  <si>
    <t>柔云掌</t>
  </si>
  <si>
    <t>A04D</t>
  </si>
  <si>
    <t>15%/持续3-5秒</t>
  </si>
  <si>
    <t>纯阳无极功+50%</t>
  </si>
  <si>
    <t>唐诗剑法+70%</t>
  </si>
  <si>
    <t>弹指+70%</t>
  </si>
  <si>
    <t>绕指柔剑法</t>
  </si>
  <si>
    <t>A08S</t>
  </si>
  <si>
    <t>392+4*等级+4*等级^2</t>
  </si>
  <si>
    <t>14-等级</t>
  </si>
  <si>
    <t>双手+60%</t>
  </si>
  <si>
    <t>连城剑法+70%</t>
  </si>
  <si>
    <t>太极拳</t>
  </si>
  <si>
    <t>A08R</t>
  </si>
  <si>
    <t>混沌一气+60%</t>
  </si>
  <si>
    <t>斗转星移+80%</t>
  </si>
  <si>
    <t>九阳神功+80%</t>
  </si>
  <si>
    <t>纯阳无极功+乾坤</t>
  </si>
  <si>
    <t>A08Q</t>
  </si>
  <si>
    <t>27.5-2.5*等级/持续10秒</t>
  </si>
  <si>
    <t>混沌一气</t>
  </si>
  <si>
    <t>A08V</t>
  </si>
  <si>
    <t>峨眉</t>
  </si>
  <si>
    <t>四象掌</t>
  </si>
  <si>
    <t>A0C7</t>
  </si>
  <si>
    <t>15+福缘/5</t>
  </si>
  <si>
    <t>九阴白骨爪+80%</t>
  </si>
  <si>
    <t>乾坤+300范围</t>
  </si>
  <si>
    <t>佛光+（福缘*3/5）概率</t>
  </si>
  <si>
    <t>金顶绵掌</t>
  </si>
  <si>
    <t>A0C2</t>
  </si>
  <si>
    <t>峨眉九阳功+50%</t>
  </si>
  <si>
    <t>灭绝剑法</t>
  </si>
  <si>
    <t>A0C5</t>
  </si>
  <si>
    <t>900*350</t>
  </si>
  <si>
    <t>11-等级</t>
  </si>
  <si>
    <t>七伤拳+80%</t>
  </si>
  <si>
    <t>乾坤+900范围</t>
  </si>
  <si>
    <t>峨眉九阳功</t>
  </si>
  <si>
    <t>A0C6</t>
  </si>
  <si>
    <t>16/12/8/持续10秒</t>
  </si>
  <si>
    <t>九阳神功+300范围</t>
  </si>
  <si>
    <t>佛光普照</t>
  </si>
  <si>
    <t>A0C4</t>
  </si>
  <si>
    <t>九阳神功+800范围</t>
  </si>
  <si>
    <t>华山</t>
  </si>
  <si>
    <t>冲灵剑法</t>
  </si>
  <si>
    <t>A08W</t>
  </si>
  <si>
    <t>26+2*等级</t>
  </si>
  <si>
    <t>葵花宝典+80%</t>
  </si>
  <si>
    <t>1+经脉/20</t>
  </si>
  <si>
    <t>夺命剑气诀</t>
  </si>
  <si>
    <t>A08X</t>
  </si>
  <si>
    <t>连城剑法+60%</t>
  </si>
  <si>
    <t>葵花宝典+70%</t>
  </si>
  <si>
    <t>1+蓝上限/200</t>
  </si>
  <si>
    <t>狂风快剑</t>
  </si>
  <si>
    <t>A08Y</t>
  </si>
  <si>
    <t>主动释放+被动触发</t>
  </si>
  <si>
    <t>CD 21-等级/持续15秒/20+2*双手等级/持续8秒</t>
  </si>
  <si>
    <t>葵花宝典+60%</t>
  </si>
  <si>
    <t>乾坤+50%</t>
  </si>
  <si>
    <t>紫霞功</t>
  </si>
  <si>
    <t>A037</t>
  </si>
  <si>
    <t>14.5-0.5*等级/持续60次</t>
  </si>
  <si>
    <t>九阴真经·内功+80%</t>
  </si>
  <si>
    <t>1+胆魄/20</t>
  </si>
  <si>
    <t>混元功</t>
  </si>
  <si>
    <t>A091</t>
  </si>
  <si>
    <t>21.5-1.5*等级</t>
  </si>
  <si>
    <t>九阴真经·内功+60%</t>
  </si>
  <si>
    <t>吸星+50%</t>
  </si>
  <si>
    <t>恒山</t>
  </si>
  <si>
    <t>万花剑法</t>
  </si>
  <si>
    <t>A021</t>
  </si>
  <si>
    <t>8.4-0.4*等级/持续7秒</t>
  </si>
  <si>
    <t>菩萨印+80%</t>
  </si>
  <si>
    <t>辟邪剑法+120%</t>
  </si>
  <si>
    <t>易筋经+200%</t>
  </si>
  <si>
    <t>慈悲心法+2秒+100范围</t>
  </si>
  <si>
    <t>拂尘功</t>
  </si>
  <si>
    <t>A01Z</t>
  </si>
  <si>
    <t>15.7-0.7*等级/持续6秒</t>
  </si>
  <si>
    <t>辟邪剑法+100%</t>
  </si>
  <si>
    <t>慈悲心法+80%</t>
  </si>
  <si>
    <t>独孤九剑+110%</t>
  </si>
  <si>
    <t>葵花宝典+100范围+2秒</t>
  </si>
  <si>
    <t>菩萨印+100范围+2秒</t>
  </si>
  <si>
    <t>北岳剑诀</t>
  </si>
  <si>
    <t>A0CD</t>
  </si>
  <si>
    <t>菩萨印</t>
  </si>
  <si>
    <t>A024</t>
  </si>
  <si>
    <t>化功大法+70%</t>
  </si>
  <si>
    <t>慈悲心法</t>
  </si>
  <si>
    <t>A023</t>
  </si>
  <si>
    <t>31-等级</t>
  </si>
  <si>
    <t>洗髓经+200%</t>
  </si>
  <si>
    <t>丐帮</t>
  </si>
  <si>
    <t>太祖拳法</t>
  </si>
  <si>
    <t>A0C9</t>
  </si>
  <si>
    <t>500+40*等级</t>
  </si>
  <si>
    <t>九阳神功+100%</t>
  </si>
  <si>
    <t>双手=双倍伤害</t>
  </si>
  <si>
    <t>铁布衫*1.6范围</t>
  </si>
  <si>
    <t>打狗棒*8</t>
  </si>
  <si>
    <t>夜叉棍法</t>
  </si>
  <si>
    <t>A0CB</t>
  </si>
  <si>
    <t>800*150</t>
  </si>
  <si>
    <t>洗髓经+150%</t>
  </si>
  <si>
    <t>疯魔棍法</t>
  </si>
  <si>
    <t>A0C8</t>
  </si>
  <si>
    <t>单体*2</t>
  </si>
  <si>
    <t>双手=两条蛇</t>
  </si>
  <si>
    <t>西毒=大蛇</t>
  </si>
  <si>
    <t>西毒+太玄=巨蛇</t>
  </si>
  <si>
    <t>铁布衫</t>
  </si>
  <si>
    <t>A0CA</t>
  </si>
  <si>
    <t>20秒15次</t>
  </si>
  <si>
    <t>小无相=35次</t>
  </si>
  <si>
    <t>胆魄超过20=10秒CD</t>
  </si>
  <si>
    <t>丐帮心法+打狗</t>
  </si>
  <si>
    <t>A0DI</t>
  </si>
  <si>
    <t>300*960</t>
  </si>
  <si>
    <t>15秒</t>
  </si>
  <si>
    <t>丐帮心法+降龙</t>
  </si>
  <si>
    <t>古墓</t>
  </si>
  <si>
    <t>美女拳</t>
  </si>
  <si>
    <t>A09E</t>
  </si>
  <si>
    <t>双手+15%概率</t>
  </si>
  <si>
    <t>双剑合璧*8</t>
  </si>
  <si>
    <t>玉蜂针</t>
  </si>
  <si>
    <t>A09J</t>
  </si>
  <si>
    <t>14秒</t>
  </si>
  <si>
    <t>冰魄银针+80%</t>
  </si>
  <si>
    <t>玉蜂*3</t>
  </si>
  <si>
    <t>天罗地网掌</t>
  </si>
  <si>
    <t>A09M</t>
  </si>
  <si>
    <t>九阴白骨爪+70%</t>
  </si>
  <si>
    <t>斗转星移+300范围</t>
  </si>
  <si>
    <t>玉女心经</t>
  </si>
  <si>
    <t>A09U</t>
  </si>
  <si>
    <t>古墓清心诀</t>
  </si>
  <si>
    <t>A09T</t>
  </si>
  <si>
    <t>32-2*等级</t>
  </si>
  <si>
    <t>灵鹫宫</t>
  </si>
  <si>
    <t>天山折梅手</t>
  </si>
  <si>
    <t>A02B</t>
  </si>
  <si>
    <t>500+招式伤害/10+50*技能等级</t>
  </si>
  <si>
    <t>7-内力/400，不小于0.5秒</t>
  </si>
  <si>
    <t>天山六阳掌+60%</t>
  </si>
  <si>
    <t>月影舞步+50%</t>
  </si>
  <si>
    <t>九阴真经·易筋锻骨篇+70%</t>
  </si>
  <si>
    <t>1+真实伤害/600，不超过15</t>
  </si>
  <si>
    <t>月影舞步</t>
  </si>
  <si>
    <t>A02C</t>
  </si>
  <si>
    <t>19.5-1.5*等级</t>
  </si>
  <si>
    <t>如意刀法</t>
  </si>
  <si>
    <t>A02F</t>
  </si>
  <si>
    <t>20/持续7秒</t>
  </si>
  <si>
    <t>八荒+80%</t>
  </si>
  <si>
    <t>反两仪+100范围</t>
  </si>
  <si>
    <t>天山六阳掌</t>
  </si>
  <si>
    <t>A02H</t>
  </si>
  <si>
    <t>21-等级/持续10秒</t>
  </si>
  <si>
    <t>野球+100%</t>
  </si>
  <si>
    <t>九阳神功+200范围</t>
  </si>
  <si>
    <t>八荒六合唯我独尊功</t>
  </si>
  <si>
    <t>A02G</t>
  </si>
  <si>
    <t>700-70*西毒等级</t>
  </si>
  <si>
    <t>6+福缘/3+六脉等级*3%</t>
  </si>
  <si>
    <t>姑苏慕容</t>
  </si>
  <si>
    <t>家传剑法</t>
  </si>
  <si>
    <t>A02K</t>
  </si>
  <si>
    <t>20/持续17秒</t>
  </si>
  <si>
    <t>真星移斗转+100%</t>
  </si>
  <si>
    <t>连城剑法+8秒持续时间</t>
  </si>
  <si>
    <t>唐诗剑法+350范围</t>
  </si>
  <si>
    <t>袖中指</t>
  </si>
  <si>
    <t>A0CC</t>
  </si>
  <si>
    <t>15+福缘/6+等级*2</t>
  </si>
  <si>
    <t>参合指</t>
  </si>
  <si>
    <t>A02M</t>
  </si>
  <si>
    <t>7秒</t>
  </si>
  <si>
    <t>弹指=弹射三次</t>
  </si>
  <si>
    <t>慕容家训</t>
  </si>
  <si>
    <t>A02V</t>
  </si>
  <si>
    <t>6秒/持续10+2*等级</t>
  </si>
  <si>
    <t>真·星移斗转+乾坤</t>
  </si>
  <si>
    <t>A02R</t>
  </si>
  <si>
    <t>0秒/持续5+等级</t>
  </si>
  <si>
    <t>全真</t>
  </si>
  <si>
    <t>全真剑法</t>
  </si>
  <si>
    <t>A0CF</t>
  </si>
  <si>
    <t>单体/胆魄*20</t>
  </si>
  <si>
    <t>20+福缘/5</t>
  </si>
  <si>
    <t>乾坤大挪移+福缘*3/5概率</t>
  </si>
  <si>
    <t>金雁功</t>
  </si>
  <si>
    <t>A0DA</t>
  </si>
  <si>
    <t>昊天掌</t>
  </si>
  <si>
    <t>A0CM</t>
  </si>
  <si>
    <t>单体/+双手500</t>
  </si>
  <si>
    <t>26-等级</t>
  </si>
  <si>
    <t>福缘20+经脉20=福缘/2的概率刷新</t>
  </si>
  <si>
    <t>先天功</t>
  </si>
  <si>
    <t>A0CH</t>
  </si>
  <si>
    <t>被动触发</t>
  </si>
  <si>
    <t>215-15*等级</t>
  </si>
  <si>
    <t>乾坤大挪移+700范围</t>
  </si>
  <si>
    <t>三花聚顶</t>
  </si>
  <si>
    <t>A0DE</t>
  </si>
  <si>
    <t>10个单体</t>
  </si>
  <si>
    <t>吸星大法+70%</t>
  </si>
  <si>
    <t>九阳神功+3个单体</t>
  </si>
  <si>
    <t>弹指神通+3个单体</t>
  </si>
  <si>
    <t>医疗篇+50个单体</t>
  </si>
  <si>
    <t>星宿</t>
  </si>
  <si>
    <t>星宿逍遥掌</t>
  </si>
  <si>
    <t>A0BP</t>
  </si>
  <si>
    <t>星宿心法+50%</t>
  </si>
  <si>
    <t>吸星大法+60%</t>
  </si>
  <si>
    <t>化功大法+12%概率</t>
  </si>
  <si>
    <t>神木王鼎*2.5</t>
  </si>
  <si>
    <t>三阴蜈蚣爪</t>
  </si>
  <si>
    <t>A0BQ</t>
  </si>
  <si>
    <t>3*单体</t>
  </si>
  <si>
    <t>26秒/持续45秒</t>
  </si>
  <si>
    <t>双手=加两只虫子</t>
  </si>
  <si>
    <t>罗汉伏魔功+25秒持续时间</t>
  </si>
  <si>
    <t>天山杖法</t>
  </si>
  <si>
    <t>A0BS</t>
  </si>
  <si>
    <t>16-等级</t>
  </si>
  <si>
    <t>九阳神功+60%</t>
  </si>
  <si>
    <t>蛤蟆功+80%</t>
  </si>
  <si>
    <t>万毒噬骨术</t>
  </si>
  <si>
    <t>A0BT</t>
  </si>
  <si>
    <t>1秒</t>
  </si>
  <si>
    <t>七伤拳+60%</t>
  </si>
  <si>
    <t>星宿心法</t>
  </si>
  <si>
    <t>A0BV</t>
  </si>
  <si>
    <t>血刀</t>
  </si>
  <si>
    <t>血刀刀法</t>
  </si>
  <si>
    <t>A0CI</t>
  </si>
  <si>
    <t>200+经脉*15</t>
  </si>
  <si>
    <t>（15+福缘/5）/3</t>
  </si>
  <si>
    <t>四门刀法+70%</t>
  </si>
  <si>
    <t>一阳指+80%</t>
  </si>
  <si>
    <t>胡家刀法+150%</t>
  </si>
  <si>
    <t>血刀*8</t>
  </si>
  <si>
    <t>斗转星移+200范围</t>
  </si>
  <si>
    <t>血魔刀法</t>
  </si>
  <si>
    <t>A0CJ</t>
  </si>
  <si>
    <t>15+福缘/5%/持续5秒</t>
  </si>
  <si>
    <t>乾坤+5秒</t>
  </si>
  <si>
    <t>佛灭+5秒</t>
  </si>
  <si>
    <t>1+距离/5（0.25秒）</t>
  </si>
  <si>
    <t>血斩千刀</t>
  </si>
  <si>
    <t>A0CN</t>
  </si>
  <si>
    <t>10+等级个单体</t>
  </si>
  <si>
    <t>30秒</t>
  </si>
  <si>
    <t>四门刀法+90%</t>
  </si>
  <si>
    <t>乾坤+5个单体</t>
  </si>
  <si>
    <t>佛灭万劫功</t>
  </si>
  <si>
    <t>A0CK</t>
  </si>
  <si>
    <t>15+福缘/5、CD10秒</t>
  </si>
  <si>
    <t>血刀经·一刀绝空</t>
  </si>
  <si>
    <t>A0DH</t>
  </si>
  <si>
    <t>血刀*10</t>
  </si>
  <si>
    <t>血刀老祖</t>
  </si>
  <si>
    <t>100%/持续100秒</t>
  </si>
  <si>
    <t>明教</t>
  </si>
  <si>
    <t>鹰爪功</t>
  </si>
  <si>
    <t>A030</t>
  </si>
  <si>
    <t>420+80*等级</t>
  </si>
  <si>
    <t>25+福缘/3+化骨*8</t>
  </si>
  <si>
    <t>圣火*2</t>
  </si>
  <si>
    <t>乾坤*2</t>
  </si>
  <si>
    <t>1.8+0.2*距离*（20-50）/人数^2</t>
  </si>
  <si>
    <t>鹰爪功主动</t>
  </si>
  <si>
    <t>4.2-0.2*等级</t>
  </si>
  <si>
    <t>蝠翼纵</t>
  </si>
  <si>
    <t>A032</t>
  </si>
  <si>
    <t>20秒</t>
  </si>
  <si>
    <t>狮子吼</t>
  </si>
  <si>
    <t>A06R</t>
  </si>
  <si>
    <t>七伤拳+70%</t>
  </si>
  <si>
    <t>乾坤+100%</t>
  </si>
  <si>
    <t>圣火令神功</t>
  </si>
  <si>
    <t>A034</t>
  </si>
  <si>
    <t>掷出圣火令</t>
  </si>
  <si>
    <t>A035</t>
  </si>
  <si>
    <t>3.5秒</t>
  </si>
  <si>
    <t>乾坤大挪移</t>
  </si>
  <si>
    <t>A07W</t>
  </si>
  <si>
    <t>弹指神通</t>
  </si>
  <si>
    <t>A06H</t>
  </si>
  <si>
    <t>7+等级个单体</t>
  </si>
  <si>
    <t>12秒</t>
  </si>
  <si>
    <t>一阳指+60%</t>
  </si>
  <si>
    <t>六脉神剑+70%</t>
  </si>
  <si>
    <t>双手=双重效果</t>
  </si>
  <si>
    <t>冰魄银针</t>
  </si>
  <si>
    <t>A07A</t>
  </si>
  <si>
    <t>12个单体</t>
  </si>
  <si>
    <t>17秒</t>
  </si>
  <si>
    <t>小无相功+200%</t>
  </si>
  <si>
    <t>化骨绵掌</t>
  </si>
  <si>
    <t>A06L</t>
  </si>
  <si>
    <t>26-等级/持续6+等级</t>
  </si>
  <si>
    <t>黯然销魂掌+70%</t>
  </si>
  <si>
    <t>斗转=四个人</t>
  </si>
  <si>
    <t>连城剑法</t>
  </si>
  <si>
    <t>A06J</t>
  </si>
  <si>
    <t>3*直线</t>
  </si>
  <si>
    <t>8秒</t>
  </si>
  <si>
    <t>辟邪剑法+70%</t>
  </si>
  <si>
    <t>神照经+80%</t>
  </si>
  <si>
    <t>葵花宝典+2*直线</t>
  </si>
  <si>
    <t>独孤九剑+2*直线</t>
  </si>
  <si>
    <t>七伤拳</t>
  </si>
  <si>
    <t>A07M</t>
  </si>
  <si>
    <t>四门刀法</t>
  </si>
  <si>
    <t>A06M</t>
  </si>
  <si>
    <t>25秒/持续10秒</t>
  </si>
  <si>
    <t>化功+60%</t>
  </si>
  <si>
    <t>胡家+神照+150%+4剑阵</t>
  </si>
  <si>
    <t>反两仪+10秒</t>
  </si>
  <si>
    <t>唐诗剑法</t>
  </si>
  <si>
    <t>A071</t>
  </si>
  <si>
    <t>700（单侧）</t>
  </si>
  <si>
    <t>13秒</t>
  </si>
  <si>
    <t>独孤九剑+80%</t>
  </si>
  <si>
    <t>神照经+100%</t>
  </si>
  <si>
    <t>一阳指</t>
  </si>
  <si>
    <t>A06P</t>
  </si>
  <si>
    <t>9秒</t>
  </si>
  <si>
    <t>罗汉伏魔功+60%</t>
  </si>
  <si>
    <t>九阳神功+70%</t>
  </si>
  <si>
    <t>九阴白骨爪</t>
  </si>
  <si>
    <t>A07N</t>
  </si>
  <si>
    <t>16秒</t>
  </si>
  <si>
    <t>吸星大法+50%</t>
  </si>
  <si>
    <t>北冥神功+60%</t>
  </si>
  <si>
    <t>西毒杖法+70%</t>
  </si>
  <si>
    <t>弹指神通+60%</t>
  </si>
  <si>
    <t>摧坚神抓</t>
  </si>
  <si>
    <t>A0D1</t>
  </si>
  <si>
    <t>九阴真经·内功+100%</t>
  </si>
  <si>
    <t>摧心掌</t>
  </si>
  <si>
    <t>A0D3</t>
  </si>
  <si>
    <t>空明拳</t>
  </si>
  <si>
    <t>A017</t>
  </si>
  <si>
    <t>21.5-1.5*等级秒/15+福缘/5</t>
  </si>
  <si>
    <t>摧坚神抓+80%</t>
  </si>
  <si>
    <t>双手互搏=400范围</t>
  </si>
  <si>
    <t>碧海潮生曲·角</t>
  </si>
  <si>
    <t>A018</t>
  </si>
  <si>
    <t>5.5-0.5*等级</t>
  </si>
  <si>
    <t>九阴真经·九阴白骨爪+100%</t>
  </si>
  <si>
    <t>玉箫*8</t>
  </si>
  <si>
    <t>碧海潮生曲·羽</t>
  </si>
  <si>
    <t>降龙十八掌</t>
  </si>
  <si>
    <t>A07E</t>
  </si>
  <si>
    <t>180秒/持续30秒</t>
  </si>
  <si>
    <t>1+绝学领悟/3</t>
  </si>
  <si>
    <t>降龙十八掌之神龙摆尾</t>
  </si>
  <si>
    <t>8%/0.3秒一次持续60次</t>
  </si>
  <si>
    <t>独孤九剑</t>
  </si>
  <si>
    <t>A07F</t>
  </si>
  <si>
    <t>450*48个</t>
  </si>
  <si>
    <t>140秒</t>
  </si>
  <si>
    <t>独孤九剑奥义之破剑式</t>
  </si>
  <si>
    <t>10%/3.5秒内打出30颗导弹</t>
  </si>
  <si>
    <t>黯然销魂掌</t>
  </si>
  <si>
    <t>A07G</t>
  </si>
  <si>
    <t>160秒/持续26波</t>
  </si>
  <si>
    <t>黯然销魂掌之无中生有</t>
  </si>
  <si>
    <t>6%/0.1秒一个波*120个</t>
  </si>
  <si>
    <t>反两仪刀法</t>
  </si>
  <si>
    <t>A07H</t>
  </si>
  <si>
    <t>160秒/持续20秒</t>
  </si>
  <si>
    <t>反两仪刀法之行气如虹一段</t>
  </si>
  <si>
    <t>反两仪刀法之行气如虹二段</t>
  </si>
  <si>
    <t>单体*8个飞行机器</t>
  </si>
  <si>
    <t>10%/持续6秒</t>
  </si>
  <si>
    <t>野球拳</t>
  </si>
  <si>
    <t>A07I</t>
  </si>
  <si>
    <t>205秒/0.3秒一次伤害持续19秒</t>
  </si>
  <si>
    <t>野球拳之翻肘裂捶</t>
  </si>
  <si>
    <t>10%/0.5秒一次伤害持续38次</t>
  </si>
  <si>
    <t>辟邪剑法</t>
  </si>
  <si>
    <t>A07J</t>
  </si>
  <si>
    <t>175秒/持续20秒</t>
  </si>
  <si>
    <t>辟邪剑法之流星赶月</t>
  </si>
  <si>
    <t>200*3根</t>
  </si>
  <si>
    <t>5%/0.5秒伤害一次持续25秒</t>
  </si>
  <si>
    <t>胡家刀法</t>
  </si>
  <si>
    <t>A086</t>
  </si>
  <si>
    <t>165秒/0.3秒一次伤害*50次</t>
  </si>
  <si>
    <t>胡家刀法之八方藏刀式</t>
  </si>
  <si>
    <t>300*8方</t>
  </si>
  <si>
    <t>西毒杖法</t>
  </si>
  <si>
    <t>A089</t>
  </si>
  <si>
    <t>125秒/0.6秒一次伤害持续30秒</t>
  </si>
  <si>
    <t>蛇杖*8</t>
  </si>
  <si>
    <t>西毒棍法之蛇盘青竹</t>
  </si>
  <si>
    <t>单体*12条蛇*12次每条蛇</t>
  </si>
  <si>
    <t>六脉神剑</t>
  </si>
  <si>
    <t>A085</t>
  </si>
  <si>
    <t>135秒/6秒每秒50次伤害</t>
  </si>
  <si>
    <t>六脉神剑之少商剑</t>
  </si>
  <si>
    <t>最多30个目标</t>
  </si>
  <si>
    <t>打狗棒法第一段伤害</t>
  </si>
  <si>
    <t>A07L</t>
  </si>
  <si>
    <t>180秒/一次性伤害</t>
  </si>
  <si>
    <t>打狗棒法第二段伤害</t>
  </si>
  <si>
    <t>180秒/0.3秒一次伤害持续6秒</t>
  </si>
  <si>
    <t>打狗棒法之恶狗拦路</t>
  </si>
  <si>
    <t>6%/持续10秒/每秒15次伤害</t>
  </si>
  <si>
    <t>无相劫指</t>
  </si>
  <si>
    <t>A03P</t>
  </si>
  <si>
    <t>多个单体</t>
  </si>
  <si>
    <t>伤害持续3秒</t>
  </si>
  <si>
    <t>弹指神通+80%</t>
  </si>
  <si>
    <t>罗汉</t>
  </si>
  <si>
    <t>A07O</t>
  </si>
  <si>
    <t>九阳</t>
  </si>
  <si>
    <t>A0DN</t>
  </si>
  <si>
    <t>化工</t>
  </si>
  <si>
    <t>A07P</t>
  </si>
  <si>
    <t>吸星</t>
  </si>
  <si>
    <t>A07R</t>
  </si>
  <si>
    <t>双手</t>
  </si>
  <si>
    <t>A07U</t>
  </si>
  <si>
    <t>葵花</t>
  </si>
  <si>
    <t>A07T</t>
  </si>
  <si>
    <t>九阴真经</t>
  </si>
  <si>
    <t>A07S</t>
  </si>
  <si>
    <t>江湖武功</t>
  </si>
  <si>
    <t>弹指</t>
  </si>
  <si>
    <t>连城</t>
  </si>
  <si>
    <t>化骨</t>
  </si>
  <si>
    <t>四门</t>
  </si>
  <si>
    <t>七伤</t>
  </si>
  <si>
    <t>空明</t>
  </si>
  <si>
    <t>碧海</t>
  </si>
  <si>
    <t>九阴系列</t>
  </si>
  <si>
    <t>摧坚神爪</t>
  </si>
  <si>
    <t>逆九阴</t>
  </si>
  <si>
    <t>A0D2</t>
  </si>
  <si>
    <t>医疗篇</t>
  </si>
  <si>
    <t>A0D4</t>
  </si>
  <si>
    <t>锻骨篇</t>
  </si>
  <si>
    <t>旧Attacker_HP</t>
  </si>
  <si>
    <t>新Attacker_HP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</si>
</sst>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  <numFmt numFmtId="177" formatCode="0.0_);[Red]\(0.0\)"/>
    <numFmt numFmtId="178" formatCode="0.00_ "/>
    <numFmt numFmtId="179" formatCode="0_ "/>
    <numFmt numFmtId="180" formatCode="0.0_ "/>
    <numFmt numFmtId="181" formatCode="0.000"/>
    <numFmt numFmtId="182" formatCode="0.00_);[Red]\(0.00\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Calibri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7" fontId="0" fillId="0" borderId="0" xfId="0" applyNumberFormat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0" fontId="3" fillId="0" borderId="0" xfId="0" applyNumberFormat="1" applyFont="1"/>
    <xf numFmtId="2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/>
    <xf numFmtId="0" fontId="1" fillId="0" borderId="0" xfId="0" applyFont="1"/>
    <xf numFmtId="176" fontId="0" fillId="0" borderId="0" xfId="0" applyNumberFormat="1"/>
    <xf numFmtId="0" fontId="4" fillId="0" borderId="0" xfId="0" applyFont="1" applyAlignment="1">
      <alignment horizontal="justify" vertical="center"/>
    </xf>
    <xf numFmtId="2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新旧进攻怪生命值对比!$C$1</c:f>
              <c:strCache>
                <c:ptCount val="1"/>
                <c:pt idx="0">
                  <c:v>新Attacker_HP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新旧进攻怪生命值对比!$A$2:$A$29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新旧进攻怪生命值对比!$C$2:$C$29</c:f>
              <c:numCache>
                <c:formatCode>0</c:formatCode>
                <c:ptCount val="28"/>
                <c:pt idx="0">
                  <c:v>171.9036</c:v>
                </c:pt>
                <c:pt idx="1">
                  <c:v>460</c:v>
                </c:pt>
                <c:pt idx="2">
                  <c:v>670.9635072</c:v>
                </c:pt>
                <c:pt idx="3">
                  <c:v>971.2</c:v>
                </c:pt>
                <c:pt idx="4">
                  <c:v>1436.8</c:v>
                </c:pt>
                <c:pt idx="5">
                  <c:v>2008</c:v>
                </c:pt>
                <c:pt idx="6">
                  <c:v>2784.5935104</c:v>
                </c:pt>
                <c:pt idx="7">
                  <c:v>3146.0836210839</c:v>
                </c:pt>
                <c:pt idx="8">
                  <c:v>4655.07668562226</c:v>
                </c:pt>
                <c:pt idx="9">
                  <c:v>6887.84582958995</c:v>
                </c:pt>
                <c:pt idx="10">
                  <c:v>10191.5442808345</c:v>
                </c:pt>
                <c:pt idx="11">
                  <c:v>15944.321541632</c:v>
                </c:pt>
                <c:pt idx="12">
                  <c:v>22312.7526876232</c:v>
                </c:pt>
                <c:pt idx="13">
                  <c:v>33014.8805111625</c:v>
                </c:pt>
                <c:pt idx="14">
                  <c:v>48850.1956897029</c:v>
                </c:pt>
                <c:pt idx="15">
                  <c:v>72280.7892070192</c:v>
                </c:pt>
                <c:pt idx="16">
                  <c:v>124619.366629376</c:v>
                </c:pt>
                <c:pt idx="17">
                  <c:v>158247.202700707</c:v>
                </c:pt>
                <c:pt idx="18">
                  <c:v>234149.168483706</c:v>
                </c:pt>
                <c:pt idx="19">
                  <c:v>346456.886225679</c:v>
                </c:pt>
                <c:pt idx="20">
                  <c:v>512632.074632144</c:v>
                </c:pt>
                <c:pt idx="21">
                  <c:v>801326.100997648</c:v>
                </c:pt>
                <c:pt idx="22">
                  <c:v>1122325.76200647</c:v>
                </c:pt>
                <c:pt idx="23">
                  <c:v>1660640.05844498</c:v>
                </c:pt>
                <c:pt idx="24">
                  <c:v>2457152.36793811</c:v>
                </c:pt>
                <c:pt idx="25">
                  <c:v>3635705.23820644</c:v>
                </c:pt>
                <c:pt idx="26">
                  <c:v>5379541.27371182</c:v>
                </c:pt>
                <c:pt idx="27">
                  <c:v>7630309.4116732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62120"/>
        <c:axId val="260462512"/>
      </c:scatterChart>
      <c:valAx>
        <c:axId val="2604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462512"/>
        <c:crosses val="autoZero"/>
        <c:crossBetween val="midCat"/>
      </c:valAx>
      <c:valAx>
        <c:axId val="260462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46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487680</xdr:colOff>
      <xdr:row>5</xdr:row>
      <xdr:rowOff>125730</xdr:rowOff>
    </xdr:from>
    <xdr:to>
      <xdr:col>18</xdr:col>
      <xdr:colOff>182880</xdr:colOff>
      <xdr:row>20</xdr:row>
      <xdr:rowOff>125730</xdr:rowOff>
    </xdr:to>
    <xdr:graphicFrame>
      <xdr:nvGraphicFramePr>
        <xdr:cNvPr id="2" name="图表 1"/>
        <xdr:cNvGraphicFramePr/>
      </xdr:nvGraphicFramePr>
      <xdr:xfrm>
        <a:off x="8216900" y="982980"/>
        <a:ext cx="51816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workbookViewId="0">
      <selection activeCell="C14" sqref="C14"/>
    </sheetView>
  </sheetViews>
  <sheetFormatPr defaultColWidth="9" defaultRowHeight="13.5"/>
  <cols>
    <col min="1" max="1" width="12.775" customWidth="1"/>
    <col min="2" max="4" width="23.775" customWidth="1"/>
    <col min="5" max="5" width="12.1083333333333" customWidth="1"/>
    <col min="24" max="24" width="27.775" customWidth="1"/>
  </cols>
  <sheetData>
    <row r="1" spans="2:23">
      <c r="B1" t="s">
        <v>0</v>
      </c>
      <c r="C1" t="s">
        <v>1</v>
      </c>
      <c r="D1" t="s">
        <v>2</v>
      </c>
      <c r="E1" s="21" t="s">
        <v>3</v>
      </c>
      <c r="F1" t="s">
        <v>4</v>
      </c>
      <c r="G1" t="s">
        <v>5</v>
      </c>
      <c r="H1" t="s">
        <v>6</v>
      </c>
      <c r="I1" s="21" t="s">
        <v>7</v>
      </c>
      <c r="J1" t="s">
        <v>8</v>
      </c>
      <c r="K1" s="21" t="s">
        <v>9</v>
      </c>
      <c r="L1" t="s">
        <v>10</v>
      </c>
      <c r="M1" s="21" t="s">
        <v>11</v>
      </c>
      <c r="N1" t="s">
        <v>12</v>
      </c>
      <c r="O1" s="21" t="s">
        <v>13</v>
      </c>
      <c r="P1" t="s">
        <v>14</v>
      </c>
      <c r="Q1" s="21" t="s">
        <v>15</v>
      </c>
      <c r="R1" t="s">
        <v>16</v>
      </c>
      <c r="S1" t="s">
        <v>17</v>
      </c>
      <c r="T1" s="21" t="s">
        <v>18</v>
      </c>
      <c r="U1" t="s">
        <v>19</v>
      </c>
      <c r="V1" t="s">
        <v>20</v>
      </c>
      <c r="W1" t="s">
        <v>21</v>
      </c>
    </row>
    <row r="2" ht="14.25" spans="1:24">
      <c r="A2" t="s">
        <v>22</v>
      </c>
      <c r="B2">
        <f>U2*(V2*Q2*E2*I2+W2*M2)*O2*K2*T2</f>
        <v>36.499173553719</v>
      </c>
      <c r="C2">
        <f>V2*Q2*E2*I2</f>
        <v>0.0499173553719008</v>
      </c>
      <c r="D2">
        <f>W2*M2</f>
        <v>3.6</v>
      </c>
      <c r="E2" s="21">
        <f>F2*G2/3/((1+H2/10)^2)</f>
        <v>0.0275482093663912</v>
      </c>
      <c r="F2">
        <v>1</v>
      </c>
      <c r="G2">
        <v>10</v>
      </c>
      <c r="H2">
        <v>100</v>
      </c>
      <c r="I2" s="21">
        <f>(150+J2)/150</f>
        <v>1.00666666666667</v>
      </c>
      <c r="J2">
        <v>1</v>
      </c>
      <c r="K2" s="21">
        <v>10</v>
      </c>
      <c r="L2">
        <v>1</v>
      </c>
      <c r="M2" s="21">
        <f>1.2*N2</f>
        <v>1.2</v>
      </c>
      <c r="N2">
        <v>1</v>
      </c>
      <c r="O2" s="21">
        <v>1</v>
      </c>
      <c r="P2">
        <v>1</v>
      </c>
      <c r="Q2" s="21">
        <f>(1+R2)*(S2+0.6)/2</f>
        <v>0.6</v>
      </c>
      <c r="R2">
        <v>1</v>
      </c>
      <c r="S2">
        <v>0</v>
      </c>
      <c r="T2" s="21">
        <v>1</v>
      </c>
      <c r="U2">
        <v>1</v>
      </c>
      <c r="V2">
        <v>3</v>
      </c>
      <c r="W2">
        <v>3</v>
      </c>
      <c r="X2" s="23"/>
    </row>
    <row r="3" spans="5:20">
      <c r="E3" s="21"/>
      <c r="F3">
        <v>1.7</v>
      </c>
      <c r="I3" s="21"/>
      <c r="K3" s="21"/>
      <c r="M3" s="21"/>
      <c r="O3" s="21"/>
      <c r="Q3" s="21"/>
      <c r="T3" s="21"/>
    </row>
    <row r="4" spans="5:20">
      <c r="E4" s="21"/>
      <c r="F4">
        <v>2.6</v>
      </c>
      <c r="I4" s="21"/>
      <c r="K4" s="21"/>
      <c r="M4" s="21"/>
      <c r="O4" s="21"/>
      <c r="Q4" s="21"/>
      <c r="T4" s="21"/>
    </row>
    <row r="5" spans="5:20">
      <c r="E5" s="21"/>
      <c r="F5">
        <v>4.2</v>
      </c>
      <c r="I5" s="21"/>
      <c r="K5" s="21"/>
      <c r="M5" s="21"/>
      <c r="O5" s="21"/>
      <c r="Q5" s="21"/>
      <c r="T5" s="21"/>
    </row>
    <row r="6" spans="5:20">
      <c r="E6" s="21"/>
      <c r="F6">
        <v>7</v>
      </c>
      <c r="I6" s="21"/>
      <c r="K6" s="21"/>
      <c r="M6" s="21"/>
      <c r="O6" s="21"/>
      <c r="Q6" s="21"/>
      <c r="T6" s="21"/>
    </row>
    <row r="7" spans="5:20">
      <c r="E7" s="21"/>
      <c r="F7">
        <v>12</v>
      </c>
      <c r="I7" s="21"/>
      <c r="K7" s="21"/>
      <c r="M7" s="21"/>
      <c r="O7" s="21"/>
      <c r="Q7" s="21"/>
      <c r="T7" s="21"/>
    </row>
    <row r="8" spans="1:23">
      <c r="A8" t="s">
        <v>23</v>
      </c>
      <c r="B8">
        <f>U8*(V8*Q8*E8*I8+W8*M8)*O8*K8*T8</f>
        <v>1.56587622038568e+16</v>
      </c>
      <c r="C8">
        <f>V8*Q8*E8*I8</f>
        <v>2087786960514.23</v>
      </c>
      <c r="D8">
        <f>W8*M8</f>
        <v>48000000</v>
      </c>
      <c r="E8" s="21">
        <f>F8*G8/3/((1+H8/10)^2)</f>
        <v>55096.4187327824</v>
      </c>
      <c r="F8">
        <v>20</v>
      </c>
      <c r="G8">
        <v>10000</v>
      </c>
      <c r="H8">
        <v>1</v>
      </c>
      <c r="I8" s="21">
        <f>(150+J8)/150</f>
        <v>67.6666666666667</v>
      </c>
      <c r="J8">
        <v>10000</v>
      </c>
      <c r="K8" s="21">
        <f>10*(1+L8/5)</f>
        <v>20</v>
      </c>
      <c r="L8">
        <v>5</v>
      </c>
      <c r="M8" s="21">
        <f>1.2*N8</f>
        <v>12000</v>
      </c>
      <c r="N8">
        <v>10000</v>
      </c>
      <c r="O8" s="21">
        <v>50</v>
      </c>
      <c r="P8">
        <v>50</v>
      </c>
      <c r="Q8" s="21">
        <f>(1+R8)*(S8+0.6)/2*5</f>
        <v>140</v>
      </c>
      <c r="R8">
        <v>9</v>
      </c>
      <c r="S8">
        <v>5</v>
      </c>
      <c r="T8" s="21">
        <v>1.5</v>
      </c>
      <c r="U8">
        <v>5</v>
      </c>
      <c r="V8">
        <v>4000</v>
      </c>
      <c r="W8">
        <v>4000</v>
      </c>
    </row>
    <row r="9" spans="1:20">
      <c r="A9" t="s">
        <v>24</v>
      </c>
      <c r="E9" s="22">
        <f>E8/E2</f>
        <v>2000000</v>
      </c>
      <c r="I9" s="22">
        <f>I8/I2</f>
        <v>67.2185430463576</v>
      </c>
      <c r="K9" s="22">
        <f>K8/K2</f>
        <v>2</v>
      </c>
      <c r="M9" s="22">
        <f>M8/M2</f>
        <v>10000</v>
      </c>
      <c r="O9" s="22">
        <f>O8/O2</f>
        <v>50</v>
      </c>
      <c r="Q9" s="22">
        <f>Q8/Q2</f>
        <v>233.333333333333</v>
      </c>
      <c r="T9" s="22">
        <f>T8/T2</f>
        <v>1.5</v>
      </c>
    </row>
    <row r="10" spans="2:23">
      <c r="B10">
        <f>U10*(V10*Q10*E10*I10+W10*M10)*O10*K10*T10</f>
        <v>11345.92</v>
      </c>
      <c r="C10">
        <f>V10*Q10*E10*I10</f>
        <v>689.92</v>
      </c>
      <c r="D10">
        <f>W10*M10</f>
        <v>19.2</v>
      </c>
      <c r="E10" s="21">
        <f>F10*G10/3/((1+H10/10)^2)</f>
        <v>62.2222222222222</v>
      </c>
      <c r="F10">
        <v>10</v>
      </c>
      <c r="G10">
        <v>42</v>
      </c>
      <c r="H10">
        <v>5</v>
      </c>
      <c r="I10" s="21">
        <f>(150+J10)/150</f>
        <v>1.54</v>
      </c>
      <c r="J10">
        <v>81</v>
      </c>
      <c r="K10" s="21">
        <v>16</v>
      </c>
      <c r="L10">
        <v>3</v>
      </c>
      <c r="M10" s="21">
        <f>1.2*N10</f>
        <v>1.2</v>
      </c>
      <c r="N10">
        <v>1</v>
      </c>
      <c r="O10" s="21">
        <v>1</v>
      </c>
      <c r="P10">
        <v>1.5</v>
      </c>
      <c r="Q10" s="24">
        <f>(1+R10)*(S10+0.6)/2</f>
        <v>0.6</v>
      </c>
      <c r="R10">
        <v>1</v>
      </c>
      <c r="S10">
        <v>0</v>
      </c>
      <c r="T10">
        <v>1</v>
      </c>
      <c r="U10">
        <v>1</v>
      </c>
      <c r="V10">
        <v>12</v>
      </c>
      <c r="W10">
        <v>16</v>
      </c>
    </row>
    <row r="11" spans="2:23">
      <c r="B11">
        <f>U11*(V11*Q11*E11*I11+W11*M11)*K11*T11</f>
        <v>2350.89111111111</v>
      </c>
      <c r="C11">
        <f>V11*Q11*E11*I11</f>
        <v>167.517777777778</v>
      </c>
      <c r="D11">
        <f>W11*M11</f>
        <v>13.32</v>
      </c>
      <c r="E11" s="21">
        <f>F11*G11/3/((1+H11/10)^2)</f>
        <v>20.3703703703704</v>
      </c>
      <c r="F11">
        <v>4</v>
      </c>
      <c r="G11">
        <v>22</v>
      </c>
      <c r="H11">
        <v>2</v>
      </c>
      <c r="I11" s="21">
        <f>(150+J11)/150</f>
        <v>1.54</v>
      </c>
      <c r="J11">
        <v>81</v>
      </c>
      <c r="K11" s="21">
        <v>13</v>
      </c>
      <c r="L11">
        <v>3</v>
      </c>
      <c r="M11" s="21">
        <f>1.2*N11</f>
        <v>1.2</v>
      </c>
      <c r="N11">
        <v>1</v>
      </c>
      <c r="O11" s="21">
        <v>1</v>
      </c>
      <c r="P11">
        <v>1.5</v>
      </c>
      <c r="Q11" s="24">
        <f>(1+R11)*(S11+0.6)/2</f>
        <v>0.6</v>
      </c>
      <c r="R11">
        <v>1</v>
      </c>
      <c r="S11">
        <v>0</v>
      </c>
      <c r="T11">
        <v>1</v>
      </c>
      <c r="U11">
        <v>1</v>
      </c>
      <c r="V11">
        <v>8.9</v>
      </c>
      <c r="W11">
        <v>11.1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L45" sqref="L45"/>
    </sheetView>
  </sheetViews>
  <sheetFormatPr defaultColWidth="9" defaultRowHeight="13.5" outlineLevelCol="2"/>
  <cols>
    <col min="2" max="2" width="15.2166666666667" customWidth="1"/>
    <col min="3" max="3" width="14.2166666666667" customWidth="1"/>
  </cols>
  <sheetData>
    <row r="1" spans="1:3">
      <c r="A1" s="1" t="s">
        <v>25</v>
      </c>
      <c r="B1" s="1" t="s">
        <v>588</v>
      </c>
      <c r="C1" s="1" t="s">
        <v>589</v>
      </c>
    </row>
    <row r="2" spans="1:3">
      <c r="A2" s="2">
        <v>1</v>
      </c>
      <c r="B2">
        <v>148</v>
      </c>
      <c r="C2" s="3">
        <v>171.9036</v>
      </c>
    </row>
    <row r="3" spans="1:3">
      <c r="A3" s="2">
        <v>2</v>
      </c>
      <c r="B3">
        <v>709</v>
      </c>
      <c r="C3" s="4">
        <v>460</v>
      </c>
    </row>
    <row r="4" spans="1:3">
      <c r="A4" s="2">
        <v>3</v>
      </c>
      <c r="B4">
        <v>1900</v>
      </c>
      <c r="C4" s="3">
        <v>670.9635072</v>
      </c>
    </row>
    <row r="5" spans="1:3">
      <c r="A5" s="2">
        <v>4</v>
      </c>
      <c r="B5">
        <v>1900</v>
      </c>
      <c r="C5" s="4">
        <v>971.2</v>
      </c>
    </row>
    <row r="6" spans="1:3">
      <c r="A6" s="2">
        <v>5</v>
      </c>
      <c r="B6">
        <v>2600</v>
      </c>
      <c r="C6" s="4">
        <v>1436.8</v>
      </c>
    </row>
    <row r="7" spans="1:3">
      <c r="A7" s="2">
        <v>6</v>
      </c>
      <c r="B7">
        <v>3800</v>
      </c>
      <c r="C7" s="4">
        <v>2008</v>
      </c>
    </row>
    <row r="8" spans="1:3">
      <c r="A8" s="2">
        <v>7</v>
      </c>
      <c r="B8">
        <v>4500</v>
      </c>
      <c r="C8" s="3">
        <v>2784.5935104</v>
      </c>
    </row>
    <row r="9" spans="1:3">
      <c r="A9" s="2">
        <v>8</v>
      </c>
      <c r="B9">
        <v>5900</v>
      </c>
      <c r="C9" s="4">
        <v>3146.0836210839</v>
      </c>
    </row>
    <row r="10" spans="1:3">
      <c r="A10" s="2">
        <v>9</v>
      </c>
      <c r="B10">
        <v>7200</v>
      </c>
      <c r="C10" s="4">
        <v>4655.07668562226</v>
      </c>
    </row>
    <row r="11" spans="1:3">
      <c r="A11" s="2">
        <v>10</v>
      </c>
      <c r="B11">
        <v>10600</v>
      </c>
      <c r="C11" s="4">
        <v>6887.84582958995</v>
      </c>
    </row>
    <row r="12" spans="1:3">
      <c r="A12" s="2">
        <v>11</v>
      </c>
      <c r="B12">
        <v>13500</v>
      </c>
      <c r="C12" s="4">
        <v>10191.5442808345</v>
      </c>
    </row>
    <row r="13" spans="1:3">
      <c r="A13" s="2">
        <v>12</v>
      </c>
      <c r="B13">
        <v>18200</v>
      </c>
      <c r="C13" s="3">
        <v>15944.321541632</v>
      </c>
    </row>
    <row r="14" spans="1:3">
      <c r="A14" s="2">
        <v>13</v>
      </c>
      <c r="B14">
        <v>23900</v>
      </c>
      <c r="C14" s="4">
        <v>22312.7526876232</v>
      </c>
    </row>
    <row r="15" spans="1:3">
      <c r="A15" s="2">
        <v>14</v>
      </c>
      <c r="B15">
        <v>30300</v>
      </c>
      <c r="C15" s="4">
        <v>33014.8805111625</v>
      </c>
    </row>
    <row r="16" spans="1:3">
      <c r="A16" s="2">
        <v>15</v>
      </c>
      <c r="B16">
        <v>39800</v>
      </c>
      <c r="C16" s="4">
        <v>48850.1956897029</v>
      </c>
    </row>
    <row r="17" spans="1:3">
      <c r="A17" s="2">
        <v>16</v>
      </c>
      <c r="B17">
        <v>50600</v>
      </c>
      <c r="C17" s="4">
        <v>72280.7892070192</v>
      </c>
    </row>
    <row r="18" spans="1:3">
      <c r="A18" s="2">
        <v>17</v>
      </c>
      <c r="B18">
        <v>62000</v>
      </c>
      <c r="C18" s="3">
        <v>124619.366629376</v>
      </c>
    </row>
    <row r="19" spans="1:3">
      <c r="A19" s="2">
        <v>18</v>
      </c>
      <c r="B19">
        <v>74200</v>
      </c>
      <c r="C19" s="4">
        <v>158247.202700707</v>
      </c>
    </row>
    <row r="20" spans="1:3">
      <c r="A20" s="2">
        <v>19</v>
      </c>
      <c r="B20">
        <v>203500</v>
      </c>
      <c r="C20" s="4">
        <v>234149.168483706</v>
      </c>
    </row>
    <row r="21" spans="1:3">
      <c r="A21" s="2">
        <v>20</v>
      </c>
      <c r="B21">
        <v>366700</v>
      </c>
      <c r="C21" s="4">
        <v>346456.886225679</v>
      </c>
    </row>
    <row r="22" spans="1:3">
      <c r="A22" s="2">
        <v>21</v>
      </c>
      <c r="B22">
        <v>461300</v>
      </c>
      <c r="C22" s="4">
        <v>512632.074632144</v>
      </c>
    </row>
    <row r="23" spans="1:3">
      <c r="A23" s="2">
        <v>22</v>
      </c>
      <c r="B23">
        <v>703000</v>
      </c>
      <c r="C23" s="3">
        <v>801326.100997648</v>
      </c>
    </row>
    <row r="24" spans="1:3">
      <c r="A24" s="2">
        <v>23</v>
      </c>
      <c r="B24">
        <v>888800</v>
      </c>
      <c r="C24" s="4">
        <v>1122325.76200647</v>
      </c>
    </row>
    <row r="25" spans="1:3">
      <c r="A25" s="2">
        <v>24</v>
      </c>
      <c r="B25">
        <v>1044800</v>
      </c>
      <c r="C25" s="4">
        <v>1660640.05844498</v>
      </c>
    </row>
    <row r="26" spans="1:3">
      <c r="A26" s="2">
        <v>25</v>
      </c>
      <c r="B26">
        <v>2005600</v>
      </c>
      <c r="C26" s="4">
        <v>2457152.36793811</v>
      </c>
    </row>
    <row r="27" spans="1:3">
      <c r="A27" s="2">
        <v>26</v>
      </c>
      <c r="B27">
        <v>2767100</v>
      </c>
      <c r="C27" s="4">
        <v>3635705.23820644</v>
      </c>
    </row>
    <row r="28" spans="1:3">
      <c r="A28" s="2">
        <v>27</v>
      </c>
      <c r="B28">
        <v>5215800</v>
      </c>
      <c r="C28" s="4">
        <v>5379541.27371182</v>
      </c>
    </row>
    <row r="29" spans="1:3">
      <c r="A29" s="2">
        <v>28</v>
      </c>
      <c r="B29">
        <v>9622000</v>
      </c>
      <c r="C29" s="3">
        <v>7630309.4116732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workbookViewId="0">
      <selection activeCell="F2" sqref="F2:F29"/>
    </sheetView>
  </sheetViews>
  <sheetFormatPr defaultColWidth="9" defaultRowHeight="13.5"/>
  <cols>
    <col min="2" max="2" width="15" customWidth="1"/>
    <col min="7" max="7" width="12.2166666666667" customWidth="1"/>
    <col min="8" max="9" width="22.8833333333333" customWidth="1"/>
  </cols>
  <sheetData>
    <row r="1" spans="1:2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4</v>
      </c>
      <c r="L1" t="s">
        <v>35</v>
      </c>
      <c r="M1" t="s">
        <v>5</v>
      </c>
      <c r="N1" t="s">
        <v>8</v>
      </c>
      <c r="O1" t="s">
        <v>10</v>
      </c>
      <c r="P1" t="s">
        <v>12</v>
      </c>
      <c r="Q1" t="s">
        <v>14</v>
      </c>
      <c r="R1" t="s">
        <v>16</v>
      </c>
      <c r="S1" t="s">
        <v>17</v>
      </c>
      <c r="T1" t="s">
        <v>19</v>
      </c>
      <c r="U1" t="s">
        <v>20</v>
      </c>
      <c r="V1" t="s">
        <v>21</v>
      </c>
      <c r="W1" t="s">
        <v>36</v>
      </c>
    </row>
    <row r="2" spans="1:23">
      <c r="A2">
        <v>1</v>
      </c>
      <c r="B2">
        <v>2</v>
      </c>
      <c r="C2">
        <v>50</v>
      </c>
      <c r="D2">
        <v>10</v>
      </c>
      <c r="E2">
        <f>C2+D2*50</f>
        <v>550</v>
      </c>
      <c r="F2">
        <v>148</v>
      </c>
      <c r="G2">
        <f>F2*26</f>
        <v>3848</v>
      </c>
      <c r="H2" s="20">
        <f ca="1">T2*Q2*(10+10*RAND())*(U2*K2*M2/3/((1+B2/10)^2)*(150+N2)/150*(1+R2)*(S2+0.6)/2+V2*P2*1.2)</f>
        <v>803.329288881326</v>
      </c>
      <c r="I2" s="20">
        <f ca="1">H2/G2</f>
        <v>0.208765407713442</v>
      </c>
      <c r="J2">
        <v>0</v>
      </c>
      <c r="K2">
        <v>1</v>
      </c>
      <c r="L2">
        <v>5</v>
      </c>
      <c r="M2">
        <f>8+L2*2</f>
        <v>18</v>
      </c>
      <c r="N2">
        <v>1</v>
      </c>
      <c r="O2">
        <v>5</v>
      </c>
      <c r="P2">
        <v>1</v>
      </c>
      <c r="Q2">
        <v>1.5</v>
      </c>
      <c r="R2">
        <v>1</v>
      </c>
      <c r="S2">
        <v>0</v>
      </c>
      <c r="T2">
        <v>1</v>
      </c>
      <c r="U2">
        <v>10</v>
      </c>
      <c r="V2">
        <v>10</v>
      </c>
      <c r="W2" t="s">
        <v>37</v>
      </c>
    </row>
    <row r="3" spans="1:23">
      <c r="A3">
        <v>2</v>
      </c>
      <c r="B3">
        <v>5</v>
      </c>
      <c r="C3">
        <v>86</v>
      </c>
      <c r="D3">
        <v>16</v>
      </c>
      <c r="E3">
        <f t="shared" ref="E3:E29" si="0">C3+D3*50</f>
        <v>886</v>
      </c>
      <c r="F3">
        <v>709</v>
      </c>
      <c r="G3">
        <f t="shared" ref="G3:G29" si="1">F3*26</f>
        <v>18434</v>
      </c>
      <c r="H3" s="20">
        <f ca="1" t="shared" ref="H3:H29" si="2">T3*Q3*(10+10*RAND())*(U3*K3*M3/3/((1+B3/10)^2)*(150+N3)/150*(1+R3)*(S3+0.6)/2+V3*P3*1.2)</f>
        <v>6571.88496255824</v>
      </c>
      <c r="I3" s="20">
        <f ca="1" t="shared" ref="I3:I29" si="3">H3/G3</f>
        <v>0.356508894572976</v>
      </c>
      <c r="J3">
        <v>1</v>
      </c>
      <c r="K3">
        <v>1.7</v>
      </c>
      <c r="L3">
        <v>10</v>
      </c>
      <c r="M3">
        <v>78</v>
      </c>
      <c r="N3">
        <v>50</v>
      </c>
      <c r="O3">
        <v>5</v>
      </c>
      <c r="P3">
        <v>1</v>
      </c>
      <c r="Q3">
        <v>1.5</v>
      </c>
      <c r="R3">
        <v>1</v>
      </c>
      <c r="S3">
        <v>0</v>
      </c>
      <c r="T3">
        <v>1</v>
      </c>
      <c r="U3">
        <v>15</v>
      </c>
      <c r="V3">
        <v>15</v>
      </c>
      <c r="W3" t="s">
        <v>38</v>
      </c>
    </row>
    <row r="4" spans="1:23">
      <c r="A4">
        <v>3</v>
      </c>
      <c r="B4">
        <v>9</v>
      </c>
      <c r="C4">
        <v>150</v>
      </c>
      <c r="D4">
        <v>30</v>
      </c>
      <c r="E4">
        <f t="shared" si="0"/>
        <v>1650</v>
      </c>
      <c r="F4">
        <v>1900</v>
      </c>
      <c r="G4">
        <f t="shared" si="1"/>
        <v>49400</v>
      </c>
      <c r="H4" s="20">
        <f ca="1" t="shared" si="2"/>
        <v>18410.1906474152</v>
      </c>
      <c r="I4" s="20">
        <f ca="1" t="shared" si="3"/>
        <v>0.372675924036745</v>
      </c>
      <c r="J4">
        <v>1</v>
      </c>
      <c r="K4">
        <v>1.7</v>
      </c>
      <c r="L4">
        <v>15</v>
      </c>
      <c r="M4">
        <v>138</v>
      </c>
      <c r="N4">
        <v>100</v>
      </c>
      <c r="O4">
        <v>5</v>
      </c>
      <c r="P4">
        <v>1</v>
      </c>
      <c r="Q4">
        <v>1.5</v>
      </c>
      <c r="R4">
        <v>2</v>
      </c>
      <c r="S4">
        <v>0</v>
      </c>
      <c r="T4">
        <v>1</v>
      </c>
      <c r="U4">
        <v>20</v>
      </c>
      <c r="V4">
        <v>20</v>
      </c>
      <c r="W4" t="s">
        <v>39</v>
      </c>
    </row>
    <row r="5" spans="1:23">
      <c r="A5">
        <v>4</v>
      </c>
      <c r="B5">
        <v>12</v>
      </c>
      <c r="C5">
        <v>240</v>
      </c>
      <c r="D5">
        <v>48</v>
      </c>
      <c r="E5">
        <f t="shared" si="0"/>
        <v>2640</v>
      </c>
      <c r="F5">
        <v>1900</v>
      </c>
      <c r="G5">
        <f t="shared" si="1"/>
        <v>49400</v>
      </c>
      <c r="H5" s="20">
        <f ca="1" t="shared" si="2"/>
        <v>18969.8413162319</v>
      </c>
      <c r="I5" s="20">
        <f ca="1" t="shared" si="3"/>
        <v>0.384004884943965</v>
      </c>
      <c r="J5">
        <v>2</v>
      </c>
      <c r="K5">
        <v>2.6</v>
      </c>
      <c r="L5">
        <v>20</v>
      </c>
      <c r="M5">
        <v>148</v>
      </c>
      <c r="N5">
        <v>100</v>
      </c>
      <c r="O5">
        <v>5</v>
      </c>
      <c r="P5">
        <v>1</v>
      </c>
      <c r="Q5">
        <v>1.5</v>
      </c>
      <c r="R5">
        <v>2</v>
      </c>
      <c r="S5">
        <v>0</v>
      </c>
      <c r="T5">
        <v>1</v>
      </c>
      <c r="U5">
        <v>20</v>
      </c>
      <c r="V5">
        <v>20</v>
      </c>
      <c r="W5" t="s">
        <v>40</v>
      </c>
    </row>
    <row r="6" spans="1:23">
      <c r="A6">
        <v>5</v>
      </c>
      <c r="B6">
        <v>16</v>
      </c>
      <c r="C6">
        <v>361</v>
      </c>
      <c r="D6">
        <v>72</v>
      </c>
      <c r="E6">
        <f t="shared" si="0"/>
        <v>3961</v>
      </c>
      <c r="F6">
        <v>2600</v>
      </c>
      <c r="G6">
        <f t="shared" si="1"/>
        <v>67600</v>
      </c>
      <c r="H6" s="20">
        <f ca="1" t="shared" si="2"/>
        <v>83315.7628508545</v>
      </c>
      <c r="I6" s="20">
        <f ca="1" t="shared" si="3"/>
        <v>1.23248169897714</v>
      </c>
      <c r="J6">
        <v>2</v>
      </c>
      <c r="K6">
        <v>2.6</v>
      </c>
      <c r="L6">
        <v>25</v>
      </c>
      <c r="M6">
        <v>158</v>
      </c>
      <c r="N6">
        <v>100</v>
      </c>
      <c r="O6">
        <v>5</v>
      </c>
      <c r="P6">
        <v>100</v>
      </c>
      <c r="Q6">
        <v>1.5</v>
      </c>
      <c r="R6">
        <v>3</v>
      </c>
      <c r="S6">
        <v>0</v>
      </c>
      <c r="T6">
        <v>1.5</v>
      </c>
      <c r="U6">
        <v>20</v>
      </c>
      <c r="V6">
        <v>20</v>
      </c>
      <c r="W6" t="s">
        <v>41</v>
      </c>
    </row>
    <row r="7" spans="1:22">
      <c r="A7">
        <v>6</v>
      </c>
      <c r="B7">
        <v>19</v>
      </c>
      <c r="C7">
        <v>522</v>
      </c>
      <c r="D7">
        <v>104</v>
      </c>
      <c r="E7">
        <f t="shared" si="0"/>
        <v>5722</v>
      </c>
      <c r="F7">
        <v>3800</v>
      </c>
      <c r="G7">
        <f t="shared" si="1"/>
        <v>98800</v>
      </c>
      <c r="H7" s="20">
        <f ca="1" t="shared" si="2"/>
        <v>123202.015552482</v>
      </c>
      <c r="I7" s="20">
        <f ca="1" t="shared" si="3"/>
        <v>1.2469839630818</v>
      </c>
      <c r="J7">
        <v>2</v>
      </c>
      <c r="K7">
        <v>2.6</v>
      </c>
      <c r="L7">
        <v>30</v>
      </c>
      <c r="M7">
        <v>268</v>
      </c>
      <c r="N7">
        <v>200</v>
      </c>
      <c r="O7">
        <v>5</v>
      </c>
      <c r="P7">
        <v>100</v>
      </c>
      <c r="Q7">
        <v>1.5</v>
      </c>
      <c r="R7">
        <v>3</v>
      </c>
      <c r="S7">
        <v>0</v>
      </c>
      <c r="T7">
        <v>1.5</v>
      </c>
      <c r="U7">
        <v>20</v>
      </c>
      <c r="V7">
        <v>20</v>
      </c>
    </row>
    <row r="8" spans="1:22">
      <c r="A8">
        <v>7</v>
      </c>
      <c r="B8">
        <v>23</v>
      </c>
      <c r="C8">
        <v>729</v>
      </c>
      <c r="D8">
        <v>144</v>
      </c>
      <c r="E8">
        <f t="shared" si="0"/>
        <v>7929</v>
      </c>
      <c r="F8">
        <v>4500</v>
      </c>
      <c r="G8">
        <f t="shared" si="1"/>
        <v>117000</v>
      </c>
      <c r="H8" s="20">
        <f ca="1" t="shared" si="2"/>
        <v>135769.386423435</v>
      </c>
      <c r="I8" s="20">
        <f ca="1" t="shared" si="3"/>
        <v>1.1604221061832</v>
      </c>
      <c r="J8">
        <v>2</v>
      </c>
      <c r="K8">
        <v>2.6</v>
      </c>
      <c r="L8">
        <v>35</v>
      </c>
      <c r="M8">
        <v>278</v>
      </c>
      <c r="N8">
        <v>200</v>
      </c>
      <c r="O8">
        <v>5</v>
      </c>
      <c r="P8">
        <v>100</v>
      </c>
      <c r="Q8">
        <v>1.5</v>
      </c>
      <c r="R8">
        <v>4</v>
      </c>
      <c r="S8">
        <v>0</v>
      </c>
      <c r="T8">
        <v>1.5</v>
      </c>
      <c r="U8">
        <v>20</v>
      </c>
      <c r="V8">
        <v>20</v>
      </c>
    </row>
    <row r="9" spans="1:23">
      <c r="A9">
        <v>8</v>
      </c>
      <c r="B9">
        <v>26</v>
      </c>
      <c r="C9">
        <v>989</v>
      </c>
      <c r="D9">
        <v>196</v>
      </c>
      <c r="E9">
        <f t="shared" si="0"/>
        <v>10789</v>
      </c>
      <c r="F9">
        <v>5900</v>
      </c>
      <c r="G9">
        <f t="shared" si="1"/>
        <v>153400</v>
      </c>
      <c r="H9" s="20">
        <f ca="1" t="shared" si="2"/>
        <v>183906.819007152</v>
      </c>
      <c r="I9" s="20">
        <f ca="1" t="shared" si="3"/>
        <v>1.1988710495903</v>
      </c>
      <c r="J9">
        <v>3</v>
      </c>
      <c r="K9">
        <v>4.2</v>
      </c>
      <c r="L9">
        <v>40</v>
      </c>
      <c r="M9">
        <v>288</v>
      </c>
      <c r="N9">
        <v>200</v>
      </c>
      <c r="O9">
        <v>5</v>
      </c>
      <c r="P9">
        <v>100</v>
      </c>
      <c r="Q9">
        <v>1.5</v>
      </c>
      <c r="R9">
        <v>4</v>
      </c>
      <c r="S9">
        <v>0</v>
      </c>
      <c r="T9">
        <v>1.5</v>
      </c>
      <c r="U9">
        <v>30</v>
      </c>
      <c r="V9">
        <v>30</v>
      </c>
      <c r="W9" t="s">
        <v>42</v>
      </c>
    </row>
    <row r="10" spans="1:23">
      <c r="A10">
        <v>9</v>
      </c>
      <c r="B10">
        <v>30</v>
      </c>
      <c r="C10">
        <v>1313</v>
      </c>
      <c r="D10">
        <v>260</v>
      </c>
      <c r="E10">
        <f t="shared" si="0"/>
        <v>14313</v>
      </c>
      <c r="F10">
        <v>7200</v>
      </c>
      <c r="G10">
        <f t="shared" si="1"/>
        <v>187200</v>
      </c>
      <c r="H10" s="20">
        <f ca="1" t="shared" si="2"/>
        <v>623028.270089465</v>
      </c>
      <c r="I10" s="20">
        <f ca="1" t="shared" si="3"/>
        <v>3.32814246842663</v>
      </c>
      <c r="J10">
        <v>3</v>
      </c>
      <c r="K10">
        <v>4.2</v>
      </c>
      <c r="L10">
        <v>45</v>
      </c>
      <c r="M10">
        <v>298</v>
      </c>
      <c r="N10">
        <v>200</v>
      </c>
      <c r="O10">
        <v>5</v>
      </c>
      <c r="P10">
        <v>100</v>
      </c>
      <c r="Q10">
        <v>3</v>
      </c>
      <c r="R10">
        <v>4</v>
      </c>
      <c r="S10">
        <v>0.8</v>
      </c>
      <c r="T10">
        <v>1.5</v>
      </c>
      <c r="U10">
        <v>30</v>
      </c>
      <c r="V10">
        <v>30</v>
      </c>
      <c r="W10" t="s">
        <v>43</v>
      </c>
    </row>
    <row r="11" spans="1:22">
      <c r="A11">
        <v>10</v>
      </c>
      <c r="B11">
        <v>33</v>
      </c>
      <c r="C11">
        <v>1709</v>
      </c>
      <c r="D11">
        <v>340</v>
      </c>
      <c r="E11">
        <f t="shared" si="0"/>
        <v>18709</v>
      </c>
      <c r="F11">
        <v>10600</v>
      </c>
      <c r="G11">
        <f t="shared" si="1"/>
        <v>275600</v>
      </c>
      <c r="H11" s="20">
        <f ca="1" t="shared" si="2"/>
        <v>1065509.31154523</v>
      </c>
      <c r="I11" s="20">
        <f ca="1" t="shared" si="3"/>
        <v>3.86614409123812</v>
      </c>
      <c r="J11">
        <v>3</v>
      </c>
      <c r="K11">
        <v>4.2</v>
      </c>
      <c r="L11">
        <v>50</v>
      </c>
      <c r="M11">
        <v>408</v>
      </c>
      <c r="N11">
        <v>300</v>
      </c>
      <c r="O11">
        <v>5</v>
      </c>
      <c r="P11">
        <v>100</v>
      </c>
      <c r="Q11">
        <v>3</v>
      </c>
      <c r="R11">
        <v>4</v>
      </c>
      <c r="S11">
        <v>0.8</v>
      </c>
      <c r="T11">
        <v>1.5</v>
      </c>
      <c r="U11">
        <v>30</v>
      </c>
      <c r="V11">
        <v>30</v>
      </c>
    </row>
    <row r="12" spans="1:22">
      <c r="A12">
        <v>11</v>
      </c>
      <c r="B12">
        <v>37</v>
      </c>
      <c r="C12">
        <v>2190</v>
      </c>
      <c r="D12">
        <v>438</v>
      </c>
      <c r="E12">
        <f t="shared" si="0"/>
        <v>24090</v>
      </c>
      <c r="F12">
        <v>13500</v>
      </c>
      <c r="G12">
        <f t="shared" si="1"/>
        <v>351000</v>
      </c>
      <c r="H12" s="20">
        <f ca="1" t="shared" si="2"/>
        <v>937555.373331578</v>
      </c>
      <c r="I12" s="20">
        <f ca="1" t="shared" si="3"/>
        <v>2.6710979297196</v>
      </c>
      <c r="J12">
        <v>3</v>
      </c>
      <c r="K12">
        <v>4.2</v>
      </c>
      <c r="L12">
        <v>55</v>
      </c>
      <c r="M12">
        <v>418</v>
      </c>
      <c r="N12">
        <v>300</v>
      </c>
      <c r="O12">
        <v>5</v>
      </c>
      <c r="P12">
        <v>100</v>
      </c>
      <c r="Q12">
        <v>3</v>
      </c>
      <c r="R12">
        <v>5</v>
      </c>
      <c r="S12">
        <v>0.8</v>
      </c>
      <c r="T12">
        <v>1.5</v>
      </c>
      <c r="U12">
        <v>30</v>
      </c>
      <c r="V12">
        <v>30</v>
      </c>
    </row>
    <row r="13" spans="1:23">
      <c r="A13">
        <v>12</v>
      </c>
      <c r="B13">
        <v>40</v>
      </c>
      <c r="C13">
        <v>2771</v>
      </c>
      <c r="D13">
        <v>540</v>
      </c>
      <c r="E13">
        <f t="shared" si="0"/>
        <v>29771</v>
      </c>
      <c r="F13">
        <v>18200</v>
      </c>
      <c r="G13">
        <f t="shared" si="1"/>
        <v>473200</v>
      </c>
      <c r="H13" s="20">
        <f ca="1" t="shared" si="2"/>
        <v>8566382.09627693</v>
      </c>
      <c r="I13" s="20">
        <f ca="1" t="shared" si="3"/>
        <v>18.1030898061643</v>
      </c>
      <c r="J13">
        <v>3</v>
      </c>
      <c r="K13">
        <v>4.2</v>
      </c>
      <c r="L13">
        <v>60</v>
      </c>
      <c r="M13">
        <v>428</v>
      </c>
      <c r="N13">
        <v>300</v>
      </c>
      <c r="O13">
        <v>5</v>
      </c>
      <c r="P13">
        <v>300</v>
      </c>
      <c r="Q13">
        <v>5</v>
      </c>
      <c r="R13">
        <v>5</v>
      </c>
      <c r="S13">
        <v>0.8</v>
      </c>
      <c r="T13">
        <v>2</v>
      </c>
      <c r="U13">
        <v>80</v>
      </c>
      <c r="V13">
        <v>80</v>
      </c>
      <c r="W13" t="s">
        <v>44</v>
      </c>
    </row>
    <row r="14" spans="1:22">
      <c r="A14">
        <v>13</v>
      </c>
      <c r="B14">
        <v>44</v>
      </c>
      <c r="C14">
        <v>3466</v>
      </c>
      <c r="D14">
        <v>680</v>
      </c>
      <c r="E14">
        <f t="shared" si="0"/>
        <v>37466</v>
      </c>
      <c r="F14">
        <v>23900</v>
      </c>
      <c r="G14">
        <f t="shared" si="1"/>
        <v>621400</v>
      </c>
      <c r="H14" s="20">
        <f ca="1" t="shared" si="2"/>
        <v>15365433.223275</v>
      </c>
      <c r="I14" s="20">
        <f ca="1" t="shared" si="3"/>
        <v>24.7271213763679</v>
      </c>
      <c r="J14">
        <v>4</v>
      </c>
      <c r="K14">
        <v>7</v>
      </c>
      <c r="L14">
        <v>65</v>
      </c>
      <c r="M14">
        <v>638</v>
      </c>
      <c r="N14">
        <v>500</v>
      </c>
      <c r="O14">
        <v>5</v>
      </c>
      <c r="P14">
        <v>500</v>
      </c>
      <c r="Q14">
        <v>5</v>
      </c>
      <c r="R14">
        <v>5</v>
      </c>
      <c r="S14">
        <v>0.8</v>
      </c>
      <c r="T14">
        <v>2</v>
      </c>
      <c r="U14">
        <v>80</v>
      </c>
      <c r="V14">
        <v>80</v>
      </c>
    </row>
    <row r="15" spans="1:23">
      <c r="A15">
        <v>14</v>
      </c>
      <c r="B15">
        <v>47</v>
      </c>
      <c r="C15">
        <v>4295</v>
      </c>
      <c r="D15">
        <v>860</v>
      </c>
      <c r="E15">
        <f t="shared" si="0"/>
        <v>47295</v>
      </c>
      <c r="F15">
        <v>30300</v>
      </c>
      <c r="G15">
        <f t="shared" si="1"/>
        <v>787800</v>
      </c>
      <c r="H15" s="20">
        <f ca="1" t="shared" si="2"/>
        <v>114338814.605645</v>
      </c>
      <c r="I15" s="20">
        <f ca="1" t="shared" si="3"/>
        <v>145.136855300387</v>
      </c>
      <c r="J15">
        <v>4</v>
      </c>
      <c r="K15">
        <v>7</v>
      </c>
      <c r="L15">
        <v>70</v>
      </c>
      <c r="M15">
        <v>1648</v>
      </c>
      <c r="N15">
        <v>1500</v>
      </c>
      <c r="O15">
        <v>5</v>
      </c>
      <c r="P15">
        <v>1500</v>
      </c>
      <c r="Q15">
        <v>5</v>
      </c>
      <c r="R15">
        <v>5</v>
      </c>
      <c r="S15">
        <v>0.8</v>
      </c>
      <c r="T15">
        <v>2</v>
      </c>
      <c r="U15">
        <v>80</v>
      </c>
      <c r="V15">
        <v>80</v>
      </c>
      <c r="W15" t="s">
        <v>45</v>
      </c>
    </row>
    <row r="16" spans="1:22">
      <c r="A16">
        <v>15</v>
      </c>
      <c r="B16">
        <v>51</v>
      </c>
      <c r="C16">
        <v>5488</v>
      </c>
      <c r="D16">
        <v>1540</v>
      </c>
      <c r="E16">
        <f t="shared" si="0"/>
        <v>82488</v>
      </c>
      <c r="F16">
        <v>39800</v>
      </c>
      <c r="G16">
        <f t="shared" si="1"/>
        <v>1034800</v>
      </c>
      <c r="H16" s="20">
        <f ca="1" t="shared" si="2"/>
        <v>133505834.344063</v>
      </c>
      <c r="I16" s="20">
        <f ca="1" t="shared" si="3"/>
        <v>129.01607493628</v>
      </c>
      <c r="J16">
        <v>4</v>
      </c>
      <c r="K16">
        <v>7</v>
      </c>
      <c r="L16">
        <v>75</v>
      </c>
      <c r="M16">
        <v>2158</v>
      </c>
      <c r="N16">
        <v>2000</v>
      </c>
      <c r="O16">
        <v>5</v>
      </c>
      <c r="P16">
        <v>2000</v>
      </c>
      <c r="Q16">
        <v>5</v>
      </c>
      <c r="R16">
        <v>6</v>
      </c>
      <c r="S16">
        <v>0.8</v>
      </c>
      <c r="T16">
        <v>2</v>
      </c>
      <c r="U16">
        <v>80</v>
      </c>
      <c r="V16">
        <v>80</v>
      </c>
    </row>
    <row r="17" spans="1:23">
      <c r="A17">
        <v>16</v>
      </c>
      <c r="B17">
        <v>54</v>
      </c>
      <c r="C17">
        <v>7094</v>
      </c>
      <c r="D17">
        <v>1400</v>
      </c>
      <c r="E17">
        <f t="shared" si="0"/>
        <v>77094</v>
      </c>
      <c r="F17">
        <v>50600</v>
      </c>
      <c r="G17">
        <f t="shared" si="1"/>
        <v>1315600</v>
      </c>
      <c r="H17" s="20">
        <f ca="1" t="shared" si="2"/>
        <v>1738697767.39444</v>
      </c>
      <c r="I17" s="20">
        <f ca="1" t="shared" si="3"/>
        <v>1321.60061370815</v>
      </c>
      <c r="J17">
        <v>4</v>
      </c>
      <c r="K17">
        <v>7</v>
      </c>
      <c r="L17">
        <v>80</v>
      </c>
      <c r="M17">
        <v>3168</v>
      </c>
      <c r="N17">
        <v>3000</v>
      </c>
      <c r="O17">
        <v>5</v>
      </c>
      <c r="P17">
        <v>3000</v>
      </c>
      <c r="Q17">
        <v>15</v>
      </c>
      <c r="R17">
        <v>6</v>
      </c>
      <c r="S17">
        <v>2.2</v>
      </c>
      <c r="T17">
        <v>2</v>
      </c>
      <c r="U17">
        <v>80</v>
      </c>
      <c r="V17">
        <v>80</v>
      </c>
      <c r="W17" t="s">
        <v>46</v>
      </c>
    </row>
    <row r="18" spans="1:22">
      <c r="A18">
        <v>17</v>
      </c>
      <c r="B18">
        <v>58</v>
      </c>
      <c r="C18">
        <v>9099</v>
      </c>
      <c r="D18">
        <v>1820</v>
      </c>
      <c r="E18">
        <f t="shared" si="0"/>
        <v>100099</v>
      </c>
      <c r="F18">
        <v>62000</v>
      </c>
      <c r="G18">
        <f t="shared" si="1"/>
        <v>1612000</v>
      </c>
      <c r="H18" s="20">
        <f ca="1" t="shared" si="2"/>
        <v>1508446699.05119</v>
      </c>
      <c r="I18" s="20">
        <f ca="1" t="shared" si="3"/>
        <v>935.760979560289</v>
      </c>
      <c r="J18">
        <v>4</v>
      </c>
      <c r="K18">
        <v>7</v>
      </c>
      <c r="L18">
        <v>85</v>
      </c>
      <c r="M18">
        <v>3178</v>
      </c>
      <c r="N18">
        <v>3000</v>
      </c>
      <c r="O18">
        <v>5</v>
      </c>
      <c r="P18">
        <v>3000</v>
      </c>
      <c r="Q18">
        <v>15</v>
      </c>
      <c r="R18">
        <v>6</v>
      </c>
      <c r="S18">
        <v>2.2</v>
      </c>
      <c r="T18">
        <v>2</v>
      </c>
      <c r="U18">
        <v>80</v>
      </c>
      <c r="V18">
        <v>80</v>
      </c>
    </row>
    <row r="19" spans="1:22">
      <c r="A19">
        <v>18</v>
      </c>
      <c r="B19">
        <v>61</v>
      </c>
      <c r="C19">
        <v>11582</v>
      </c>
      <c r="D19">
        <v>2200</v>
      </c>
      <c r="E19">
        <f t="shared" si="0"/>
        <v>121582</v>
      </c>
      <c r="F19">
        <v>74200</v>
      </c>
      <c r="G19">
        <f t="shared" si="1"/>
        <v>1929200</v>
      </c>
      <c r="H19" s="20">
        <f ca="1" t="shared" si="2"/>
        <v>2107057397.70045</v>
      </c>
      <c r="I19" s="20">
        <f ca="1" t="shared" si="3"/>
        <v>1092.19230650034</v>
      </c>
      <c r="J19">
        <v>5</v>
      </c>
      <c r="K19">
        <v>12</v>
      </c>
      <c r="L19">
        <v>90</v>
      </c>
      <c r="M19">
        <v>3188</v>
      </c>
      <c r="N19">
        <v>3000</v>
      </c>
      <c r="O19">
        <v>5</v>
      </c>
      <c r="P19">
        <v>3000</v>
      </c>
      <c r="Q19">
        <v>15</v>
      </c>
      <c r="R19">
        <v>6</v>
      </c>
      <c r="S19">
        <v>2.2</v>
      </c>
      <c r="T19">
        <v>3</v>
      </c>
      <c r="U19">
        <v>80</v>
      </c>
      <c r="V19">
        <v>80</v>
      </c>
    </row>
    <row r="20" spans="1:22">
      <c r="A20">
        <v>19</v>
      </c>
      <c r="B20">
        <v>65</v>
      </c>
      <c r="C20">
        <v>29000</v>
      </c>
      <c r="D20">
        <v>5800</v>
      </c>
      <c r="E20">
        <f t="shared" si="0"/>
        <v>319000</v>
      </c>
      <c r="F20">
        <v>203500</v>
      </c>
      <c r="G20">
        <f t="shared" si="1"/>
        <v>5291000</v>
      </c>
      <c r="H20" s="20">
        <f ca="1" t="shared" si="2"/>
        <v>3883611436.27441</v>
      </c>
      <c r="I20" s="20">
        <f ca="1" t="shared" si="3"/>
        <v>734.003295459159</v>
      </c>
      <c r="J20">
        <v>5</v>
      </c>
      <c r="K20">
        <v>12</v>
      </c>
      <c r="L20">
        <v>95</v>
      </c>
      <c r="M20">
        <v>3198</v>
      </c>
      <c r="N20">
        <v>3000</v>
      </c>
      <c r="O20">
        <v>5</v>
      </c>
      <c r="P20">
        <v>3000</v>
      </c>
      <c r="Q20">
        <v>15</v>
      </c>
      <c r="R20">
        <v>7</v>
      </c>
      <c r="S20">
        <v>3.3</v>
      </c>
      <c r="T20">
        <v>3</v>
      </c>
      <c r="U20">
        <v>80</v>
      </c>
      <c r="V20">
        <v>80</v>
      </c>
    </row>
    <row r="21" spans="1:22">
      <c r="A21">
        <v>20</v>
      </c>
      <c r="B21">
        <v>68</v>
      </c>
      <c r="C21">
        <v>36419</v>
      </c>
      <c r="D21">
        <v>7200</v>
      </c>
      <c r="E21">
        <f t="shared" si="0"/>
        <v>396419</v>
      </c>
      <c r="F21">
        <v>366700</v>
      </c>
      <c r="G21">
        <f t="shared" si="1"/>
        <v>9534200</v>
      </c>
      <c r="H21" s="20">
        <f ca="1" t="shared" si="2"/>
        <v>4005116533.02207</v>
      </c>
      <c r="I21" s="20">
        <f ca="1" t="shared" si="3"/>
        <v>420.078929854845</v>
      </c>
      <c r="J21">
        <v>5</v>
      </c>
      <c r="K21">
        <v>12</v>
      </c>
      <c r="L21">
        <v>100</v>
      </c>
      <c r="M21">
        <v>3208</v>
      </c>
      <c r="N21">
        <v>3000</v>
      </c>
      <c r="O21">
        <v>5</v>
      </c>
      <c r="P21">
        <v>3000</v>
      </c>
      <c r="Q21">
        <v>15</v>
      </c>
      <c r="R21">
        <v>7</v>
      </c>
      <c r="S21">
        <v>3.3</v>
      </c>
      <c r="T21">
        <v>3</v>
      </c>
      <c r="U21">
        <v>80</v>
      </c>
      <c r="V21">
        <v>80</v>
      </c>
    </row>
    <row r="22" spans="1:22">
      <c r="A22">
        <v>21</v>
      </c>
      <c r="B22">
        <v>72</v>
      </c>
      <c r="C22">
        <v>46040</v>
      </c>
      <c r="D22">
        <v>9200</v>
      </c>
      <c r="E22">
        <f t="shared" si="0"/>
        <v>506040</v>
      </c>
      <c r="F22">
        <v>461300</v>
      </c>
      <c r="G22">
        <f t="shared" si="1"/>
        <v>11993800</v>
      </c>
      <c r="H22" s="20">
        <f ca="1" t="shared" si="2"/>
        <v>2958933267.13722</v>
      </c>
      <c r="I22" s="20">
        <f ca="1" t="shared" si="3"/>
        <v>246.705236633696</v>
      </c>
      <c r="J22">
        <v>5</v>
      </c>
      <c r="K22">
        <v>12</v>
      </c>
      <c r="L22">
        <v>100</v>
      </c>
      <c r="M22">
        <v>3208</v>
      </c>
      <c r="N22">
        <v>3000</v>
      </c>
      <c r="O22">
        <v>5</v>
      </c>
      <c r="P22">
        <v>3000</v>
      </c>
      <c r="Q22">
        <v>15</v>
      </c>
      <c r="R22">
        <v>7</v>
      </c>
      <c r="S22">
        <v>3.3</v>
      </c>
      <c r="T22">
        <v>3</v>
      </c>
      <c r="U22">
        <v>80</v>
      </c>
      <c r="V22">
        <v>80</v>
      </c>
    </row>
    <row r="23" spans="1:23">
      <c r="A23">
        <v>22</v>
      </c>
      <c r="B23">
        <v>75</v>
      </c>
      <c r="C23">
        <v>56677</v>
      </c>
      <c r="D23">
        <v>11200</v>
      </c>
      <c r="E23">
        <f t="shared" si="0"/>
        <v>616677</v>
      </c>
      <c r="F23">
        <v>703000</v>
      </c>
      <c r="G23">
        <f t="shared" si="1"/>
        <v>18278000</v>
      </c>
      <c r="H23" s="20">
        <f ca="1" t="shared" si="2"/>
        <v>16693850134.7545</v>
      </c>
      <c r="I23" s="20">
        <f ca="1" t="shared" si="3"/>
        <v>913.330240439571</v>
      </c>
      <c r="J23">
        <v>5</v>
      </c>
      <c r="K23">
        <v>12</v>
      </c>
      <c r="L23">
        <v>100</v>
      </c>
      <c r="M23">
        <v>5208</v>
      </c>
      <c r="N23">
        <v>5000</v>
      </c>
      <c r="O23">
        <v>5</v>
      </c>
      <c r="P23">
        <v>5000</v>
      </c>
      <c r="Q23">
        <v>15</v>
      </c>
      <c r="R23">
        <v>7</v>
      </c>
      <c r="S23">
        <v>3.3</v>
      </c>
      <c r="T23">
        <v>3</v>
      </c>
      <c r="U23">
        <v>200</v>
      </c>
      <c r="V23">
        <v>200</v>
      </c>
      <c r="W23" t="s">
        <v>47</v>
      </c>
    </row>
    <row r="24" spans="1:23">
      <c r="A24">
        <v>23</v>
      </c>
      <c r="B24">
        <v>79</v>
      </c>
      <c r="C24">
        <v>70539</v>
      </c>
      <c r="D24">
        <v>14000</v>
      </c>
      <c r="E24">
        <f t="shared" si="0"/>
        <v>770539</v>
      </c>
      <c r="F24">
        <v>888800</v>
      </c>
      <c r="G24">
        <f t="shared" si="1"/>
        <v>23108800</v>
      </c>
      <c r="H24" s="20">
        <f ca="1" t="shared" si="2"/>
        <v>206457662890.482</v>
      </c>
      <c r="I24" s="20">
        <f ca="1" t="shared" si="3"/>
        <v>8934.15767545188</v>
      </c>
      <c r="J24">
        <v>6</v>
      </c>
      <c r="K24">
        <v>20</v>
      </c>
      <c r="L24">
        <v>100</v>
      </c>
      <c r="M24">
        <v>5208</v>
      </c>
      <c r="N24">
        <v>5000</v>
      </c>
      <c r="O24">
        <v>5</v>
      </c>
      <c r="P24">
        <v>5000</v>
      </c>
      <c r="Q24">
        <v>50</v>
      </c>
      <c r="R24">
        <v>8</v>
      </c>
      <c r="S24">
        <v>5</v>
      </c>
      <c r="T24">
        <v>3</v>
      </c>
      <c r="U24">
        <v>200</v>
      </c>
      <c r="V24">
        <v>200</v>
      </c>
      <c r="W24" t="s">
        <v>48</v>
      </c>
    </row>
    <row r="25" spans="1:22">
      <c r="A25">
        <v>24</v>
      </c>
      <c r="B25">
        <v>82</v>
      </c>
      <c r="C25">
        <v>90000</v>
      </c>
      <c r="D25">
        <v>18600</v>
      </c>
      <c r="E25">
        <f t="shared" si="0"/>
        <v>1020000</v>
      </c>
      <c r="F25">
        <v>1044800</v>
      </c>
      <c r="G25">
        <f t="shared" si="1"/>
        <v>27164800</v>
      </c>
      <c r="H25" s="20">
        <f ca="1" t="shared" si="2"/>
        <v>137287840182.908</v>
      </c>
      <c r="I25" s="20">
        <f ca="1" t="shared" si="3"/>
        <v>5053.88739040626</v>
      </c>
      <c r="J25">
        <v>6</v>
      </c>
      <c r="K25">
        <v>20</v>
      </c>
      <c r="L25">
        <v>100</v>
      </c>
      <c r="M25">
        <v>5208</v>
      </c>
      <c r="N25">
        <v>5000</v>
      </c>
      <c r="O25">
        <v>5</v>
      </c>
      <c r="P25">
        <v>5000</v>
      </c>
      <c r="Q25">
        <v>50</v>
      </c>
      <c r="R25">
        <v>8</v>
      </c>
      <c r="S25">
        <v>5</v>
      </c>
      <c r="T25">
        <v>3</v>
      </c>
      <c r="U25">
        <v>200</v>
      </c>
      <c r="V25">
        <v>200</v>
      </c>
    </row>
    <row r="26" spans="1:22">
      <c r="A26">
        <v>25</v>
      </c>
      <c r="B26">
        <v>86</v>
      </c>
      <c r="C26">
        <v>157945</v>
      </c>
      <c r="D26">
        <v>30000</v>
      </c>
      <c r="E26">
        <f t="shared" si="0"/>
        <v>1657945</v>
      </c>
      <c r="F26">
        <v>2005600</v>
      </c>
      <c r="G26">
        <f t="shared" si="1"/>
        <v>52145600</v>
      </c>
      <c r="H26" s="20">
        <f ca="1" t="shared" si="2"/>
        <v>105423668618.207</v>
      </c>
      <c r="I26" s="20">
        <f ca="1" t="shared" si="3"/>
        <v>2021.71743384306</v>
      </c>
      <c r="J26">
        <v>6</v>
      </c>
      <c r="K26">
        <v>20</v>
      </c>
      <c r="L26">
        <v>100</v>
      </c>
      <c r="M26">
        <v>5208</v>
      </c>
      <c r="N26">
        <v>5000</v>
      </c>
      <c r="O26">
        <v>5</v>
      </c>
      <c r="P26">
        <v>5000</v>
      </c>
      <c r="Q26">
        <v>50</v>
      </c>
      <c r="R26">
        <v>8</v>
      </c>
      <c r="S26">
        <v>5</v>
      </c>
      <c r="T26">
        <v>3</v>
      </c>
      <c r="U26">
        <v>200</v>
      </c>
      <c r="V26">
        <v>200</v>
      </c>
    </row>
    <row r="27" spans="1:22">
      <c r="A27">
        <v>26</v>
      </c>
      <c r="B27">
        <v>89</v>
      </c>
      <c r="C27">
        <v>200117</v>
      </c>
      <c r="D27">
        <v>36000</v>
      </c>
      <c r="E27">
        <f t="shared" si="0"/>
        <v>2000117</v>
      </c>
      <c r="F27">
        <v>2767100</v>
      </c>
      <c r="G27">
        <f t="shared" si="1"/>
        <v>71944600</v>
      </c>
      <c r="H27" s="20">
        <f ca="1" t="shared" si="2"/>
        <v>157375100915.358</v>
      </c>
      <c r="I27" s="20">
        <f ca="1" t="shared" si="3"/>
        <v>2187.44841051807</v>
      </c>
      <c r="J27">
        <v>6</v>
      </c>
      <c r="K27">
        <v>20</v>
      </c>
      <c r="L27">
        <v>100</v>
      </c>
      <c r="M27">
        <v>5208</v>
      </c>
      <c r="N27">
        <v>5000</v>
      </c>
      <c r="O27">
        <v>5</v>
      </c>
      <c r="P27">
        <v>5000</v>
      </c>
      <c r="Q27">
        <v>50</v>
      </c>
      <c r="R27">
        <v>9</v>
      </c>
      <c r="S27">
        <v>5</v>
      </c>
      <c r="T27">
        <v>3</v>
      </c>
      <c r="U27">
        <v>200</v>
      </c>
      <c r="V27">
        <v>200</v>
      </c>
    </row>
    <row r="28" spans="1:22">
      <c r="A28">
        <v>27</v>
      </c>
      <c r="B28">
        <v>93</v>
      </c>
      <c r="C28">
        <v>240782</v>
      </c>
      <c r="D28">
        <v>64000</v>
      </c>
      <c r="E28">
        <f t="shared" si="0"/>
        <v>3440782</v>
      </c>
      <c r="F28">
        <v>5215800</v>
      </c>
      <c r="G28">
        <f t="shared" si="1"/>
        <v>135610800</v>
      </c>
      <c r="H28" s="20">
        <f ca="1" t="shared" si="2"/>
        <v>162263779950.99</v>
      </c>
      <c r="I28" s="20">
        <f ca="1" t="shared" si="3"/>
        <v>1196.5402456957</v>
      </c>
      <c r="J28">
        <v>6</v>
      </c>
      <c r="K28">
        <v>20</v>
      </c>
      <c r="L28">
        <v>100</v>
      </c>
      <c r="M28">
        <v>5208</v>
      </c>
      <c r="N28">
        <v>5000</v>
      </c>
      <c r="O28">
        <v>5</v>
      </c>
      <c r="P28">
        <v>5000</v>
      </c>
      <c r="Q28">
        <v>50</v>
      </c>
      <c r="R28">
        <v>9</v>
      </c>
      <c r="S28">
        <v>5</v>
      </c>
      <c r="T28">
        <v>3</v>
      </c>
      <c r="U28">
        <v>200</v>
      </c>
      <c r="V28">
        <v>200</v>
      </c>
    </row>
    <row r="29" spans="1:22">
      <c r="A29">
        <v>28</v>
      </c>
      <c r="B29">
        <v>96</v>
      </c>
      <c r="C29">
        <v>350400</v>
      </c>
      <c r="D29">
        <v>78600</v>
      </c>
      <c r="E29">
        <f t="shared" si="0"/>
        <v>4280400</v>
      </c>
      <c r="F29">
        <v>9622000</v>
      </c>
      <c r="G29">
        <f t="shared" si="1"/>
        <v>250172000</v>
      </c>
      <c r="H29" s="20">
        <f ca="1" t="shared" si="2"/>
        <v>131635639764.56</v>
      </c>
      <c r="I29" s="20">
        <f ca="1" t="shared" si="3"/>
        <v>526.180546842011</v>
      </c>
      <c r="J29">
        <v>6</v>
      </c>
      <c r="K29">
        <v>20</v>
      </c>
      <c r="L29">
        <v>100</v>
      </c>
      <c r="M29">
        <v>5208</v>
      </c>
      <c r="N29">
        <v>5000</v>
      </c>
      <c r="O29">
        <v>5</v>
      </c>
      <c r="P29">
        <v>5000</v>
      </c>
      <c r="Q29">
        <v>50</v>
      </c>
      <c r="R29">
        <v>9</v>
      </c>
      <c r="S29">
        <v>5</v>
      </c>
      <c r="T29">
        <v>3</v>
      </c>
      <c r="U29">
        <v>200</v>
      </c>
      <c r="V29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"/>
  <sheetViews>
    <sheetView workbookViewId="0">
      <selection activeCell="I2" sqref="I2:J8"/>
    </sheetView>
  </sheetViews>
  <sheetFormatPr defaultColWidth="9" defaultRowHeight="13.5" outlineLevelRow="7"/>
  <cols>
    <col min="1" max="2" width="3.55833333333333" customWidth="1"/>
    <col min="3" max="3" width="9.55833333333333" customWidth="1"/>
    <col min="4" max="4" width="6.55833333333333" customWidth="1"/>
    <col min="5" max="5" width="9.55833333333333" customWidth="1"/>
    <col min="6" max="6" width="13.8833333333333" customWidth="1"/>
    <col min="7" max="7" width="9.55833333333333" customWidth="1"/>
    <col min="8" max="8" width="13.8833333333333" customWidth="1"/>
    <col min="9" max="10" width="9.55833333333333" customWidth="1"/>
    <col min="11" max="11" width="10.5583333333333" customWidth="1"/>
    <col min="12" max="12" width="9.55833333333333" customWidth="1"/>
    <col min="13" max="13" width="10.5583333333333" customWidth="1"/>
    <col min="14" max="14" width="4.21666666666667" customWidth="1"/>
    <col min="15" max="15" width="9.55833333333333" customWidth="1"/>
    <col min="16" max="16" width="10.5583333333333" customWidth="1"/>
    <col min="17" max="17" width="12.775" customWidth="1"/>
    <col min="18" max="18" width="9.55833333333333" customWidth="1"/>
    <col min="19" max="19" width="11.6666666666667" customWidth="1"/>
    <col min="20" max="20" width="6.55833333333333" customWidth="1"/>
    <col min="21" max="21" width="15" customWidth="1"/>
    <col min="22" max="22" width="12.775" customWidth="1"/>
  </cols>
  <sheetData>
    <row r="1" spans="1:22">
      <c r="A1" s="1" t="s">
        <v>20</v>
      </c>
      <c r="B1" s="1" t="s">
        <v>21</v>
      </c>
      <c r="C1" s="1" t="s">
        <v>5</v>
      </c>
      <c r="D1" s="1" t="s">
        <v>8</v>
      </c>
      <c r="E1" s="1" t="s">
        <v>12</v>
      </c>
      <c r="F1" s="1" t="s">
        <v>49</v>
      </c>
      <c r="G1" s="1" t="s">
        <v>50</v>
      </c>
      <c r="H1" s="1" t="s">
        <v>51</v>
      </c>
      <c r="I1" s="1" t="s">
        <v>4</v>
      </c>
      <c r="J1" s="1" t="s">
        <v>17</v>
      </c>
      <c r="K1" s="1" t="s">
        <v>52</v>
      </c>
      <c r="L1" s="1" t="s">
        <v>53</v>
      </c>
      <c r="M1" s="1" t="s">
        <v>54</v>
      </c>
      <c r="N1" s="1" t="s">
        <v>25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</row>
    <row r="2" spans="1:22">
      <c r="A2" s="1">
        <v>1</v>
      </c>
      <c r="B2" s="1">
        <v>1</v>
      </c>
      <c r="C2" s="1">
        <v>10</v>
      </c>
      <c r="D2" s="1">
        <v>1</v>
      </c>
      <c r="E2" s="1">
        <v>1</v>
      </c>
      <c r="F2" s="1">
        <f t="shared" ref="F2:G8" si="0">1+C2/200</f>
        <v>1.05</v>
      </c>
      <c r="G2" s="1">
        <f t="shared" si="0"/>
        <v>1.005</v>
      </c>
      <c r="H2" s="1">
        <f>E2*0.03</f>
        <v>0.03</v>
      </c>
      <c r="I2" s="1">
        <v>1</v>
      </c>
      <c r="J2" s="1">
        <v>1</v>
      </c>
      <c r="K2" s="18">
        <f t="shared" ref="K2:K8" si="1">A2*F2*G2*I2*J2</f>
        <v>1.05525</v>
      </c>
      <c r="L2" s="18">
        <f t="shared" ref="L2:L8" si="2">B2*H2*I2*J2</f>
        <v>0.03</v>
      </c>
      <c r="M2" s="18">
        <f>K2+L2</f>
        <v>1.08525</v>
      </c>
      <c r="N2" s="2">
        <v>1</v>
      </c>
      <c r="O2" s="1">
        <v>5</v>
      </c>
      <c r="P2" s="19">
        <f t="shared" ref="P2:P8" si="3">1/(1+O2*0.1)</f>
        <v>0.666666666666667</v>
      </c>
      <c r="Q2" s="1">
        <f ca="1">0.95+0.1*RAND()</f>
        <v>0.958711260057215</v>
      </c>
      <c r="R2" s="1">
        <v>1.5</v>
      </c>
      <c r="S2" s="1">
        <v>0.03</v>
      </c>
      <c r="T2" s="1">
        <v>0</v>
      </c>
      <c r="U2" s="18">
        <f ca="1">M2*P2*Q2*(R2*(1-S2)+S2)*(1-T2)</f>
        <v>1.03003698102732</v>
      </c>
      <c r="V2" s="4">
        <f ca="1">U2*200/Q2</f>
        <v>214.8795</v>
      </c>
    </row>
    <row r="3" spans="1:22">
      <c r="A3" s="1">
        <v>1</v>
      </c>
      <c r="B3" s="1">
        <v>1</v>
      </c>
      <c r="C3" s="1">
        <v>50</v>
      </c>
      <c r="D3" s="1">
        <v>50</v>
      </c>
      <c r="E3" s="1">
        <v>50</v>
      </c>
      <c r="F3" s="1">
        <f t="shared" si="0"/>
        <v>1.25</v>
      </c>
      <c r="G3" s="1">
        <f t="shared" si="0"/>
        <v>1.25</v>
      </c>
      <c r="H3" s="1">
        <f t="shared" ref="H3:H8" si="4">E3*0.03</f>
        <v>1.5</v>
      </c>
      <c r="I3" s="1">
        <v>1.7</v>
      </c>
      <c r="J3" s="1">
        <v>1.2</v>
      </c>
      <c r="K3" s="18">
        <f t="shared" si="1"/>
        <v>3.1875</v>
      </c>
      <c r="L3" s="18">
        <f t="shared" si="2"/>
        <v>3.06</v>
      </c>
      <c r="M3" s="18">
        <f t="shared" ref="M3:M8" si="5">K3+L3</f>
        <v>6.2475</v>
      </c>
      <c r="N3" s="2">
        <v>3</v>
      </c>
      <c r="O3" s="1">
        <v>15</v>
      </c>
      <c r="P3" s="19">
        <f t="shared" si="3"/>
        <v>0.4</v>
      </c>
      <c r="Q3" s="1">
        <f ca="1" t="shared" ref="Q3:Q8" si="6">0.95+0.1*RAND()</f>
        <v>1.03353186528303</v>
      </c>
      <c r="R3" s="1">
        <f>R2*1.2</f>
        <v>1.8</v>
      </c>
      <c r="S3" s="1">
        <f>S2*1.4</f>
        <v>0.042</v>
      </c>
      <c r="T3" s="1">
        <v>0.05</v>
      </c>
      <c r="U3" s="18">
        <f ca="1" t="shared" ref="U3:U8" si="7">M3*P3*Q3*(R3*(1-S3)+S3)*(1-T3)</f>
        <v>4.33413853208289</v>
      </c>
      <c r="V3" s="4">
        <f ca="1" t="shared" ref="V3:V8" si="8">U3*200/Q3</f>
        <v>838.704384</v>
      </c>
    </row>
    <row r="4" spans="1:22">
      <c r="A4" s="1">
        <v>1</v>
      </c>
      <c r="B4" s="1">
        <v>1</v>
      </c>
      <c r="C4" s="1">
        <v>200</v>
      </c>
      <c r="D4" s="1">
        <v>200</v>
      </c>
      <c r="E4" s="1">
        <v>200</v>
      </c>
      <c r="F4" s="1">
        <f t="shared" si="0"/>
        <v>2</v>
      </c>
      <c r="G4" s="1">
        <f t="shared" si="0"/>
        <v>2</v>
      </c>
      <c r="H4" s="1">
        <f t="shared" si="4"/>
        <v>6</v>
      </c>
      <c r="I4" s="1">
        <v>2.6</v>
      </c>
      <c r="J4" s="1">
        <v>1.6</v>
      </c>
      <c r="K4" s="18">
        <f t="shared" si="1"/>
        <v>16.64</v>
      </c>
      <c r="L4" s="18">
        <f t="shared" si="2"/>
        <v>24.96</v>
      </c>
      <c r="M4" s="18">
        <f t="shared" si="5"/>
        <v>41.6</v>
      </c>
      <c r="N4" s="2">
        <v>7</v>
      </c>
      <c r="O4" s="1">
        <v>35</v>
      </c>
      <c r="P4" s="19">
        <f t="shared" si="3"/>
        <v>0.222222222222222</v>
      </c>
      <c r="Q4" s="1">
        <f ca="1" t="shared" si="6"/>
        <v>0.985482924968181</v>
      </c>
      <c r="R4" s="1">
        <f t="shared" ref="R4:R8" si="9">R3*1.2</f>
        <v>2.16</v>
      </c>
      <c r="S4" s="1">
        <f t="shared" ref="S4:S8" si="10">S3*1.4</f>
        <v>0.0588</v>
      </c>
      <c r="T4" s="1">
        <v>0.1</v>
      </c>
      <c r="U4" s="18">
        <f ca="1" t="shared" si="7"/>
        <v>17.1510584842275</v>
      </c>
      <c r="V4" s="4">
        <f ca="1" t="shared" si="8"/>
        <v>3480.741888</v>
      </c>
    </row>
    <row r="5" spans="1:22">
      <c r="A5" s="1">
        <v>1</v>
      </c>
      <c r="B5" s="1">
        <v>1</v>
      </c>
      <c r="C5" s="1">
        <v>500</v>
      </c>
      <c r="D5" s="1">
        <v>500</v>
      </c>
      <c r="E5" s="1">
        <v>500</v>
      </c>
      <c r="F5" s="1">
        <f t="shared" si="0"/>
        <v>3.5</v>
      </c>
      <c r="G5" s="1">
        <f t="shared" si="0"/>
        <v>3.5</v>
      </c>
      <c r="H5" s="1">
        <f t="shared" si="4"/>
        <v>15</v>
      </c>
      <c r="I5" s="1">
        <v>4.2</v>
      </c>
      <c r="J5" s="1">
        <v>2</v>
      </c>
      <c r="K5" s="18">
        <f t="shared" si="1"/>
        <v>102.9</v>
      </c>
      <c r="L5" s="18">
        <f t="shared" si="2"/>
        <v>126</v>
      </c>
      <c r="M5" s="18">
        <f t="shared" si="5"/>
        <v>228.9</v>
      </c>
      <c r="N5" s="2">
        <v>12</v>
      </c>
      <c r="O5" s="1">
        <v>60</v>
      </c>
      <c r="P5" s="19">
        <f t="shared" si="3"/>
        <v>0.142857142857143</v>
      </c>
      <c r="Q5" s="1">
        <f ca="1" t="shared" si="6"/>
        <v>1.03419569426753</v>
      </c>
      <c r="R5" s="1">
        <f t="shared" si="9"/>
        <v>2.592</v>
      </c>
      <c r="S5" s="1">
        <f t="shared" si="10"/>
        <v>0.08232</v>
      </c>
      <c r="T5" s="1">
        <v>0.15</v>
      </c>
      <c r="U5" s="18">
        <f ca="1" t="shared" si="7"/>
        <v>70.7410638439703</v>
      </c>
      <c r="V5" s="4">
        <f ca="1" t="shared" si="8"/>
        <v>13680.40192704</v>
      </c>
    </row>
    <row r="6" spans="1:22">
      <c r="A6" s="1">
        <v>1</v>
      </c>
      <c r="B6" s="1">
        <v>1</v>
      </c>
      <c r="C6" s="1">
        <v>1000</v>
      </c>
      <c r="D6" s="1">
        <v>1000</v>
      </c>
      <c r="E6" s="1">
        <v>1000</v>
      </c>
      <c r="F6" s="1">
        <f t="shared" si="0"/>
        <v>6</v>
      </c>
      <c r="G6" s="1">
        <f t="shared" si="0"/>
        <v>6</v>
      </c>
      <c r="H6" s="1">
        <f t="shared" si="4"/>
        <v>30</v>
      </c>
      <c r="I6" s="1">
        <v>7</v>
      </c>
      <c r="J6" s="1">
        <v>2.5</v>
      </c>
      <c r="K6" s="18">
        <f t="shared" si="1"/>
        <v>630</v>
      </c>
      <c r="L6" s="18">
        <f t="shared" si="2"/>
        <v>525</v>
      </c>
      <c r="M6" s="18">
        <f t="shared" si="5"/>
        <v>1155</v>
      </c>
      <c r="N6" s="2">
        <v>17</v>
      </c>
      <c r="O6" s="1">
        <v>85</v>
      </c>
      <c r="P6" s="19">
        <f t="shared" si="3"/>
        <v>0.105263157894737</v>
      </c>
      <c r="Q6" s="1">
        <f ca="1" t="shared" si="6"/>
        <v>1.02606011946125</v>
      </c>
      <c r="R6" s="1">
        <f t="shared" si="9"/>
        <v>3.1104</v>
      </c>
      <c r="S6" s="1">
        <f t="shared" si="10"/>
        <v>0.115248</v>
      </c>
      <c r="T6" s="1">
        <v>0.2</v>
      </c>
      <c r="U6" s="18">
        <f ca="1" t="shared" si="7"/>
        <v>286.138454087644</v>
      </c>
      <c r="V6" s="4">
        <f ca="1" t="shared" si="8"/>
        <v>55774.2082867201</v>
      </c>
    </row>
    <row r="7" spans="1:22">
      <c r="A7" s="1">
        <v>1</v>
      </c>
      <c r="B7" s="1">
        <v>1</v>
      </c>
      <c r="C7" s="1">
        <v>5000</v>
      </c>
      <c r="D7" s="1">
        <v>5000</v>
      </c>
      <c r="E7" s="1">
        <v>5000</v>
      </c>
      <c r="F7" s="1">
        <f t="shared" si="0"/>
        <v>26</v>
      </c>
      <c r="G7" s="1">
        <f t="shared" si="0"/>
        <v>26</v>
      </c>
      <c r="H7" s="1">
        <f t="shared" si="4"/>
        <v>150</v>
      </c>
      <c r="I7" s="1">
        <v>12</v>
      </c>
      <c r="J7" s="1">
        <v>3.6</v>
      </c>
      <c r="K7" s="18">
        <f t="shared" si="1"/>
        <v>29203.2</v>
      </c>
      <c r="L7" s="18">
        <f t="shared" si="2"/>
        <v>6480</v>
      </c>
      <c r="M7" s="18">
        <f t="shared" si="5"/>
        <v>35683.2</v>
      </c>
      <c r="N7" s="2">
        <v>22</v>
      </c>
      <c r="O7" s="1">
        <v>100</v>
      </c>
      <c r="P7" s="19">
        <f t="shared" si="3"/>
        <v>0.0909090909090909</v>
      </c>
      <c r="Q7" s="1">
        <f ca="1" t="shared" si="6"/>
        <v>1.02506853043218</v>
      </c>
      <c r="R7" s="1">
        <f t="shared" si="9"/>
        <v>3.73248</v>
      </c>
      <c r="S7" s="1">
        <f t="shared" si="10"/>
        <v>0.1613472</v>
      </c>
      <c r="T7" s="1">
        <v>0.25</v>
      </c>
      <c r="U7" s="18">
        <f ca="1" t="shared" si="7"/>
        <v>8209.04414596287</v>
      </c>
      <c r="V7" s="4">
        <f ca="1" t="shared" si="8"/>
        <v>1601657.62624706</v>
      </c>
    </row>
    <row r="8" spans="1:22">
      <c r="A8" s="1">
        <v>1</v>
      </c>
      <c r="B8" s="1">
        <v>1</v>
      </c>
      <c r="C8" s="1">
        <v>10000</v>
      </c>
      <c r="D8" s="1">
        <v>10000</v>
      </c>
      <c r="E8" s="1">
        <v>10000</v>
      </c>
      <c r="F8" s="1">
        <f t="shared" si="0"/>
        <v>51</v>
      </c>
      <c r="G8" s="1">
        <f t="shared" si="0"/>
        <v>51</v>
      </c>
      <c r="H8" s="1">
        <f t="shared" si="4"/>
        <v>300</v>
      </c>
      <c r="I8" s="1">
        <v>20</v>
      </c>
      <c r="J8" s="1">
        <v>5</v>
      </c>
      <c r="K8" s="18">
        <f t="shared" si="1"/>
        <v>260100</v>
      </c>
      <c r="L8" s="18">
        <f t="shared" si="2"/>
        <v>30000</v>
      </c>
      <c r="M8" s="18">
        <f t="shared" si="5"/>
        <v>290100</v>
      </c>
      <c r="N8" s="2">
        <v>28</v>
      </c>
      <c r="O8" s="1">
        <v>120</v>
      </c>
      <c r="P8" s="19">
        <f t="shared" si="3"/>
        <v>0.0769230769230769</v>
      </c>
      <c r="Q8" s="1">
        <f ca="1" t="shared" si="6"/>
        <v>0.967784740461264</v>
      </c>
      <c r="R8" s="1">
        <f t="shared" si="9"/>
        <v>4.478976</v>
      </c>
      <c r="S8" s="1">
        <f t="shared" si="10"/>
        <v>0.22588608</v>
      </c>
      <c r="T8" s="1">
        <v>0.3</v>
      </c>
      <c r="U8" s="18">
        <f ca="1" t="shared" si="7"/>
        <v>55830.9537397082</v>
      </c>
      <c r="V8" s="4">
        <f ca="1" t="shared" si="8"/>
        <v>11537886.7645915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selection activeCell="A1" sqref="A1:K17"/>
    </sheetView>
  </sheetViews>
  <sheetFormatPr defaultColWidth="9" defaultRowHeight="13.5"/>
  <cols>
    <col min="1" max="1" width="15.125" customWidth="1"/>
    <col min="7" max="7" width="12.625"/>
    <col min="8" max="8" width="10.375"/>
    <col min="10" max="10" width="9.5" customWidth="1"/>
    <col min="11" max="11" width="13.5" customWidth="1"/>
  </cols>
  <sheetData>
    <row r="1" spans="1:11">
      <c r="A1" t="s">
        <v>63</v>
      </c>
      <c r="B1" t="s">
        <v>4</v>
      </c>
      <c r="C1" t="s">
        <v>5</v>
      </c>
      <c r="D1" t="s">
        <v>8</v>
      </c>
      <c r="E1" t="s">
        <v>12</v>
      </c>
      <c r="F1" t="s">
        <v>20</v>
      </c>
      <c r="G1" t="s">
        <v>21</v>
      </c>
      <c r="H1" t="s">
        <v>16</v>
      </c>
      <c r="I1" t="s">
        <v>17</v>
      </c>
      <c r="J1" t="s">
        <v>19</v>
      </c>
      <c r="K1" t="s">
        <v>0</v>
      </c>
    </row>
    <row r="2" spans="1:11">
      <c r="A2">
        <v>1</v>
      </c>
      <c r="B2">
        <v>2.6</v>
      </c>
      <c r="C2">
        <v>100</v>
      </c>
      <c r="D2">
        <v>100</v>
      </c>
      <c r="E2">
        <v>100</v>
      </c>
      <c r="F2">
        <v>100</v>
      </c>
      <c r="G2">
        <v>100</v>
      </c>
      <c r="H2">
        <v>5</v>
      </c>
      <c r="I2">
        <v>1.2</v>
      </c>
      <c r="J2">
        <v>3</v>
      </c>
      <c r="K2" s="14">
        <f>(1+0.3*A2)*18*B2*(F2*(1+C2/200)*(1+D2/200)+G2*E2*0.03)*(1+H2)*(1+I2)*J2</f>
        <v>1264863.6</v>
      </c>
    </row>
    <row r="3" spans="1:11">
      <c r="A3">
        <v>1</v>
      </c>
      <c r="B3">
        <v>2.6</v>
      </c>
      <c r="C3">
        <v>200</v>
      </c>
      <c r="D3">
        <v>200</v>
      </c>
      <c r="E3">
        <v>200</v>
      </c>
      <c r="F3">
        <v>100</v>
      </c>
      <c r="G3">
        <v>100</v>
      </c>
      <c r="H3">
        <v>5</v>
      </c>
      <c r="I3">
        <v>1.2</v>
      </c>
      <c r="J3">
        <v>3</v>
      </c>
      <c r="K3" s="14">
        <f t="shared" ref="K3:K17" si="0">(1+0.3*A3)*18*B3*(F3*(1+C3/200)*(1+D3/200)+G3*E3*0.03)*(1+H3)*(1+I3)*J3</f>
        <v>2409264</v>
      </c>
    </row>
    <row r="4" spans="1:11">
      <c r="A4">
        <v>1</v>
      </c>
      <c r="B4">
        <v>2.6</v>
      </c>
      <c r="C4">
        <v>300</v>
      </c>
      <c r="D4">
        <v>300</v>
      </c>
      <c r="E4">
        <v>300</v>
      </c>
      <c r="F4">
        <v>100</v>
      </c>
      <c r="G4">
        <v>100</v>
      </c>
      <c r="H4">
        <v>5</v>
      </c>
      <c r="I4">
        <v>1.2</v>
      </c>
      <c r="J4">
        <v>3</v>
      </c>
      <c r="K4" s="14">
        <f t="shared" si="0"/>
        <v>3674127.6</v>
      </c>
    </row>
    <row r="5" spans="1:11">
      <c r="A5">
        <v>1</v>
      </c>
      <c r="B5">
        <v>2.6</v>
      </c>
      <c r="C5">
        <v>400</v>
      </c>
      <c r="D5">
        <v>400</v>
      </c>
      <c r="E5">
        <v>400</v>
      </c>
      <c r="F5">
        <v>100</v>
      </c>
      <c r="G5">
        <v>100</v>
      </c>
      <c r="H5">
        <v>5</v>
      </c>
      <c r="I5">
        <v>1.2</v>
      </c>
      <c r="J5">
        <v>3</v>
      </c>
      <c r="K5" s="14">
        <f t="shared" si="0"/>
        <v>5059454.4</v>
      </c>
    </row>
    <row r="6" spans="1:11">
      <c r="A6">
        <v>1</v>
      </c>
      <c r="B6">
        <v>2.6</v>
      </c>
      <c r="C6">
        <v>500</v>
      </c>
      <c r="D6">
        <v>500</v>
      </c>
      <c r="E6">
        <v>500</v>
      </c>
      <c r="F6">
        <v>100</v>
      </c>
      <c r="G6">
        <v>100</v>
      </c>
      <c r="H6">
        <v>5</v>
      </c>
      <c r="I6">
        <v>1.2</v>
      </c>
      <c r="J6">
        <v>3</v>
      </c>
      <c r="K6" s="14">
        <f t="shared" si="0"/>
        <v>6565244.4</v>
      </c>
    </row>
    <row r="7" spans="1:11">
      <c r="A7">
        <v>1</v>
      </c>
      <c r="B7">
        <v>2.6</v>
      </c>
      <c r="C7">
        <v>600</v>
      </c>
      <c r="D7">
        <v>600</v>
      </c>
      <c r="E7">
        <v>600</v>
      </c>
      <c r="F7">
        <v>100</v>
      </c>
      <c r="G7">
        <v>100</v>
      </c>
      <c r="H7">
        <v>5</v>
      </c>
      <c r="I7">
        <v>1.2</v>
      </c>
      <c r="J7">
        <v>3</v>
      </c>
      <c r="K7" s="14">
        <f t="shared" si="0"/>
        <v>8191497.6</v>
      </c>
    </row>
    <row r="8" spans="1:11">
      <c r="A8">
        <v>1</v>
      </c>
      <c r="B8">
        <v>2.6</v>
      </c>
      <c r="C8">
        <v>700</v>
      </c>
      <c r="D8">
        <v>700</v>
      </c>
      <c r="E8">
        <v>700</v>
      </c>
      <c r="F8">
        <v>100</v>
      </c>
      <c r="G8">
        <v>100</v>
      </c>
      <c r="H8">
        <v>5</v>
      </c>
      <c r="I8">
        <v>1.2</v>
      </c>
      <c r="J8">
        <v>3</v>
      </c>
      <c r="K8" s="14">
        <f t="shared" si="0"/>
        <v>9938214</v>
      </c>
    </row>
    <row r="9" spans="1:11">
      <c r="A9">
        <v>1</v>
      </c>
      <c r="B9">
        <v>2.6</v>
      </c>
      <c r="C9">
        <v>800</v>
      </c>
      <c r="D9">
        <v>800</v>
      </c>
      <c r="E9">
        <v>800</v>
      </c>
      <c r="F9">
        <v>100</v>
      </c>
      <c r="G9">
        <v>100</v>
      </c>
      <c r="H9">
        <v>5</v>
      </c>
      <c r="I9">
        <v>1.2</v>
      </c>
      <c r="J9">
        <v>3</v>
      </c>
      <c r="K9" s="14">
        <f t="shared" si="0"/>
        <v>11805393.6</v>
      </c>
    </row>
    <row r="10" spans="1:11">
      <c r="A10">
        <v>1</v>
      </c>
      <c r="B10">
        <v>2.6</v>
      </c>
      <c r="C10">
        <v>900</v>
      </c>
      <c r="D10">
        <v>900</v>
      </c>
      <c r="E10">
        <v>900</v>
      </c>
      <c r="F10">
        <v>100</v>
      </c>
      <c r="G10">
        <v>100</v>
      </c>
      <c r="H10">
        <v>5</v>
      </c>
      <c r="I10">
        <v>1.2</v>
      </c>
      <c r="J10">
        <v>3</v>
      </c>
      <c r="K10" s="14">
        <f t="shared" si="0"/>
        <v>13793036.4</v>
      </c>
    </row>
    <row r="11" spans="1:11">
      <c r="A11">
        <v>1</v>
      </c>
      <c r="B11">
        <v>2.6</v>
      </c>
      <c r="C11">
        <v>1000</v>
      </c>
      <c r="D11">
        <v>1000</v>
      </c>
      <c r="E11">
        <v>1000</v>
      </c>
      <c r="F11">
        <v>100</v>
      </c>
      <c r="G11">
        <v>100</v>
      </c>
      <c r="H11">
        <v>5</v>
      </c>
      <c r="I11">
        <v>1.2</v>
      </c>
      <c r="J11">
        <v>3</v>
      </c>
      <c r="K11" s="14">
        <f t="shared" si="0"/>
        <v>15901142.4</v>
      </c>
    </row>
    <row r="12" spans="1:11">
      <c r="A12">
        <v>1</v>
      </c>
      <c r="B12">
        <v>2.6</v>
      </c>
      <c r="C12">
        <v>1100</v>
      </c>
      <c r="D12">
        <v>1100</v>
      </c>
      <c r="E12">
        <v>1100</v>
      </c>
      <c r="F12">
        <v>100</v>
      </c>
      <c r="G12">
        <v>100</v>
      </c>
      <c r="H12">
        <v>5</v>
      </c>
      <c r="I12">
        <v>1.2</v>
      </c>
      <c r="J12">
        <v>3</v>
      </c>
      <c r="K12" s="14">
        <f t="shared" si="0"/>
        <v>18129711.6</v>
      </c>
    </row>
    <row r="13" spans="1:11">
      <c r="A13">
        <v>1</v>
      </c>
      <c r="B13">
        <v>2.6</v>
      </c>
      <c r="C13">
        <v>1200</v>
      </c>
      <c r="D13">
        <v>1200</v>
      </c>
      <c r="E13">
        <v>1200</v>
      </c>
      <c r="F13">
        <v>100</v>
      </c>
      <c r="G13">
        <v>100</v>
      </c>
      <c r="H13">
        <v>5</v>
      </c>
      <c r="I13">
        <v>1.2</v>
      </c>
      <c r="J13">
        <v>3</v>
      </c>
      <c r="K13" s="14">
        <f t="shared" si="0"/>
        <v>20478744</v>
      </c>
    </row>
    <row r="14" spans="1:11">
      <c r="A14">
        <v>1</v>
      </c>
      <c r="B14">
        <v>2.6</v>
      </c>
      <c r="C14">
        <v>1300</v>
      </c>
      <c r="D14">
        <v>1300</v>
      </c>
      <c r="E14">
        <v>1300</v>
      </c>
      <c r="F14">
        <v>100</v>
      </c>
      <c r="G14">
        <v>100</v>
      </c>
      <c r="H14">
        <v>5</v>
      </c>
      <c r="I14">
        <v>1.2</v>
      </c>
      <c r="J14">
        <v>3</v>
      </c>
      <c r="K14" s="14">
        <f t="shared" si="0"/>
        <v>22948239.6</v>
      </c>
    </row>
    <row r="15" spans="1:11">
      <c r="A15">
        <v>1</v>
      </c>
      <c r="B15">
        <v>2.6</v>
      </c>
      <c r="C15">
        <v>1400</v>
      </c>
      <c r="D15">
        <v>1400</v>
      </c>
      <c r="E15">
        <v>1400</v>
      </c>
      <c r="F15">
        <v>100</v>
      </c>
      <c r="G15">
        <v>100</v>
      </c>
      <c r="H15">
        <v>5</v>
      </c>
      <c r="I15">
        <v>1.2</v>
      </c>
      <c r="J15">
        <v>3</v>
      </c>
      <c r="K15" s="14">
        <f t="shared" si="0"/>
        <v>25538198.4</v>
      </c>
    </row>
    <row r="16" spans="1:11">
      <c r="A16">
        <v>1</v>
      </c>
      <c r="B16">
        <v>2.6</v>
      </c>
      <c r="C16">
        <v>1500</v>
      </c>
      <c r="D16">
        <v>1500</v>
      </c>
      <c r="E16">
        <v>1500</v>
      </c>
      <c r="F16">
        <v>100</v>
      </c>
      <c r="G16">
        <v>100</v>
      </c>
      <c r="H16">
        <v>5</v>
      </c>
      <c r="I16">
        <v>1.2</v>
      </c>
      <c r="J16">
        <v>3</v>
      </c>
      <c r="K16" s="14">
        <f t="shared" si="0"/>
        <v>28248620.4</v>
      </c>
    </row>
    <row r="17" spans="1:11">
      <c r="A17">
        <v>1</v>
      </c>
      <c r="B17">
        <v>2.6</v>
      </c>
      <c r="C17">
        <v>1600</v>
      </c>
      <c r="D17">
        <v>1600</v>
      </c>
      <c r="E17">
        <v>1600</v>
      </c>
      <c r="F17">
        <v>100</v>
      </c>
      <c r="G17">
        <v>100</v>
      </c>
      <c r="H17">
        <v>5</v>
      </c>
      <c r="I17">
        <v>1.2</v>
      </c>
      <c r="J17">
        <v>3</v>
      </c>
      <c r="K17" s="14">
        <f t="shared" si="0"/>
        <v>31079505.6</v>
      </c>
    </row>
    <row r="21" spans="1:8">
      <c r="A21">
        <v>1</v>
      </c>
      <c r="B21">
        <v>18</v>
      </c>
      <c r="C21">
        <v>10</v>
      </c>
      <c r="D21">
        <v>10000</v>
      </c>
      <c r="E21">
        <v>5</v>
      </c>
      <c r="F21">
        <v>5</v>
      </c>
      <c r="G21">
        <v>5</v>
      </c>
      <c r="H21">
        <f>A21*B21*C21*D21*E21*F21*G21</f>
        <v>225000000</v>
      </c>
    </row>
    <row r="26" spans="1:10">
      <c r="A26" t="s">
        <v>64</v>
      </c>
      <c r="B26" t="s">
        <v>65</v>
      </c>
      <c r="D26" t="s">
        <v>5</v>
      </c>
      <c r="E26" t="s">
        <v>8</v>
      </c>
      <c r="F26" t="s">
        <v>12</v>
      </c>
      <c r="G26" t="s">
        <v>20</v>
      </c>
      <c r="H26" t="s">
        <v>21</v>
      </c>
      <c r="J26" t="s">
        <v>65</v>
      </c>
    </row>
    <row r="27" spans="1:9">
      <c r="A27">
        <v>2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f>G27*(1+D27/200)*(1+E27/200)+H27*F27*0.03</f>
        <v>525</v>
      </c>
    </row>
    <row r="28" spans="1:10">
      <c r="A28">
        <v>3</v>
      </c>
      <c r="B28" s="16">
        <f>A28/A27</f>
        <v>1.5</v>
      </c>
      <c r="D28">
        <v>200</v>
      </c>
      <c r="E28">
        <v>200</v>
      </c>
      <c r="F28">
        <v>200</v>
      </c>
      <c r="G28">
        <v>100</v>
      </c>
      <c r="H28">
        <v>100</v>
      </c>
      <c r="I28">
        <f t="shared" ref="I28:I36" si="1">G28*(1+D28/200)*(1+E28/200)+H28*F28*0.03</f>
        <v>1000</v>
      </c>
      <c r="J28" s="14">
        <f>I28/I27</f>
        <v>1.9047619047619</v>
      </c>
    </row>
    <row r="29" spans="1:10">
      <c r="A29">
        <v>4</v>
      </c>
      <c r="B29" s="16">
        <f t="shared" ref="B29:B35" si="2">A29/A28</f>
        <v>1.33333333333333</v>
      </c>
      <c r="D29">
        <v>300</v>
      </c>
      <c r="E29">
        <v>300</v>
      </c>
      <c r="F29">
        <v>300</v>
      </c>
      <c r="G29">
        <v>100</v>
      </c>
      <c r="H29">
        <v>100</v>
      </c>
      <c r="I29">
        <f t="shared" si="1"/>
        <v>1525</v>
      </c>
      <c r="J29" s="14">
        <f t="shared" ref="J29:J36" si="3">I29/I28</f>
        <v>1.525</v>
      </c>
    </row>
    <row r="30" spans="1:10">
      <c r="A30">
        <v>5</v>
      </c>
      <c r="B30" s="16">
        <f t="shared" si="2"/>
        <v>1.25</v>
      </c>
      <c r="D30">
        <v>400</v>
      </c>
      <c r="E30">
        <v>400</v>
      </c>
      <c r="F30">
        <v>400</v>
      </c>
      <c r="G30">
        <v>100</v>
      </c>
      <c r="H30">
        <v>100</v>
      </c>
      <c r="I30">
        <f t="shared" si="1"/>
        <v>2100</v>
      </c>
      <c r="J30" s="14">
        <f t="shared" si="3"/>
        <v>1.37704918032787</v>
      </c>
    </row>
    <row r="31" spans="1:10">
      <c r="A31">
        <v>6</v>
      </c>
      <c r="B31" s="16">
        <f t="shared" si="2"/>
        <v>1.2</v>
      </c>
      <c r="D31">
        <v>500</v>
      </c>
      <c r="E31">
        <v>500</v>
      </c>
      <c r="F31">
        <v>500</v>
      </c>
      <c r="G31">
        <v>100</v>
      </c>
      <c r="H31">
        <v>100</v>
      </c>
      <c r="I31">
        <f t="shared" si="1"/>
        <v>2725</v>
      </c>
      <c r="J31" s="14">
        <f t="shared" si="3"/>
        <v>1.29761904761905</v>
      </c>
    </row>
    <row r="32" spans="1:10">
      <c r="A32">
        <v>7</v>
      </c>
      <c r="B32" s="16">
        <f t="shared" si="2"/>
        <v>1.16666666666667</v>
      </c>
      <c r="D32">
        <v>600</v>
      </c>
      <c r="E32">
        <v>600</v>
      </c>
      <c r="F32">
        <v>600</v>
      </c>
      <c r="G32">
        <v>100</v>
      </c>
      <c r="H32">
        <v>100</v>
      </c>
      <c r="I32">
        <f t="shared" si="1"/>
        <v>3400</v>
      </c>
      <c r="J32" s="14">
        <f t="shared" si="3"/>
        <v>1.24770642201835</v>
      </c>
    </row>
    <row r="33" spans="1:10">
      <c r="A33">
        <v>8</v>
      </c>
      <c r="B33" s="16">
        <f t="shared" si="2"/>
        <v>1.14285714285714</v>
      </c>
      <c r="D33">
        <v>700</v>
      </c>
      <c r="E33">
        <v>700</v>
      </c>
      <c r="F33">
        <v>700</v>
      </c>
      <c r="G33">
        <v>100</v>
      </c>
      <c r="H33">
        <v>100</v>
      </c>
      <c r="I33">
        <f t="shared" si="1"/>
        <v>4125</v>
      </c>
      <c r="J33" s="14">
        <f t="shared" si="3"/>
        <v>1.21323529411765</v>
      </c>
    </row>
    <row r="34" spans="1:10">
      <c r="A34">
        <v>9</v>
      </c>
      <c r="B34" s="16">
        <f t="shared" si="2"/>
        <v>1.125</v>
      </c>
      <c r="D34">
        <v>800</v>
      </c>
      <c r="E34">
        <v>800</v>
      </c>
      <c r="F34">
        <v>800</v>
      </c>
      <c r="G34">
        <v>100</v>
      </c>
      <c r="H34">
        <v>100</v>
      </c>
      <c r="I34">
        <f t="shared" si="1"/>
        <v>4900</v>
      </c>
      <c r="J34" s="14">
        <f t="shared" si="3"/>
        <v>1.18787878787879</v>
      </c>
    </row>
    <row r="35" spans="1:10">
      <c r="A35">
        <v>30</v>
      </c>
      <c r="B35" s="16">
        <f t="shared" si="2"/>
        <v>3.33333333333333</v>
      </c>
      <c r="D35">
        <v>900</v>
      </c>
      <c r="E35">
        <v>900</v>
      </c>
      <c r="F35">
        <v>900</v>
      </c>
      <c r="G35">
        <v>100</v>
      </c>
      <c r="H35">
        <v>100</v>
      </c>
      <c r="I35">
        <f t="shared" si="1"/>
        <v>5725</v>
      </c>
      <c r="J35" s="14">
        <f t="shared" si="3"/>
        <v>1.16836734693878</v>
      </c>
    </row>
    <row r="36" spans="4:10">
      <c r="D36">
        <v>1000</v>
      </c>
      <c r="E36">
        <v>1000</v>
      </c>
      <c r="F36">
        <v>1000</v>
      </c>
      <c r="G36">
        <v>100</v>
      </c>
      <c r="H36">
        <v>100</v>
      </c>
      <c r="I36">
        <f t="shared" si="1"/>
        <v>6600</v>
      </c>
      <c r="J36" s="14">
        <f t="shared" si="3"/>
        <v>1.1528384279476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tabSelected="1" workbookViewId="0">
      <selection activeCell="E2" sqref="E2"/>
    </sheetView>
  </sheetViews>
  <sheetFormatPr defaultColWidth="9" defaultRowHeight="13.5"/>
  <cols>
    <col min="2" max="2" width="14.375" customWidth="1"/>
    <col min="3" max="3" width="9.375"/>
    <col min="5" max="5" width="9.5" customWidth="1"/>
    <col min="8" max="8" width="13.875" customWidth="1"/>
    <col min="9" max="9" width="8.25" customWidth="1"/>
    <col min="12" max="12" width="17.125"/>
  </cols>
  <sheetData>
    <row r="1" spans="1:9">
      <c r="A1" s="13" t="s">
        <v>66</v>
      </c>
      <c r="B1" t="s">
        <v>67</v>
      </c>
      <c r="C1" t="s">
        <v>68</v>
      </c>
      <c r="D1" t="s">
        <v>35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8">
      <c r="A2" s="13">
        <v>1</v>
      </c>
      <c r="B2" t="s">
        <v>74</v>
      </c>
      <c r="C2">
        <v>6000</v>
      </c>
      <c r="D2">
        <v>11</v>
      </c>
      <c r="E2" s="14">
        <f>1/(1+0.1*D2)</f>
        <v>0.476190476190476</v>
      </c>
      <c r="F2">
        <f>D2/5</f>
        <v>2.2</v>
      </c>
      <c r="G2">
        <f>(100-F2)/100</f>
        <v>0.978</v>
      </c>
      <c r="H2" s="15">
        <f>C2/E2/G2</f>
        <v>12883.4355828221</v>
      </c>
    </row>
    <row r="3" spans="1:9">
      <c r="A3" s="13"/>
      <c r="B3" t="s">
        <v>75</v>
      </c>
      <c r="C3">
        <v>9000</v>
      </c>
      <c r="D3">
        <v>12</v>
      </c>
      <c r="E3" s="14">
        <f t="shared" ref="E3:E15" si="0">1/(1+0.1*D3)</f>
        <v>0.454545454545455</v>
      </c>
      <c r="F3">
        <f t="shared" ref="F3:F15" si="1">D3/5</f>
        <v>2.4</v>
      </c>
      <c r="G3">
        <f t="shared" ref="G3:G15" si="2">(100-F3)/100</f>
        <v>0.976</v>
      </c>
      <c r="H3" s="15">
        <f t="shared" ref="H3:H15" si="3">C3/E3/G3</f>
        <v>20286.8852459016</v>
      </c>
      <c r="I3" s="16">
        <f>H3/H2</f>
        <v>1.57464871194379</v>
      </c>
    </row>
    <row r="4" spans="1:9">
      <c r="A4" s="13">
        <v>2</v>
      </c>
      <c r="B4" t="s">
        <v>76</v>
      </c>
      <c r="C4">
        <v>35000</v>
      </c>
      <c r="D4">
        <v>23</v>
      </c>
      <c r="E4" s="14">
        <f t="shared" si="0"/>
        <v>0.303030303030303</v>
      </c>
      <c r="F4">
        <f t="shared" si="1"/>
        <v>4.6</v>
      </c>
      <c r="G4">
        <f t="shared" si="2"/>
        <v>0.954</v>
      </c>
      <c r="H4" s="15">
        <f t="shared" si="3"/>
        <v>121069.182389937</v>
      </c>
      <c r="I4" s="17">
        <f t="shared" ref="I4:I15" si="4">H4/H3</f>
        <v>5.96785464709993</v>
      </c>
    </row>
    <row r="5" spans="1:9">
      <c r="A5" s="13"/>
      <c r="B5" t="s">
        <v>77</v>
      </c>
      <c r="C5">
        <v>45000</v>
      </c>
      <c r="D5">
        <v>24</v>
      </c>
      <c r="E5" s="14">
        <f t="shared" si="0"/>
        <v>0.294117647058823</v>
      </c>
      <c r="F5">
        <f t="shared" si="1"/>
        <v>4.8</v>
      </c>
      <c r="G5">
        <f t="shared" si="2"/>
        <v>0.952</v>
      </c>
      <c r="H5" s="15">
        <f t="shared" si="3"/>
        <v>160714.285714286</v>
      </c>
      <c r="I5" s="16">
        <f t="shared" si="4"/>
        <v>1.32745825602968</v>
      </c>
    </row>
    <row r="6" spans="1:9">
      <c r="A6" s="13">
        <v>3</v>
      </c>
      <c r="B6" t="s">
        <v>78</v>
      </c>
      <c r="C6">
        <v>140000</v>
      </c>
      <c r="D6">
        <v>33</v>
      </c>
      <c r="E6" s="14">
        <f t="shared" si="0"/>
        <v>0.232558139534884</v>
      </c>
      <c r="F6">
        <f t="shared" si="1"/>
        <v>6.6</v>
      </c>
      <c r="G6">
        <f t="shared" si="2"/>
        <v>0.934</v>
      </c>
      <c r="H6" s="15">
        <f t="shared" si="3"/>
        <v>644539.614561028</v>
      </c>
      <c r="I6" s="17">
        <f t="shared" si="4"/>
        <v>4.01046871282417</v>
      </c>
    </row>
    <row r="7" spans="1:9">
      <c r="A7" s="13"/>
      <c r="B7" t="s">
        <v>79</v>
      </c>
      <c r="C7">
        <v>160000</v>
      </c>
      <c r="D7">
        <v>33</v>
      </c>
      <c r="E7" s="14">
        <f t="shared" si="0"/>
        <v>0.232558139534884</v>
      </c>
      <c r="F7">
        <f t="shared" si="1"/>
        <v>6.6</v>
      </c>
      <c r="G7">
        <f t="shared" si="2"/>
        <v>0.934</v>
      </c>
      <c r="H7" s="15">
        <f t="shared" si="3"/>
        <v>736616.70235546</v>
      </c>
      <c r="I7" s="16">
        <f t="shared" si="4"/>
        <v>1.14285714285714</v>
      </c>
    </row>
    <row r="8" spans="1:9">
      <c r="A8" s="13"/>
      <c r="B8" t="s">
        <v>80</v>
      </c>
      <c r="C8">
        <v>180000</v>
      </c>
      <c r="D8">
        <v>34</v>
      </c>
      <c r="E8" s="14">
        <f t="shared" si="0"/>
        <v>0.227272727272727</v>
      </c>
      <c r="F8">
        <f t="shared" si="1"/>
        <v>6.8</v>
      </c>
      <c r="G8">
        <f t="shared" si="2"/>
        <v>0.932</v>
      </c>
      <c r="H8" s="15">
        <f t="shared" si="3"/>
        <v>849785.407725322</v>
      </c>
      <c r="I8" s="16">
        <f t="shared" si="4"/>
        <v>1.15363309711548</v>
      </c>
    </row>
    <row r="9" spans="1:9">
      <c r="A9" s="13"/>
      <c r="B9" t="s">
        <v>81</v>
      </c>
      <c r="C9">
        <v>184000</v>
      </c>
      <c r="D9">
        <v>35</v>
      </c>
      <c r="E9" s="14">
        <f t="shared" si="0"/>
        <v>0.222222222222222</v>
      </c>
      <c r="F9">
        <f t="shared" si="1"/>
        <v>7</v>
      </c>
      <c r="G9">
        <f t="shared" si="2"/>
        <v>0.93</v>
      </c>
      <c r="H9" s="15">
        <f t="shared" si="3"/>
        <v>890322.580645161</v>
      </c>
      <c r="I9" s="16">
        <f t="shared" si="4"/>
        <v>1.04770283479961</v>
      </c>
    </row>
    <row r="10" spans="1:9">
      <c r="A10" s="13">
        <v>4</v>
      </c>
      <c r="B10" t="s">
        <v>82</v>
      </c>
      <c r="C10">
        <v>200000</v>
      </c>
      <c r="D10">
        <v>43</v>
      </c>
      <c r="E10" s="14">
        <f t="shared" si="0"/>
        <v>0.188679245283019</v>
      </c>
      <c r="F10">
        <f t="shared" si="1"/>
        <v>8.6</v>
      </c>
      <c r="G10">
        <f t="shared" si="2"/>
        <v>0.914</v>
      </c>
      <c r="H10" s="15">
        <f t="shared" si="3"/>
        <v>1159737.41794311</v>
      </c>
      <c r="I10" s="16">
        <f t="shared" si="4"/>
        <v>1.30260362160277</v>
      </c>
    </row>
    <row r="11" spans="1:9">
      <c r="A11" s="13"/>
      <c r="B11" t="s">
        <v>83</v>
      </c>
      <c r="C11">
        <v>300800</v>
      </c>
      <c r="D11">
        <v>44</v>
      </c>
      <c r="E11" s="14">
        <f t="shared" si="0"/>
        <v>0.185185185185185</v>
      </c>
      <c r="F11">
        <f t="shared" si="1"/>
        <v>8.8</v>
      </c>
      <c r="G11">
        <f t="shared" si="2"/>
        <v>0.912</v>
      </c>
      <c r="H11" s="15">
        <f t="shared" si="3"/>
        <v>1781052.63157895</v>
      </c>
      <c r="I11" s="16">
        <f t="shared" si="4"/>
        <v>1.53573783515392</v>
      </c>
    </row>
    <row r="12" spans="1:9">
      <c r="A12" s="13">
        <v>5</v>
      </c>
      <c r="B12" t="s">
        <v>84</v>
      </c>
      <c r="C12">
        <v>960000</v>
      </c>
      <c r="D12">
        <v>67</v>
      </c>
      <c r="E12" s="14">
        <f t="shared" si="0"/>
        <v>0.12987012987013</v>
      </c>
      <c r="F12">
        <f t="shared" si="1"/>
        <v>13.4</v>
      </c>
      <c r="G12">
        <f t="shared" si="2"/>
        <v>0.866</v>
      </c>
      <c r="H12" s="15">
        <f t="shared" si="3"/>
        <v>8535796.76674365</v>
      </c>
      <c r="I12" s="17">
        <f t="shared" si="4"/>
        <v>4.79255728629224</v>
      </c>
    </row>
    <row r="13" spans="1:9">
      <c r="A13" s="13"/>
      <c r="B13" t="s">
        <v>85</v>
      </c>
      <c r="C13">
        <v>1016000</v>
      </c>
      <c r="D13">
        <v>68</v>
      </c>
      <c r="E13" s="14">
        <f t="shared" si="0"/>
        <v>0.128205128205128</v>
      </c>
      <c r="F13">
        <f t="shared" si="1"/>
        <v>13.6</v>
      </c>
      <c r="G13">
        <f t="shared" si="2"/>
        <v>0.864</v>
      </c>
      <c r="H13" s="15">
        <f t="shared" si="3"/>
        <v>9172222.22222222</v>
      </c>
      <c r="I13" s="16">
        <f t="shared" si="4"/>
        <v>1.07455958393458</v>
      </c>
    </row>
    <row r="14" spans="1:9">
      <c r="A14" s="13"/>
      <c r="B14" t="s">
        <v>86</v>
      </c>
      <c r="C14">
        <v>1440000</v>
      </c>
      <c r="D14">
        <v>69</v>
      </c>
      <c r="E14" s="14">
        <f t="shared" si="0"/>
        <v>0.126582278481013</v>
      </c>
      <c r="F14">
        <f t="shared" si="1"/>
        <v>13.8</v>
      </c>
      <c r="G14">
        <f t="shared" si="2"/>
        <v>0.862</v>
      </c>
      <c r="H14" s="15">
        <f t="shared" si="3"/>
        <v>13197215.7772622</v>
      </c>
      <c r="I14" s="16">
        <f t="shared" si="4"/>
        <v>1.43882425191229</v>
      </c>
    </row>
    <row r="15" spans="1:9">
      <c r="A15" s="13">
        <v>6</v>
      </c>
      <c r="B15" t="s">
        <v>87</v>
      </c>
      <c r="C15">
        <v>31600000</v>
      </c>
      <c r="D15">
        <v>79</v>
      </c>
      <c r="E15" s="14">
        <f t="shared" si="0"/>
        <v>0.112359550561798</v>
      </c>
      <c r="F15">
        <f t="shared" si="1"/>
        <v>15.8</v>
      </c>
      <c r="G15">
        <f t="shared" si="2"/>
        <v>0.842</v>
      </c>
      <c r="H15" s="15">
        <f t="shared" si="3"/>
        <v>334014251.781473</v>
      </c>
      <c r="I15" s="17">
        <f t="shared" si="4"/>
        <v>25.3094484032726</v>
      </c>
    </row>
    <row r="23" spans="1:12">
      <c r="A23" t="s">
        <v>34</v>
      </c>
      <c r="B23" t="s">
        <v>63</v>
      </c>
      <c r="C23" t="s">
        <v>4</v>
      </c>
      <c r="D23" t="s">
        <v>5</v>
      </c>
      <c r="E23" t="s">
        <v>8</v>
      </c>
      <c r="F23" t="s">
        <v>12</v>
      </c>
      <c r="G23" t="s">
        <v>20</v>
      </c>
      <c r="H23" t="s">
        <v>21</v>
      </c>
      <c r="I23" t="s">
        <v>16</v>
      </c>
      <c r="J23" t="s">
        <v>17</v>
      </c>
      <c r="K23" t="s">
        <v>19</v>
      </c>
      <c r="L23" t="s">
        <v>0</v>
      </c>
    </row>
    <row r="24" spans="1:12">
      <c r="A24">
        <v>1</v>
      </c>
      <c r="B24">
        <v>1</v>
      </c>
      <c r="C24" s="1">
        <v>1</v>
      </c>
      <c r="D24" s="1">
        <v>10</v>
      </c>
      <c r="E24" s="1">
        <v>1</v>
      </c>
      <c r="F24" s="1">
        <v>1</v>
      </c>
      <c r="G24">
        <v>10</v>
      </c>
      <c r="H24">
        <v>10</v>
      </c>
      <c r="I24">
        <v>1</v>
      </c>
      <c r="J24" s="1">
        <v>1</v>
      </c>
      <c r="K24">
        <v>1</v>
      </c>
      <c r="L24" s="14">
        <f>(1+0.3*B24)*18*C24*(G24*(1+D24/200)*(1+E24/200)+H24*F24*0.03)*(1+0.5*I24)*(1+J24)*K24</f>
        <v>761.8455</v>
      </c>
    </row>
    <row r="25" spans="2:12">
      <c r="B25">
        <v>1</v>
      </c>
      <c r="C25" s="1">
        <v>1.7</v>
      </c>
      <c r="D25" s="1">
        <v>100</v>
      </c>
      <c r="E25" s="1">
        <v>1</v>
      </c>
      <c r="F25" s="1">
        <v>1</v>
      </c>
      <c r="G25">
        <v>70</v>
      </c>
      <c r="H25">
        <v>70</v>
      </c>
      <c r="I25">
        <v>3</v>
      </c>
      <c r="J25" s="1">
        <v>1</v>
      </c>
      <c r="K25">
        <v>1.7</v>
      </c>
      <c r="L25" s="14">
        <f>(1+0.3*B25)*18*C25*(G25*(1+D25/200)*(1+E25/200)+H25*F25*0.03)*(1+0.5*I25)*(1+J25)*K25</f>
        <v>36391.24125</v>
      </c>
    </row>
    <row r="26" spans="2:12">
      <c r="B26">
        <v>1</v>
      </c>
      <c r="C26" s="1">
        <v>2.6</v>
      </c>
      <c r="D26" s="1">
        <v>200</v>
      </c>
      <c r="E26" s="1">
        <v>1</v>
      </c>
      <c r="F26" s="1">
        <v>1</v>
      </c>
      <c r="G26">
        <v>100</v>
      </c>
      <c r="H26">
        <v>100</v>
      </c>
      <c r="I26">
        <v>3</v>
      </c>
      <c r="J26" s="1">
        <v>1</v>
      </c>
      <c r="K26">
        <v>1.7</v>
      </c>
      <c r="L26" s="14">
        <f>(1+0.3*B26)*18*C26*(G26*(1+D26/200)*(1+E26/200)+H26*F26*0.03)*(1+0.5*I26)*(1+J26)*K26</f>
        <v>105496.56</v>
      </c>
    </row>
    <row r="27" spans="2:12">
      <c r="B27">
        <v>1</v>
      </c>
      <c r="C27" s="1">
        <v>4.2</v>
      </c>
      <c r="D27" s="1">
        <v>500</v>
      </c>
      <c r="E27" s="1">
        <v>500</v>
      </c>
      <c r="F27" s="1">
        <v>500</v>
      </c>
      <c r="G27">
        <v>100</v>
      </c>
      <c r="H27">
        <v>100</v>
      </c>
      <c r="I27">
        <v>7</v>
      </c>
      <c r="J27" s="1">
        <v>2</v>
      </c>
      <c r="K27">
        <v>3</v>
      </c>
      <c r="L27" s="14">
        <f t="shared" ref="L27:L33" si="5">(1+0.3*B27)*18*C27*(G27*(1+D27/200)*(1+E27/200)+H27*F27*0.03)*(1+0.5*I27)*(1+J27)*K27</f>
        <v>10846426.5</v>
      </c>
    </row>
    <row r="28" spans="2:12">
      <c r="B28">
        <v>1</v>
      </c>
      <c r="C28" s="1">
        <v>7</v>
      </c>
      <c r="D28" s="1">
        <v>1000</v>
      </c>
      <c r="E28" s="1">
        <v>1000</v>
      </c>
      <c r="F28" s="1">
        <v>1000</v>
      </c>
      <c r="G28">
        <v>100</v>
      </c>
      <c r="H28">
        <v>100</v>
      </c>
      <c r="I28">
        <v>9</v>
      </c>
      <c r="J28" s="1">
        <v>2.5</v>
      </c>
      <c r="K28">
        <v>3</v>
      </c>
      <c r="L28" s="14">
        <f t="shared" si="5"/>
        <v>62432370</v>
      </c>
    </row>
    <row r="29" spans="2:12">
      <c r="B29">
        <v>1</v>
      </c>
      <c r="C29" s="1">
        <v>12</v>
      </c>
      <c r="D29" s="1">
        <v>5000</v>
      </c>
      <c r="E29" s="1">
        <v>5000</v>
      </c>
      <c r="F29" s="1">
        <v>5000</v>
      </c>
      <c r="G29">
        <v>100</v>
      </c>
      <c r="H29">
        <v>100</v>
      </c>
      <c r="I29">
        <v>9</v>
      </c>
      <c r="J29" s="1">
        <v>3.6</v>
      </c>
      <c r="K29">
        <v>3</v>
      </c>
      <c r="L29" s="14">
        <f t="shared" si="5"/>
        <v>1760430672</v>
      </c>
    </row>
    <row r="30" spans="2:12">
      <c r="B30">
        <v>1</v>
      </c>
      <c r="C30" s="1">
        <v>20</v>
      </c>
      <c r="D30" s="1">
        <v>10000</v>
      </c>
      <c r="E30" s="1">
        <v>10000</v>
      </c>
      <c r="F30" s="1">
        <v>10000</v>
      </c>
      <c r="G30">
        <v>100</v>
      </c>
      <c r="H30">
        <v>100</v>
      </c>
      <c r="I30">
        <v>9</v>
      </c>
      <c r="J30" s="1">
        <v>5</v>
      </c>
      <c r="K30">
        <v>3</v>
      </c>
      <c r="L30" s="14">
        <f t="shared" si="5"/>
        <v>13440913200</v>
      </c>
    </row>
    <row r="31" spans="12:12">
      <c r="L31" s="14"/>
    </row>
    <row r="32" spans="2:12">
      <c r="B32">
        <v>1</v>
      </c>
      <c r="C32" s="1">
        <v>1</v>
      </c>
      <c r="D32" s="1">
        <v>10</v>
      </c>
      <c r="E32" s="1">
        <v>1</v>
      </c>
      <c r="F32" s="1">
        <v>1</v>
      </c>
      <c r="G32">
        <v>10</v>
      </c>
      <c r="H32">
        <v>10</v>
      </c>
      <c r="I32">
        <v>1</v>
      </c>
      <c r="J32" s="1">
        <v>1</v>
      </c>
      <c r="K32">
        <v>1</v>
      </c>
      <c r="L32" s="14">
        <f t="shared" si="5"/>
        <v>761.8455</v>
      </c>
    </row>
    <row r="33" spans="2:12">
      <c r="B33">
        <v>1</v>
      </c>
      <c r="C33" s="1">
        <v>1.7</v>
      </c>
      <c r="D33" s="1">
        <v>10</v>
      </c>
      <c r="E33" s="1">
        <v>1</v>
      </c>
      <c r="F33" s="1">
        <v>1</v>
      </c>
      <c r="G33">
        <v>10</v>
      </c>
      <c r="H33">
        <v>10</v>
      </c>
      <c r="I33">
        <v>1</v>
      </c>
      <c r="J33" s="1">
        <v>1</v>
      </c>
      <c r="K33">
        <v>1</v>
      </c>
      <c r="L33" s="14">
        <f t="shared" si="5"/>
        <v>1295.13735</v>
      </c>
    </row>
    <row r="34" spans="2:12">
      <c r="B34">
        <v>1</v>
      </c>
      <c r="C34" s="1">
        <v>1</v>
      </c>
      <c r="D34" s="1">
        <v>10</v>
      </c>
      <c r="E34" s="1">
        <v>100</v>
      </c>
      <c r="F34" s="1">
        <v>1</v>
      </c>
      <c r="G34">
        <v>10</v>
      </c>
      <c r="H34">
        <v>10</v>
      </c>
      <c r="I34">
        <v>1</v>
      </c>
      <c r="J34" s="1">
        <v>1</v>
      </c>
      <c r="K34">
        <v>1</v>
      </c>
      <c r="L34" s="14">
        <f t="shared" ref="L34:L40" si="6">(1+0.3*B34)*18*C34*(G34*(1+D34/200)*(1+E34/200)+H34*F34*0.03)*(1+0.5*I34)*(1+J34)*K34</f>
        <v>1126.71</v>
      </c>
    </row>
    <row r="35" spans="2:12">
      <c r="B35">
        <v>1</v>
      </c>
      <c r="C35" s="1">
        <v>1</v>
      </c>
      <c r="D35" s="1">
        <v>500</v>
      </c>
      <c r="E35" s="1">
        <v>500</v>
      </c>
      <c r="F35" s="1">
        <v>500</v>
      </c>
      <c r="G35">
        <v>10</v>
      </c>
      <c r="H35">
        <v>10</v>
      </c>
      <c r="I35">
        <v>1</v>
      </c>
      <c r="J35" s="1">
        <v>1</v>
      </c>
      <c r="K35">
        <v>1</v>
      </c>
      <c r="L35" s="14">
        <f t="shared" si="6"/>
        <v>19129.5</v>
      </c>
    </row>
    <row r="36" spans="2:12">
      <c r="B36">
        <v>1</v>
      </c>
      <c r="C36" s="1">
        <v>1</v>
      </c>
      <c r="D36" s="1">
        <v>10</v>
      </c>
      <c r="E36" s="1">
        <v>1</v>
      </c>
      <c r="F36" s="1">
        <v>1</v>
      </c>
      <c r="G36">
        <v>10</v>
      </c>
      <c r="H36">
        <v>10</v>
      </c>
      <c r="I36">
        <v>1</v>
      </c>
      <c r="J36" s="1">
        <v>1</v>
      </c>
      <c r="K36">
        <v>1</v>
      </c>
      <c r="L36" s="14">
        <f t="shared" si="6"/>
        <v>761.8455</v>
      </c>
    </row>
    <row r="37" spans="2:12">
      <c r="B37">
        <v>1</v>
      </c>
      <c r="C37" s="1">
        <v>1</v>
      </c>
      <c r="D37" s="1">
        <v>10</v>
      </c>
      <c r="E37" s="1">
        <v>1</v>
      </c>
      <c r="F37" s="1">
        <v>1</v>
      </c>
      <c r="G37">
        <v>10</v>
      </c>
      <c r="H37">
        <v>10</v>
      </c>
      <c r="I37">
        <v>1</v>
      </c>
      <c r="J37" s="1">
        <v>1</v>
      </c>
      <c r="K37">
        <v>1</v>
      </c>
      <c r="L37" s="14">
        <f t="shared" si="6"/>
        <v>761.8455</v>
      </c>
    </row>
    <row r="38" spans="2:12">
      <c r="B38">
        <v>1</v>
      </c>
      <c r="C38" s="1">
        <v>1</v>
      </c>
      <c r="D38" s="1">
        <v>10</v>
      </c>
      <c r="E38" s="1">
        <v>1</v>
      </c>
      <c r="F38" s="1">
        <v>1</v>
      </c>
      <c r="G38">
        <v>10</v>
      </c>
      <c r="H38">
        <v>10</v>
      </c>
      <c r="I38">
        <v>1</v>
      </c>
      <c r="J38" s="1">
        <v>1</v>
      </c>
      <c r="K38">
        <v>1</v>
      </c>
      <c r="L38" s="14">
        <f t="shared" si="6"/>
        <v>761.8455</v>
      </c>
    </row>
    <row r="39" spans="2:12">
      <c r="B39">
        <v>1</v>
      </c>
      <c r="C39" s="1">
        <v>1</v>
      </c>
      <c r="D39" s="1">
        <v>10</v>
      </c>
      <c r="E39" s="1">
        <v>1</v>
      </c>
      <c r="F39" s="1">
        <v>1</v>
      </c>
      <c r="G39">
        <v>10</v>
      </c>
      <c r="H39">
        <v>10</v>
      </c>
      <c r="I39">
        <v>1</v>
      </c>
      <c r="J39" s="1">
        <v>1</v>
      </c>
      <c r="K39">
        <v>1</v>
      </c>
      <c r="L39" s="14">
        <f t="shared" si="6"/>
        <v>761.8455</v>
      </c>
    </row>
    <row r="40" spans="2:12">
      <c r="B40">
        <v>1</v>
      </c>
      <c r="C40" s="1">
        <v>1</v>
      </c>
      <c r="D40" s="1">
        <v>10</v>
      </c>
      <c r="E40" s="1">
        <v>1</v>
      </c>
      <c r="F40" s="1">
        <v>1</v>
      </c>
      <c r="G40">
        <v>10</v>
      </c>
      <c r="H40">
        <v>10</v>
      </c>
      <c r="I40">
        <v>1</v>
      </c>
      <c r="J40" s="1">
        <v>1</v>
      </c>
      <c r="K40">
        <v>1</v>
      </c>
      <c r="L40" s="14">
        <f t="shared" si="6"/>
        <v>761.8455</v>
      </c>
    </row>
  </sheetData>
  <mergeCells count="5">
    <mergeCell ref="A2:A3"/>
    <mergeCell ref="A4:A5"/>
    <mergeCell ref="A6:A9"/>
    <mergeCell ref="A10:A11"/>
    <mergeCell ref="A12:A1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8"/>
  <sheetViews>
    <sheetView workbookViewId="0">
      <pane ySplit="1" topLeftCell="A56" activePane="bottomLeft" state="frozen"/>
      <selection/>
      <selection pane="bottomLeft" activeCell="D28" sqref="D28:D33"/>
    </sheetView>
  </sheetViews>
  <sheetFormatPr defaultColWidth="9" defaultRowHeight="13.5"/>
  <cols>
    <col min="1" max="1" width="8" customWidth="1"/>
    <col min="2" max="3" width="8" style="1" customWidth="1"/>
    <col min="4" max="4" width="23.1083333333333" customWidth="1"/>
    <col min="5" max="5" width="4.88333333333333" customWidth="1"/>
    <col min="6" max="6" width="11.4416666666667" customWidth="1"/>
    <col min="7" max="7" width="12.775" style="5" customWidth="1"/>
    <col min="8" max="9" width="8" customWidth="1"/>
    <col min="10" max="10" width="26" customWidth="1"/>
    <col min="11" max="11" width="21.3333333333333" customWidth="1"/>
    <col min="12" max="13" width="9.775" customWidth="1"/>
    <col min="14" max="14" width="26" customWidth="1"/>
    <col min="15" max="15" width="17.2166666666667" customWidth="1"/>
    <col min="16" max="16" width="32.775" customWidth="1"/>
    <col min="17" max="17" width="22" customWidth="1"/>
    <col min="18" max="18" width="16.6666666666667" customWidth="1"/>
    <col min="19" max="20" width="12" customWidth="1"/>
    <col min="21" max="21" width="8" customWidth="1"/>
  </cols>
  <sheetData>
    <row r="1" spans="1:21">
      <c r="A1" s="6"/>
      <c r="B1" s="6"/>
      <c r="C1" s="6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6" t="s">
        <v>93</v>
      </c>
      <c r="I1" s="6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6" t="s">
        <v>102</v>
      </c>
      <c r="R1" s="6" t="s">
        <v>103</v>
      </c>
      <c r="S1" s="6" t="s">
        <v>104</v>
      </c>
      <c r="T1" s="6" t="s">
        <v>105</v>
      </c>
      <c r="U1" s="6" t="s">
        <v>106</v>
      </c>
    </row>
    <row r="2" spans="1:21">
      <c r="A2" s="6" t="s">
        <v>107</v>
      </c>
      <c r="B2" s="6" t="s">
        <v>108</v>
      </c>
      <c r="C2" s="8">
        <f>SUM(G2:G7)</f>
        <v>257.5115</v>
      </c>
      <c r="D2" s="6" t="s">
        <v>109</v>
      </c>
      <c r="E2" s="6" t="s">
        <v>110</v>
      </c>
      <c r="F2" s="6">
        <f>L2*0.7+M2*0.3</f>
        <v>9.56</v>
      </c>
      <c r="G2" s="7">
        <f>F2*5.4*0.32*1.25*1.25*2</f>
        <v>51.624</v>
      </c>
      <c r="H2" s="6" t="s">
        <v>111</v>
      </c>
      <c r="I2" s="6">
        <v>1200</v>
      </c>
      <c r="J2" s="6" t="s">
        <v>112</v>
      </c>
      <c r="K2" s="6" t="s">
        <v>113</v>
      </c>
      <c r="L2" s="6">
        <v>8.9</v>
      </c>
      <c r="M2" s="6">
        <v>11.1</v>
      </c>
      <c r="N2" s="6" t="s">
        <v>114</v>
      </c>
      <c r="O2" s="6" t="s">
        <v>115</v>
      </c>
      <c r="P2" s="6" t="s">
        <v>116</v>
      </c>
      <c r="Q2" s="6"/>
      <c r="R2" s="6"/>
      <c r="S2" s="6"/>
      <c r="T2" s="6"/>
      <c r="U2" s="6"/>
    </row>
    <row r="3" spans="1:21">
      <c r="A3" s="6"/>
      <c r="B3" s="6"/>
      <c r="C3" s="6"/>
      <c r="D3" s="6" t="s">
        <v>117</v>
      </c>
      <c r="E3" s="6" t="s">
        <v>118</v>
      </c>
      <c r="F3" s="6">
        <f t="shared" ref="F3:F12" si="0">L3*0.7+M3*0.3</f>
        <v>30</v>
      </c>
      <c r="G3" s="7">
        <f>F3*3.5/14*1.25*1.4*1.35*2</f>
        <v>35.4375</v>
      </c>
      <c r="H3" s="6" t="s">
        <v>119</v>
      </c>
      <c r="I3" s="6">
        <v>150</v>
      </c>
      <c r="J3" s="6">
        <v>350</v>
      </c>
      <c r="K3" s="6" t="s">
        <v>120</v>
      </c>
      <c r="L3" s="6">
        <v>30</v>
      </c>
      <c r="M3" s="6">
        <v>30</v>
      </c>
      <c r="N3" s="6" t="s">
        <v>114</v>
      </c>
      <c r="O3" s="6" t="s">
        <v>121</v>
      </c>
      <c r="P3" s="6" t="s">
        <v>122</v>
      </c>
      <c r="Q3" s="6" t="s">
        <v>116</v>
      </c>
      <c r="R3" s="6"/>
      <c r="S3" s="6"/>
      <c r="T3" s="6"/>
      <c r="U3" s="6"/>
    </row>
    <row r="4" spans="1:21">
      <c r="A4" s="6"/>
      <c r="B4" s="6"/>
      <c r="C4" s="6"/>
      <c r="D4" s="6" t="s">
        <v>123</v>
      </c>
      <c r="E4" s="6" t="s">
        <v>124</v>
      </c>
      <c r="F4" s="6">
        <f t="shared" si="0"/>
        <v>200</v>
      </c>
      <c r="G4" s="7">
        <f>F4*1/10*1.3*1.4*1.25*2</f>
        <v>91</v>
      </c>
      <c r="H4" s="6" t="s">
        <v>119</v>
      </c>
      <c r="I4" s="6">
        <v>160</v>
      </c>
      <c r="J4" s="6" t="s">
        <v>125</v>
      </c>
      <c r="K4" s="6">
        <v>10</v>
      </c>
      <c r="L4" s="6">
        <v>200</v>
      </c>
      <c r="M4" s="6">
        <v>200</v>
      </c>
      <c r="N4" s="6" t="s">
        <v>126</v>
      </c>
      <c r="O4" s="6" t="s">
        <v>127</v>
      </c>
      <c r="P4" s="6" t="s">
        <v>128</v>
      </c>
      <c r="Q4" s="6" t="s">
        <v>116</v>
      </c>
      <c r="R4" s="6"/>
      <c r="S4" s="6"/>
      <c r="T4" s="6"/>
      <c r="U4" s="6"/>
    </row>
    <row r="5" spans="1:21">
      <c r="A5" s="6"/>
      <c r="B5" s="6"/>
      <c r="C5" s="6"/>
      <c r="D5" s="6" t="s">
        <v>129</v>
      </c>
      <c r="E5" s="6" t="s">
        <v>130</v>
      </c>
      <c r="F5" s="6">
        <f t="shared" si="0"/>
        <v>20</v>
      </c>
      <c r="G5" s="7">
        <f>F5*1*2*2/2</f>
        <v>40</v>
      </c>
      <c r="H5" s="6" t="s">
        <v>111</v>
      </c>
      <c r="I5" s="6">
        <v>100</v>
      </c>
      <c r="J5" s="6" t="s">
        <v>125</v>
      </c>
      <c r="K5" s="9">
        <v>2</v>
      </c>
      <c r="L5" s="6">
        <v>20</v>
      </c>
      <c r="M5" s="6">
        <v>20</v>
      </c>
      <c r="N5" s="6" t="s">
        <v>116</v>
      </c>
      <c r="O5" s="6"/>
      <c r="P5" s="6"/>
      <c r="Q5" s="6"/>
      <c r="R5" s="6"/>
      <c r="S5" s="6"/>
      <c r="T5" s="6"/>
      <c r="U5" s="6"/>
    </row>
    <row r="6" spans="1:21">
      <c r="A6" s="6"/>
      <c r="B6" s="6"/>
      <c r="C6" s="6"/>
      <c r="D6" s="6" t="s">
        <v>131</v>
      </c>
      <c r="E6" s="6"/>
      <c r="F6" s="6">
        <f t="shared" si="0"/>
        <v>400</v>
      </c>
      <c r="G6" s="7">
        <f>F6*6/40*2/4</f>
        <v>30</v>
      </c>
      <c r="H6" s="6" t="s">
        <v>111</v>
      </c>
      <c r="I6" s="6"/>
      <c r="J6" s="6">
        <v>600</v>
      </c>
      <c r="K6" s="9" t="s">
        <v>132</v>
      </c>
      <c r="L6" s="6">
        <v>400</v>
      </c>
      <c r="M6" s="6">
        <v>400</v>
      </c>
      <c r="N6" s="6" t="s">
        <v>116</v>
      </c>
      <c r="O6" s="6"/>
      <c r="P6" s="6"/>
      <c r="Q6" s="6"/>
      <c r="R6" s="6"/>
      <c r="S6" s="6"/>
      <c r="T6" s="6"/>
      <c r="U6" s="6"/>
    </row>
    <row r="7" spans="1:21">
      <c r="A7" s="6"/>
      <c r="B7" s="6"/>
      <c r="C7" s="6"/>
      <c r="D7" s="6" t="s">
        <v>133</v>
      </c>
      <c r="E7" s="6" t="s">
        <v>134</v>
      </c>
      <c r="F7" s="6">
        <f t="shared" si="0"/>
        <v>13.5</v>
      </c>
      <c r="G7" s="7">
        <f>F7*7*K7*2/4</f>
        <v>9.45</v>
      </c>
      <c r="H7" s="6" t="s">
        <v>111</v>
      </c>
      <c r="I7" s="6">
        <v>6000</v>
      </c>
      <c r="J7" s="6">
        <v>700</v>
      </c>
      <c r="K7" s="9">
        <v>0.2</v>
      </c>
      <c r="L7" s="6">
        <v>13.5</v>
      </c>
      <c r="M7" s="6">
        <v>13.5</v>
      </c>
      <c r="N7" s="6" t="s">
        <v>116</v>
      </c>
      <c r="O7" s="6"/>
      <c r="P7" s="6"/>
      <c r="Q7" s="6"/>
      <c r="R7" s="6"/>
      <c r="S7" s="6"/>
      <c r="T7" s="6"/>
      <c r="U7" s="6"/>
    </row>
    <row r="8" spans="1:21">
      <c r="A8" s="6"/>
      <c r="B8" s="6" t="s">
        <v>135</v>
      </c>
      <c r="C8" s="8">
        <f>SUM(G8:G12)</f>
        <v>404.1823125</v>
      </c>
      <c r="D8" s="6" t="s">
        <v>136</v>
      </c>
      <c r="E8" s="6" t="s">
        <v>137</v>
      </c>
      <c r="F8" s="6">
        <f t="shared" si="0"/>
        <v>13.8</v>
      </c>
      <c r="G8" s="7">
        <f>F8*3*0.15*1.25*1.35*1.35*2</f>
        <v>28.2943125</v>
      </c>
      <c r="H8" s="6" t="s">
        <v>111</v>
      </c>
      <c r="I8" s="6">
        <v>800</v>
      </c>
      <c r="J8" s="6">
        <v>300</v>
      </c>
      <c r="K8" s="9" t="s">
        <v>138</v>
      </c>
      <c r="L8" s="6">
        <v>9</v>
      </c>
      <c r="M8" s="6">
        <v>25</v>
      </c>
      <c r="N8" s="6" t="s">
        <v>139</v>
      </c>
      <c r="O8" s="6" t="s">
        <v>140</v>
      </c>
      <c r="P8" s="6" t="s">
        <v>141</v>
      </c>
      <c r="Q8" s="6"/>
      <c r="R8" s="6"/>
      <c r="S8" s="6"/>
      <c r="T8" s="6"/>
      <c r="U8" s="6"/>
    </row>
    <row r="9" spans="1:21">
      <c r="A9" s="6"/>
      <c r="B9" s="6"/>
      <c r="C9" s="6"/>
      <c r="D9" s="6" t="s">
        <v>142</v>
      </c>
      <c r="E9" s="6" t="s">
        <v>143</v>
      </c>
      <c r="F9" s="6">
        <f t="shared" si="0"/>
        <v>156</v>
      </c>
      <c r="G9" s="7">
        <f>F9*5.12/9*1.25*1.3*1.35</f>
        <v>194.688</v>
      </c>
      <c r="H9" s="6" t="s">
        <v>119</v>
      </c>
      <c r="I9" s="6">
        <v>250</v>
      </c>
      <c r="J9" s="6" t="s">
        <v>144</v>
      </c>
      <c r="K9" s="6" t="s">
        <v>145</v>
      </c>
      <c r="L9" s="6">
        <v>120</v>
      </c>
      <c r="M9" s="6">
        <v>240</v>
      </c>
      <c r="N9" s="6" t="s">
        <v>139</v>
      </c>
      <c r="O9" s="6" t="s">
        <v>146</v>
      </c>
      <c r="P9" s="6" t="s">
        <v>147</v>
      </c>
      <c r="Q9" s="6"/>
      <c r="R9" s="6"/>
      <c r="S9" s="6"/>
      <c r="T9" s="6"/>
      <c r="U9" s="6"/>
    </row>
    <row r="10" spans="1:21">
      <c r="A10" s="6"/>
      <c r="B10" s="6"/>
      <c r="C10" s="6"/>
      <c r="D10" s="6" t="s">
        <v>148</v>
      </c>
      <c r="E10" s="6" t="s">
        <v>149</v>
      </c>
      <c r="F10" s="6">
        <f t="shared" si="0"/>
        <v>200</v>
      </c>
      <c r="G10" s="7">
        <f>F10*5/15*1.3*1.4*1.4</f>
        <v>169.866666666667</v>
      </c>
      <c r="H10" s="6" t="s">
        <v>119</v>
      </c>
      <c r="I10" s="6">
        <v>250</v>
      </c>
      <c r="J10" s="6">
        <v>500</v>
      </c>
      <c r="K10" s="6">
        <v>15</v>
      </c>
      <c r="L10" s="6">
        <v>200</v>
      </c>
      <c r="M10" s="6">
        <v>200</v>
      </c>
      <c r="N10" s="6" t="s">
        <v>150</v>
      </c>
      <c r="O10" s="6" t="s">
        <v>151</v>
      </c>
      <c r="P10" s="6" t="s">
        <v>152</v>
      </c>
      <c r="Q10" s="6"/>
      <c r="R10" s="6"/>
      <c r="S10" s="6"/>
      <c r="T10" s="6"/>
      <c r="U10" s="6"/>
    </row>
    <row r="11" spans="1:21">
      <c r="A11" s="6"/>
      <c r="B11" s="6"/>
      <c r="C11" s="6"/>
      <c r="D11" s="6" t="s">
        <v>153</v>
      </c>
      <c r="E11" s="6" t="s">
        <v>154</v>
      </c>
      <c r="F11" s="6">
        <f t="shared" si="0"/>
        <v>68</v>
      </c>
      <c r="G11" s="7">
        <f>F11*1/15*5/2</f>
        <v>11.3333333333333</v>
      </c>
      <c r="H11" s="6" t="s">
        <v>111</v>
      </c>
      <c r="I11" s="6">
        <v>250</v>
      </c>
      <c r="J11" s="6" t="s">
        <v>125</v>
      </c>
      <c r="K11" s="6" t="s">
        <v>155</v>
      </c>
      <c r="L11" s="6">
        <v>65</v>
      </c>
      <c r="M11" s="6">
        <v>75</v>
      </c>
      <c r="N11" s="6"/>
      <c r="O11" s="6"/>
      <c r="P11" s="6"/>
      <c r="Q11" s="6"/>
      <c r="R11" s="6"/>
      <c r="S11" s="6"/>
      <c r="T11" s="6"/>
      <c r="U11" s="6"/>
    </row>
    <row r="12" spans="1:21">
      <c r="A12" s="6"/>
      <c r="B12" s="6"/>
      <c r="C12" s="6"/>
      <c r="D12" s="6" t="s">
        <v>156</v>
      </c>
      <c r="E12" s="6" t="s">
        <v>157</v>
      </c>
      <c r="F12" s="6">
        <f t="shared" si="0"/>
        <v>0</v>
      </c>
      <c r="G12" s="7"/>
      <c r="H12" s="6" t="s">
        <v>119</v>
      </c>
      <c r="I12" s="6">
        <v>4000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6"/>
      <c r="B13" s="6" t="s">
        <v>158</v>
      </c>
      <c r="C13" s="8">
        <f>SUM(G13:G17)</f>
        <v>235.564325</v>
      </c>
      <c r="D13" s="6" t="s">
        <v>159</v>
      </c>
      <c r="E13" s="6" t="s">
        <v>160</v>
      </c>
      <c r="F13" s="6">
        <f t="shared" ref="F13:F76" si="1">L13*0.7+M13*0.3</f>
        <v>18</v>
      </c>
      <c r="G13" s="7">
        <f>F13*6*0.21*1.4*1.25*1.43</f>
        <v>56.7567</v>
      </c>
      <c r="H13" s="6" t="s">
        <v>111</v>
      </c>
      <c r="I13" s="6">
        <v>1200</v>
      </c>
      <c r="J13" s="6">
        <v>600</v>
      </c>
      <c r="K13" s="6" t="s">
        <v>161</v>
      </c>
      <c r="L13" s="6">
        <v>15</v>
      </c>
      <c r="M13" s="6">
        <v>25</v>
      </c>
      <c r="N13" s="6" t="s">
        <v>162</v>
      </c>
      <c r="O13" s="6" t="s">
        <v>163</v>
      </c>
      <c r="P13" s="6" t="s">
        <v>164</v>
      </c>
      <c r="Q13" s="6"/>
      <c r="R13" s="6"/>
      <c r="S13" s="6"/>
      <c r="T13" s="6"/>
      <c r="U13" s="6"/>
    </row>
    <row r="14" spans="1:21">
      <c r="A14" s="6"/>
      <c r="B14" s="6"/>
      <c r="C14" s="6"/>
      <c r="D14" s="6" t="s">
        <v>165</v>
      </c>
      <c r="E14" s="6" t="s">
        <v>166</v>
      </c>
      <c r="F14" s="6">
        <f t="shared" si="1"/>
        <v>61.4</v>
      </c>
      <c r="G14" s="7">
        <f>F14*1*0.21*1.25*1.35</f>
        <v>21.758625</v>
      </c>
      <c r="H14" s="6" t="s">
        <v>111</v>
      </c>
      <c r="I14" s="6">
        <v>1000</v>
      </c>
      <c r="J14" s="6" t="s">
        <v>125</v>
      </c>
      <c r="K14" s="6" t="s">
        <v>161</v>
      </c>
      <c r="L14" s="6">
        <v>65</v>
      </c>
      <c r="M14" s="6">
        <v>53</v>
      </c>
      <c r="N14" s="6" t="s">
        <v>167</v>
      </c>
      <c r="O14" s="6" t="s">
        <v>122</v>
      </c>
      <c r="P14" s="6"/>
      <c r="Q14" s="6"/>
      <c r="R14" s="6"/>
      <c r="S14" s="6"/>
      <c r="T14" s="6"/>
      <c r="U14" s="6"/>
    </row>
    <row r="15" spans="1:21">
      <c r="A15" s="6"/>
      <c r="B15" s="6"/>
      <c r="C15" s="6"/>
      <c r="D15" s="6" t="s">
        <v>168</v>
      </c>
      <c r="E15" s="6" t="s">
        <v>169</v>
      </c>
      <c r="F15" s="6">
        <f t="shared" si="1"/>
        <v>5.5</v>
      </c>
      <c r="G15" s="7">
        <f>F15*10*5.6/6*1.35*1.4*1.2</f>
        <v>116.424</v>
      </c>
      <c r="H15" s="6" t="s">
        <v>119</v>
      </c>
      <c r="I15" s="6">
        <v>250</v>
      </c>
      <c r="J15" s="6" t="s">
        <v>170</v>
      </c>
      <c r="K15" s="6" t="s">
        <v>171</v>
      </c>
      <c r="L15" s="6">
        <v>5.5</v>
      </c>
      <c r="M15" s="6">
        <v>5.5</v>
      </c>
      <c r="N15" s="6" t="s">
        <v>140</v>
      </c>
      <c r="O15" s="6" t="s">
        <v>172</v>
      </c>
      <c r="P15" s="6" t="s">
        <v>173</v>
      </c>
      <c r="Q15" s="6"/>
      <c r="R15" s="6"/>
      <c r="S15" s="6"/>
      <c r="T15" s="6"/>
      <c r="U15" s="6"/>
    </row>
    <row r="16" spans="1:21">
      <c r="A16" s="6"/>
      <c r="B16" s="6"/>
      <c r="C16" s="6"/>
      <c r="D16" s="6" t="s">
        <v>174</v>
      </c>
      <c r="E16" s="6" t="s">
        <v>175</v>
      </c>
      <c r="F16" s="6">
        <f t="shared" si="1"/>
        <v>15</v>
      </c>
      <c r="G16" s="7">
        <f>F16*5/12*5*1.3</f>
        <v>40.625</v>
      </c>
      <c r="H16" s="6" t="s">
        <v>119</v>
      </c>
      <c r="I16" s="6">
        <v>200</v>
      </c>
      <c r="J16" s="6">
        <v>500</v>
      </c>
      <c r="K16" s="10" t="s">
        <v>176</v>
      </c>
      <c r="L16" s="6">
        <v>15</v>
      </c>
      <c r="M16" s="6">
        <v>15</v>
      </c>
      <c r="N16" s="6" t="s">
        <v>177</v>
      </c>
      <c r="O16" s="6"/>
      <c r="P16" s="6"/>
      <c r="Q16" s="6"/>
      <c r="R16" s="6"/>
      <c r="S16" s="6"/>
      <c r="T16" s="6"/>
      <c r="U16" s="6"/>
    </row>
    <row r="17" spans="1:21">
      <c r="A17" s="6"/>
      <c r="B17" s="6"/>
      <c r="C17" s="6"/>
      <c r="D17" s="6" t="s">
        <v>178</v>
      </c>
      <c r="E17" s="6" t="s">
        <v>179</v>
      </c>
      <c r="F17" s="6">
        <f t="shared" si="1"/>
        <v>0</v>
      </c>
      <c r="G17" s="7"/>
      <c r="H17" s="6" t="s">
        <v>119</v>
      </c>
      <c r="I17" s="6">
        <v>200</v>
      </c>
      <c r="J17" s="6">
        <v>700</v>
      </c>
      <c r="K17" s="6"/>
      <c r="L17" s="6"/>
      <c r="M17" s="6"/>
      <c r="N17" s="6" t="s">
        <v>180</v>
      </c>
      <c r="O17" s="6"/>
      <c r="P17" s="6"/>
      <c r="Q17" s="6"/>
      <c r="R17" s="6"/>
      <c r="S17" s="6"/>
      <c r="T17" s="6"/>
      <c r="U17" s="6"/>
    </row>
    <row r="18" spans="1:21">
      <c r="A18" s="6"/>
      <c r="B18" s="6" t="s">
        <v>181</v>
      </c>
      <c r="C18" s="8">
        <f>SUM(G18:G22)</f>
        <v>522.6544</v>
      </c>
      <c r="D18" s="6" t="s">
        <v>182</v>
      </c>
      <c r="E18" s="6" t="s">
        <v>183</v>
      </c>
      <c r="F18" s="6">
        <f t="shared" si="1"/>
        <v>22.9</v>
      </c>
      <c r="G18" s="7">
        <f>F18*1*0.36*1.35*1.4*2.5</f>
        <v>38.9529</v>
      </c>
      <c r="H18" s="6" t="s">
        <v>111</v>
      </c>
      <c r="I18" s="6">
        <v>400</v>
      </c>
      <c r="J18" s="6" t="s">
        <v>125</v>
      </c>
      <c r="K18" s="6" t="s">
        <v>184</v>
      </c>
      <c r="L18" s="6">
        <v>22</v>
      </c>
      <c r="M18" s="6">
        <v>25</v>
      </c>
      <c r="N18" s="6" t="s">
        <v>147</v>
      </c>
      <c r="O18" s="6" t="s">
        <v>185</v>
      </c>
      <c r="P18" s="6" t="s">
        <v>186</v>
      </c>
      <c r="Q18" s="6"/>
      <c r="R18" s="6"/>
      <c r="S18" s="6"/>
      <c r="T18" s="6"/>
      <c r="U18" s="6"/>
    </row>
    <row r="19" spans="1:21">
      <c r="A19" s="6"/>
      <c r="B19" s="6"/>
      <c r="C19" s="6"/>
      <c r="D19" s="6" t="s">
        <v>187</v>
      </c>
      <c r="E19" s="6" t="s">
        <v>188</v>
      </c>
      <c r="F19" s="6">
        <f t="shared" si="1"/>
        <v>9.3</v>
      </c>
      <c r="G19" s="7">
        <f>F19*2.7*1.6*1.35*2.5</f>
        <v>135.594</v>
      </c>
      <c r="H19" s="6" t="s">
        <v>119</v>
      </c>
      <c r="I19" s="6">
        <v>36000</v>
      </c>
      <c r="J19" s="6">
        <v>270</v>
      </c>
      <c r="K19" s="6">
        <v>1</v>
      </c>
      <c r="L19" s="6">
        <v>9</v>
      </c>
      <c r="M19" s="6">
        <v>10</v>
      </c>
      <c r="N19" s="6" t="s">
        <v>189</v>
      </c>
      <c r="O19" s="6" t="s">
        <v>190</v>
      </c>
      <c r="P19" s="6" t="s">
        <v>191</v>
      </c>
      <c r="Q19" s="6"/>
      <c r="R19" s="6"/>
      <c r="S19" s="6"/>
      <c r="T19" s="6"/>
      <c r="U19" s="6"/>
    </row>
    <row r="20" spans="1:21">
      <c r="A20" s="6"/>
      <c r="B20" s="6"/>
      <c r="C20" s="6"/>
      <c r="D20" s="6" t="s">
        <v>192</v>
      </c>
      <c r="E20" s="6" t="s">
        <v>193</v>
      </c>
      <c r="F20" s="6">
        <f t="shared" si="1"/>
        <v>10.42</v>
      </c>
      <c r="G20" s="7">
        <f>F20*1*0.25*4*1.3*1.25</f>
        <v>16.9325</v>
      </c>
      <c r="H20" s="6" t="s">
        <v>194</v>
      </c>
      <c r="I20" s="6">
        <v>250</v>
      </c>
      <c r="J20" s="6" t="s">
        <v>125</v>
      </c>
      <c r="K20" s="6" t="s">
        <v>195</v>
      </c>
      <c r="L20" s="6">
        <v>10.6</v>
      </c>
      <c r="M20" s="6">
        <v>10</v>
      </c>
      <c r="N20" s="6" t="s">
        <v>196</v>
      </c>
      <c r="O20" s="6" t="s">
        <v>197</v>
      </c>
      <c r="P20" s="6"/>
      <c r="Q20" s="6"/>
      <c r="R20" s="6"/>
      <c r="S20" s="6"/>
      <c r="T20" s="6"/>
      <c r="U20" s="6"/>
    </row>
    <row r="21" spans="1:21">
      <c r="A21" s="6"/>
      <c r="B21" s="6"/>
      <c r="C21" s="6"/>
      <c r="D21" s="6" t="s">
        <v>198</v>
      </c>
      <c r="E21" s="6" t="s">
        <v>199</v>
      </c>
      <c r="F21" s="6">
        <f t="shared" si="1"/>
        <v>9.4</v>
      </c>
      <c r="G21" s="7">
        <f>F21*30/12*1.3*1.4*2.5</f>
        <v>106.925</v>
      </c>
      <c r="H21" s="6" t="s">
        <v>119</v>
      </c>
      <c r="I21" s="6">
        <v>160</v>
      </c>
      <c r="J21" s="6" t="s">
        <v>125</v>
      </c>
      <c r="K21" s="6" t="s">
        <v>200</v>
      </c>
      <c r="L21" s="6">
        <v>10</v>
      </c>
      <c r="M21" s="6">
        <v>8</v>
      </c>
      <c r="N21" s="6" t="s">
        <v>196</v>
      </c>
      <c r="O21" s="6" t="s">
        <v>201</v>
      </c>
      <c r="P21" s="6" t="s">
        <v>202</v>
      </c>
      <c r="Q21" s="6"/>
      <c r="R21" s="6"/>
      <c r="S21" s="6"/>
      <c r="T21" s="6"/>
      <c r="U21" s="6"/>
    </row>
    <row r="22" spans="1:21">
      <c r="A22" s="6"/>
      <c r="B22" s="6"/>
      <c r="C22" s="6"/>
      <c r="D22" s="6" t="s">
        <v>203</v>
      </c>
      <c r="E22" s="6" t="s">
        <v>204</v>
      </c>
      <c r="F22" s="6">
        <f t="shared" si="1"/>
        <v>230</v>
      </c>
      <c r="G22" s="7">
        <f>F22*6/14*1.3*1.25*1.4</f>
        <v>224.25</v>
      </c>
      <c r="H22" s="6" t="s">
        <v>119</v>
      </c>
      <c r="I22" s="6">
        <v>100</v>
      </c>
      <c r="J22" s="6">
        <v>600</v>
      </c>
      <c r="K22" s="6" t="s">
        <v>205</v>
      </c>
      <c r="L22" s="6">
        <v>200</v>
      </c>
      <c r="M22" s="6">
        <v>300</v>
      </c>
      <c r="N22" s="6" t="s">
        <v>206</v>
      </c>
      <c r="O22" s="6" t="s">
        <v>207</v>
      </c>
      <c r="P22" s="6" t="s">
        <v>152</v>
      </c>
      <c r="Q22" s="6"/>
      <c r="R22" s="6"/>
      <c r="S22" s="6"/>
      <c r="T22" s="6"/>
      <c r="U22" s="6"/>
    </row>
    <row r="23" spans="1:21">
      <c r="A23" s="6"/>
      <c r="B23" s="6" t="s">
        <v>208</v>
      </c>
      <c r="C23" s="8">
        <f>SUM(G23:G27)</f>
        <v>297.962791894123</v>
      </c>
      <c r="D23" s="6" t="s">
        <v>209</v>
      </c>
      <c r="E23" s="6" t="s">
        <v>210</v>
      </c>
      <c r="F23" s="6">
        <f t="shared" si="1"/>
        <v>3</v>
      </c>
      <c r="G23" s="7">
        <f>F23*4/6.4*3.5*3*1.4*1.4*1.5*1.3</f>
        <v>75.245625</v>
      </c>
      <c r="H23" s="6" t="s">
        <v>119</v>
      </c>
      <c r="I23" s="6">
        <v>350</v>
      </c>
      <c r="J23" s="6">
        <v>400</v>
      </c>
      <c r="K23" s="6" t="s">
        <v>211</v>
      </c>
      <c r="L23" s="6">
        <v>3</v>
      </c>
      <c r="M23" s="6">
        <v>3</v>
      </c>
      <c r="N23" s="6" t="s">
        <v>212</v>
      </c>
      <c r="O23" s="6" t="s">
        <v>213</v>
      </c>
      <c r="P23" s="6" t="s">
        <v>214</v>
      </c>
      <c r="Q23" s="6" t="s">
        <v>215</v>
      </c>
      <c r="R23" s="6"/>
      <c r="S23" s="6"/>
      <c r="T23" s="6"/>
      <c r="U23" s="6"/>
    </row>
    <row r="24" spans="1:21">
      <c r="A24" s="6"/>
      <c r="B24" s="6"/>
      <c r="C24" s="6"/>
      <c r="D24" s="6" t="s">
        <v>216</v>
      </c>
      <c r="E24" s="6" t="s">
        <v>217</v>
      </c>
      <c r="F24" s="6">
        <f t="shared" si="1"/>
        <v>42</v>
      </c>
      <c r="G24" s="7">
        <f>F24*3/12.2*3*1.33*1.4*1.36*1.39*1.39</f>
        <v>151.593351509508</v>
      </c>
      <c r="H24" s="6" t="s">
        <v>119</v>
      </c>
      <c r="I24" s="6">
        <v>250</v>
      </c>
      <c r="J24" s="6">
        <v>300</v>
      </c>
      <c r="K24" s="6" t="s">
        <v>218</v>
      </c>
      <c r="L24" s="6">
        <v>42</v>
      </c>
      <c r="M24" s="6">
        <v>42</v>
      </c>
      <c r="N24" s="6" t="s">
        <v>219</v>
      </c>
      <c r="O24" s="6" t="s">
        <v>220</v>
      </c>
      <c r="P24" s="6" t="s">
        <v>221</v>
      </c>
      <c r="Q24" s="6" t="s">
        <v>222</v>
      </c>
      <c r="R24" s="6" t="s">
        <v>223</v>
      </c>
      <c r="S24" s="6"/>
      <c r="T24" s="6"/>
      <c r="U24" s="6"/>
    </row>
    <row r="25" spans="1:21">
      <c r="A25" s="6"/>
      <c r="B25" s="6"/>
      <c r="C25" s="6"/>
      <c r="D25" s="6" t="s">
        <v>224</v>
      </c>
      <c r="E25" s="6" t="s">
        <v>225</v>
      </c>
      <c r="F25" s="6">
        <f t="shared" si="1"/>
        <v>0</v>
      </c>
      <c r="G25" s="7"/>
      <c r="H25" s="6"/>
      <c r="I25" s="6">
        <v>500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6"/>
      <c r="B26" s="6"/>
      <c r="C26" s="6"/>
      <c r="D26" s="6" t="s">
        <v>226</v>
      </c>
      <c r="E26" s="6" t="s">
        <v>227</v>
      </c>
      <c r="F26" s="6">
        <f t="shared" si="1"/>
        <v>68</v>
      </c>
      <c r="G26" s="7">
        <f>F26*0.21*1.35*1.4</f>
        <v>26.9892</v>
      </c>
      <c r="H26" s="6" t="s">
        <v>194</v>
      </c>
      <c r="I26" s="6">
        <v>700</v>
      </c>
      <c r="J26" s="6" t="s">
        <v>125</v>
      </c>
      <c r="K26" s="6" t="s">
        <v>161</v>
      </c>
      <c r="L26" s="6">
        <v>80</v>
      </c>
      <c r="M26" s="6">
        <v>40</v>
      </c>
      <c r="N26" s="6" t="s">
        <v>228</v>
      </c>
      <c r="O26" s="6" t="s">
        <v>185</v>
      </c>
      <c r="P26" s="6"/>
      <c r="Q26" s="6"/>
      <c r="R26" s="6"/>
      <c r="S26" s="6"/>
      <c r="T26" s="6"/>
      <c r="U26" s="6"/>
    </row>
    <row r="27" spans="1:21">
      <c r="A27" s="6"/>
      <c r="B27" s="6"/>
      <c r="C27" s="6"/>
      <c r="D27" s="6" t="s">
        <v>229</v>
      </c>
      <c r="E27" s="6" t="s">
        <v>230</v>
      </c>
      <c r="F27" s="6">
        <f t="shared" si="1"/>
        <v>85</v>
      </c>
      <c r="G27" s="7">
        <f>F27*6/26*1.5*1.5</f>
        <v>44.1346153846154</v>
      </c>
      <c r="H27" s="6" t="s">
        <v>119</v>
      </c>
      <c r="I27" s="6">
        <v>100</v>
      </c>
      <c r="J27" s="6">
        <v>600</v>
      </c>
      <c r="K27" s="6" t="s">
        <v>231</v>
      </c>
      <c r="L27" s="6">
        <v>100</v>
      </c>
      <c r="M27" s="6">
        <v>50</v>
      </c>
      <c r="N27" s="6" t="s">
        <v>214</v>
      </c>
      <c r="O27" s="6" t="s">
        <v>232</v>
      </c>
      <c r="P27" s="6"/>
      <c r="Q27" s="6"/>
      <c r="R27" s="6"/>
      <c r="S27" s="6"/>
      <c r="T27" s="6"/>
      <c r="U27" s="6"/>
    </row>
    <row r="28" spans="1:21">
      <c r="A28" s="6"/>
      <c r="B28" s="6" t="s">
        <v>233</v>
      </c>
      <c r="C28" s="8">
        <f>SUM(G28:G33)</f>
        <v>444.4291675</v>
      </c>
      <c r="D28" s="6" t="s">
        <v>234</v>
      </c>
      <c r="E28" s="6" t="s">
        <v>235</v>
      </c>
      <c r="F28" s="6">
        <f t="shared" si="1"/>
        <v>15.5</v>
      </c>
      <c r="G28" s="7">
        <f>F28*7*0.21*1.4*1.5*1.5*1.3*2</f>
        <v>186.60915</v>
      </c>
      <c r="H28" s="6" t="s">
        <v>111</v>
      </c>
      <c r="I28" s="6">
        <v>1000</v>
      </c>
      <c r="J28" s="6" t="s">
        <v>236</v>
      </c>
      <c r="K28" s="6" t="s">
        <v>161</v>
      </c>
      <c r="L28" s="6">
        <v>14</v>
      </c>
      <c r="M28" s="6">
        <v>19</v>
      </c>
      <c r="N28" s="6" t="s">
        <v>201</v>
      </c>
      <c r="O28" s="6" t="s">
        <v>237</v>
      </c>
      <c r="P28" s="6" t="s">
        <v>238</v>
      </c>
      <c r="Q28" s="6" t="s">
        <v>239</v>
      </c>
      <c r="R28" s="6" t="s">
        <v>240</v>
      </c>
      <c r="S28" s="6"/>
      <c r="T28" s="6"/>
      <c r="U28" s="6"/>
    </row>
    <row r="29" spans="1:21">
      <c r="A29" s="6"/>
      <c r="B29" s="6"/>
      <c r="C29" s="6"/>
      <c r="D29" s="6" t="s">
        <v>241</v>
      </c>
      <c r="E29" s="6" t="s">
        <v>242</v>
      </c>
      <c r="F29" s="6">
        <f t="shared" si="1"/>
        <v>2.17</v>
      </c>
      <c r="G29" s="7">
        <f>F29*10*3.46/10*1.35*1.4*1.375*2</f>
        <v>39.0238695</v>
      </c>
      <c r="H29" s="6" t="s">
        <v>119</v>
      </c>
      <c r="I29" s="6">
        <v>240</v>
      </c>
      <c r="J29" s="6" t="s">
        <v>243</v>
      </c>
      <c r="K29" s="6">
        <v>10</v>
      </c>
      <c r="L29" s="6">
        <v>2.8</v>
      </c>
      <c r="M29" s="6">
        <v>0.7</v>
      </c>
      <c r="N29" s="6" t="s">
        <v>228</v>
      </c>
      <c r="O29" s="6" t="s">
        <v>185</v>
      </c>
      <c r="P29" s="6" t="s">
        <v>244</v>
      </c>
      <c r="Q29" s="6" t="s">
        <v>240</v>
      </c>
      <c r="R29" s="6"/>
      <c r="S29" s="6"/>
      <c r="T29" s="6"/>
      <c r="U29" s="6"/>
    </row>
    <row r="30" spans="1:21">
      <c r="A30" s="6"/>
      <c r="B30" s="6"/>
      <c r="C30" s="6"/>
      <c r="D30" s="6" t="s">
        <v>245</v>
      </c>
      <c r="E30" s="6" t="s">
        <v>246</v>
      </c>
      <c r="F30" s="6">
        <f t="shared" si="1"/>
        <v>21.6</v>
      </c>
      <c r="G30" s="7">
        <f>F30*2*0.21*1.5*1.67*3.4*2</f>
        <v>154.532448</v>
      </c>
      <c r="H30" s="6" t="s">
        <v>111</v>
      </c>
      <c r="I30" s="6">
        <v>900</v>
      </c>
      <c r="J30" s="6" t="s">
        <v>247</v>
      </c>
      <c r="K30" s="6" t="s">
        <v>161</v>
      </c>
      <c r="L30" s="6">
        <v>18</v>
      </c>
      <c r="M30" s="6">
        <v>30</v>
      </c>
      <c r="N30" s="6" t="s">
        <v>248</v>
      </c>
      <c r="O30" s="6" t="s">
        <v>249</v>
      </c>
      <c r="P30" s="6" t="s">
        <v>250</v>
      </c>
      <c r="Q30" s="6" t="s">
        <v>240</v>
      </c>
      <c r="R30" s="6"/>
      <c r="S30" s="6"/>
      <c r="T30" s="6"/>
      <c r="U30" s="6"/>
    </row>
    <row r="31" spans="1:21">
      <c r="A31" s="6"/>
      <c r="B31" s="6"/>
      <c r="C31" s="6"/>
      <c r="D31" s="6" t="s">
        <v>251</v>
      </c>
      <c r="E31" s="6" t="s">
        <v>252</v>
      </c>
      <c r="F31" s="6">
        <f t="shared" si="1"/>
        <v>26</v>
      </c>
      <c r="G31" s="7">
        <f>F31/20*7.5*1.3*1.5</f>
        <v>19.0125</v>
      </c>
      <c r="H31" s="6" t="s">
        <v>111</v>
      </c>
      <c r="I31" s="6">
        <v>2000</v>
      </c>
      <c r="J31" s="6" t="s">
        <v>125</v>
      </c>
      <c r="K31" s="6" t="s">
        <v>253</v>
      </c>
      <c r="L31" s="6">
        <v>20</v>
      </c>
      <c r="M31" s="6">
        <v>40</v>
      </c>
      <c r="N31" s="6" t="s">
        <v>254</v>
      </c>
      <c r="O31" s="6" t="s">
        <v>255</v>
      </c>
      <c r="P31" s="6"/>
      <c r="Q31" s="6"/>
      <c r="R31" s="6"/>
      <c r="S31" s="6"/>
      <c r="T31" s="6"/>
      <c r="U31" s="6"/>
    </row>
    <row r="32" spans="1:21">
      <c r="A32" s="6"/>
      <c r="B32" s="6"/>
      <c r="C32" s="6"/>
      <c r="D32" s="6" t="s">
        <v>256</v>
      </c>
      <c r="E32" s="6" t="s">
        <v>257</v>
      </c>
      <c r="F32" s="6">
        <f t="shared" si="1"/>
        <v>3.19</v>
      </c>
      <c r="G32" s="7">
        <f>F32*5.37/15*2*10</f>
        <v>22.8404</v>
      </c>
      <c r="H32" s="6" t="s">
        <v>119</v>
      </c>
      <c r="I32" s="6">
        <v>300</v>
      </c>
      <c r="J32" s="6" t="s">
        <v>258</v>
      </c>
      <c r="K32" s="6" t="s">
        <v>259</v>
      </c>
      <c r="L32" s="6">
        <v>4</v>
      </c>
      <c r="M32" s="6">
        <v>1.3</v>
      </c>
      <c r="N32" s="6" t="s">
        <v>240</v>
      </c>
      <c r="O32" s="6"/>
      <c r="P32" s="6"/>
      <c r="Q32" s="6"/>
      <c r="R32" s="6"/>
      <c r="S32" s="6"/>
      <c r="T32" s="6"/>
      <c r="U32" s="6"/>
    </row>
    <row r="33" spans="1:21">
      <c r="A33" s="6"/>
      <c r="B33" s="6"/>
      <c r="C33" s="6"/>
      <c r="D33" s="6" t="s">
        <v>260</v>
      </c>
      <c r="E33" s="6"/>
      <c r="F33" s="6">
        <f t="shared" si="1"/>
        <v>3.13</v>
      </c>
      <c r="G33" s="7">
        <f>F33*5.37/15*2*10</f>
        <v>22.4108</v>
      </c>
      <c r="H33" s="6"/>
      <c r="I33" s="6"/>
      <c r="J33" s="6" t="s">
        <v>258</v>
      </c>
      <c r="K33" s="6"/>
      <c r="L33" s="6">
        <v>1.6</v>
      </c>
      <c r="M33" s="6">
        <v>6.7</v>
      </c>
      <c r="N33" s="6" t="s">
        <v>240</v>
      </c>
      <c r="O33" s="6"/>
      <c r="P33" s="6"/>
      <c r="Q33" s="6"/>
      <c r="R33" s="6"/>
      <c r="S33" s="6"/>
      <c r="T33" s="6"/>
      <c r="U33" s="6"/>
    </row>
    <row r="34" spans="1:21">
      <c r="A34" s="6"/>
      <c r="B34" s="6" t="s">
        <v>261</v>
      </c>
      <c r="C34" s="8">
        <f>SUM(G34:G38)</f>
        <v>160.8444</v>
      </c>
      <c r="D34" s="6" t="s">
        <v>262</v>
      </c>
      <c r="E34" s="6" t="s">
        <v>263</v>
      </c>
      <c r="F34" s="6">
        <f t="shared" si="1"/>
        <v>14</v>
      </c>
      <c r="G34" s="7">
        <f>F34*0.3*1.3*1.4*1.25*2</f>
        <v>19.11</v>
      </c>
      <c r="H34" s="6" t="s">
        <v>111</v>
      </c>
      <c r="I34" s="6">
        <v>650</v>
      </c>
      <c r="J34" s="6" t="s">
        <v>125</v>
      </c>
      <c r="K34" s="9">
        <v>0.3</v>
      </c>
      <c r="L34" s="6">
        <v>14</v>
      </c>
      <c r="M34" s="6">
        <v>14</v>
      </c>
      <c r="N34" s="6" t="s">
        <v>206</v>
      </c>
      <c r="O34" s="6" t="s">
        <v>162</v>
      </c>
      <c r="P34" s="6" t="s">
        <v>264</v>
      </c>
      <c r="Q34" s="6" t="s">
        <v>265</v>
      </c>
      <c r="R34" s="6"/>
      <c r="S34" s="6"/>
      <c r="T34" s="6"/>
      <c r="U34" s="6"/>
    </row>
    <row r="35" spans="1:21">
      <c r="A35" s="6"/>
      <c r="B35" s="6"/>
      <c r="C35" s="8"/>
      <c r="D35" s="6" t="s">
        <v>266</v>
      </c>
      <c r="E35" s="6" t="s">
        <v>267</v>
      </c>
      <c r="F35" s="6">
        <f t="shared" si="1"/>
        <v>46</v>
      </c>
      <c r="G35" s="7">
        <f>F35*3/14*1.25*1.3*1.4*2*2</f>
        <v>89.7</v>
      </c>
      <c r="H35" s="6" t="s">
        <v>119</v>
      </c>
      <c r="I35" s="6">
        <v>100</v>
      </c>
      <c r="J35" s="6">
        <v>300</v>
      </c>
      <c r="K35" s="6" t="s">
        <v>268</v>
      </c>
      <c r="L35" s="6">
        <v>46</v>
      </c>
      <c r="M35" s="6">
        <v>46</v>
      </c>
      <c r="N35" s="6" t="s">
        <v>197</v>
      </c>
      <c r="O35" s="6" t="s">
        <v>196</v>
      </c>
      <c r="P35" s="6" t="s">
        <v>269</v>
      </c>
      <c r="Q35" s="6" t="s">
        <v>265</v>
      </c>
      <c r="R35" s="6" t="s">
        <v>270</v>
      </c>
      <c r="S35" s="6"/>
      <c r="T35" s="6"/>
      <c r="U35" s="6"/>
    </row>
    <row r="36" spans="1:21">
      <c r="A36" s="6"/>
      <c r="B36" s="6"/>
      <c r="C36" s="8"/>
      <c r="D36" s="6" t="s">
        <v>271</v>
      </c>
      <c r="E36" s="6" t="s">
        <v>272</v>
      </c>
      <c r="F36" s="6">
        <f t="shared" si="1"/>
        <v>14.6</v>
      </c>
      <c r="G36" s="7">
        <f>F36*4*0.24*1.35*1.375*2</f>
        <v>52.0344</v>
      </c>
      <c r="H36" s="6" t="s">
        <v>111</v>
      </c>
      <c r="I36" s="6">
        <v>1000</v>
      </c>
      <c r="J36" s="6">
        <v>400</v>
      </c>
      <c r="K36" s="6" t="s">
        <v>161</v>
      </c>
      <c r="L36" s="6">
        <v>11</v>
      </c>
      <c r="M36" s="6">
        <v>23</v>
      </c>
      <c r="N36" s="6" t="s">
        <v>273</v>
      </c>
      <c r="O36" s="6" t="s">
        <v>274</v>
      </c>
      <c r="P36" s="6" t="s">
        <v>265</v>
      </c>
      <c r="Q36" s="6"/>
      <c r="R36" s="6"/>
      <c r="S36" s="6"/>
      <c r="T36" s="6"/>
      <c r="U36" s="6"/>
    </row>
    <row r="37" spans="1:21">
      <c r="A37" s="6"/>
      <c r="B37" s="6"/>
      <c r="C37" s="8"/>
      <c r="D37" s="6" t="s">
        <v>275</v>
      </c>
      <c r="E37" s="6" t="s">
        <v>276</v>
      </c>
      <c r="F37" s="6">
        <f t="shared" si="1"/>
        <v>0</v>
      </c>
      <c r="G37" s="7"/>
      <c r="H37" s="6" t="s">
        <v>111</v>
      </c>
      <c r="I37" s="6">
        <v>650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6"/>
      <c r="B38" s="6"/>
      <c r="C38" s="8"/>
      <c r="D38" s="6" t="s">
        <v>277</v>
      </c>
      <c r="E38" s="6" t="s">
        <v>278</v>
      </c>
      <c r="F38" s="6">
        <f t="shared" si="1"/>
        <v>0</v>
      </c>
      <c r="G38" s="7"/>
      <c r="H38" s="6" t="s">
        <v>119</v>
      </c>
      <c r="I38" s="6">
        <v>100</v>
      </c>
      <c r="J38" s="6"/>
      <c r="K38" s="6" t="s">
        <v>279</v>
      </c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6"/>
      <c r="B39" s="6" t="s">
        <v>280</v>
      </c>
      <c r="C39" s="8">
        <f>SUM(G39:G43)</f>
        <v>102.863855625</v>
      </c>
      <c r="D39" s="6" t="s">
        <v>281</v>
      </c>
      <c r="E39" s="6" t="s">
        <v>282</v>
      </c>
      <c r="F39" s="6">
        <f t="shared" si="1"/>
        <v>10.3</v>
      </c>
      <c r="G39" s="7">
        <f>F39*0.8*8.5/4.5*1.3*1.25*1.35*1.67</f>
        <v>57.021315</v>
      </c>
      <c r="H39" s="6" t="s">
        <v>111</v>
      </c>
      <c r="I39" s="6">
        <v>600</v>
      </c>
      <c r="J39" s="6" t="s">
        <v>283</v>
      </c>
      <c r="K39" s="6" t="s">
        <v>284</v>
      </c>
      <c r="L39" s="6">
        <v>7</v>
      </c>
      <c r="M39" s="6">
        <v>18</v>
      </c>
      <c r="N39" s="6" t="s">
        <v>285</v>
      </c>
      <c r="O39" s="6" t="s">
        <v>286</v>
      </c>
      <c r="P39" s="6" t="s">
        <v>287</v>
      </c>
      <c r="Q39" s="6" t="s">
        <v>288</v>
      </c>
      <c r="R39" s="6"/>
      <c r="S39" s="6"/>
      <c r="T39" s="6"/>
      <c r="U39" s="6"/>
    </row>
    <row r="40" spans="1:21">
      <c r="A40" s="6"/>
      <c r="B40" s="6"/>
      <c r="C40" s="6"/>
      <c r="D40" s="6" t="s">
        <v>289</v>
      </c>
      <c r="E40" s="6" t="s">
        <v>290</v>
      </c>
      <c r="F40" s="6">
        <f t="shared" si="1"/>
        <v>10.3</v>
      </c>
      <c r="G40" s="7">
        <f>F40*6/12*1.3*1.25*1.35*1.67</f>
        <v>18.867346875</v>
      </c>
      <c r="H40" s="6" t="s">
        <v>119</v>
      </c>
      <c r="I40" s="6">
        <v>100</v>
      </c>
      <c r="J40" s="6">
        <v>600</v>
      </c>
      <c r="K40" s="6" t="s">
        <v>291</v>
      </c>
      <c r="L40" s="6">
        <v>7</v>
      </c>
      <c r="M40" s="6">
        <v>18</v>
      </c>
      <c r="N40" s="6" t="s">
        <v>285</v>
      </c>
      <c r="O40" s="6" t="s">
        <v>286</v>
      </c>
      <c r="P40" s="6" t="s">
        <v>287</v>
      </c>
      <c r="Q40" s="6" t="s">
        <v>288</v>
      </c>
      <c r="R40" s="6"/>
      <c r="S40" s="6"/>
      <c r="T40" s="6"/>
      <c r="U40" s="6"/>
    </row>
    <row r="41" spans="1:21">
      <c r="A41" s="6"/>
      <c r="B41" s="6"/>
      <c r="C41" s="6"/>
      <c r="D41" s="6" t="s">
        <v>292</v>
      </c>
      <c r="E41" s="6" t="s">
        <v>293</v>
      </c>
      <c r="F41" s="6">
        <f t="shared" si="1"/>
        <v>6</v>
      </c>
      <c r="G41" s="7">
        <f>F41*3/20*3.5*1.4*1.11</f>
        <v>4.8951</v>
      </c>
      <c r="H41" s="6" t="s">
        <v>119</v>
      </c>
      <c r="I41" s="6">
        <v>200</v>
      </c>
      <c r="J41" s="6">
        <v>300</v>
      </c>
      <c r="K41" s="6" t="s">
        <v>294</v>
      </c>
      <c r="L41" s="6">
        <v>6</v>
      </c>
      <c r="M41" s="6">
        <v>6</v>
      </c>
      <c r="N41" s="6" t="s">
        <v>295</v>
      </c>
      <c r="O41" s="6" t="s">
        <v>296</v>
      </c>
      <c r="P41" s="6"/>
      <c r="Q41" s="6"/>
      <c r="R41" s="6"/>
      <c r="S41" s="6"/>
      <c r="T41" s="6"/>
      <c r="U41" s="6"/>
    </row>
    <row r="42" spans="1:21">
      <c r="A42" s="6"/>
      <c r="B42" s="6"/>
      <c r="C42" s="6"/>
      <c r="D42" s="6" t="s">
        <v>297</v>
      </c>
      <c r="E42" s="6" t="s">
        <v>298</v>
      </c>
      <c r="F42" s="6">
        <f t="shared" si="1"/>
        <v>36.6</v>
      </c>
      <c r="G42" s="7">
        <f>F42*3/16*5*1.5*0.33*1.3</f>
        <v>22.08009375</v>
      </c>
      <c r="H42" s="6" t="s">
        <v>119</v>
      </c>
      <c r="I42" s="6">
        <v>190</v>
      </c>
      <c r="J42" s="6">
        <v>300</v>
      </c>
      <c r="K42" s="6" t="s">
        <v>299</v>
      </c>
      <c r="L42" s="6">
        <v>42</v>
      </c>
      <c r="M42" s="6">
        <v>24</v>
      </c>
      <c r="N42" s="6" t="s">
        <v>300</v>
      </c>
      <c r="O42" s="6" t="s">
        <v>301</v>
      </c>
      <c r="P42" s="6"/>
      <c r="Q42" s="6"/>
      <c r="R42" s="6"/>
      <c r="S42" s="6"/>
      <c r="T42" s="6"/>
      <c r="U42" s="6"/>
    </row>
    <row r="43" spans="1:21">
      <c r="A43" s="6"/>
      <c r="B43" s="6"/>
      <c r="C43" s="6"/>
      <c r="D43" s="6" t="s">
        <v>302</v>
      </c>
      <c r="E43" s="6" t="s">
        <v>303</v>
      </c>
      <c r="F43" s="6">
        <f t="shared" si="1"/>
        <v>0</v>
      </c>
      <c r="G43" s="7"/>
      <c r="H43" s="6" t="s">
        <v>111</v>
      </c>
      <c r="I43" s="6" t="s">
        <v>304</v>
      </c>
      <c r="J43" s="6"/>
      <c r="K43" s="6" t="s">
        <v>305</v>
      </c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6"/>
      <c r="B44" s="6" t="s">
        <v>306</v>
      </c>
      <c r="C44" s="8">
        <f>SUM(G44:G48)</f>
        <v>96.2953466607143</v>
      </c>
      <c r="D44" s="6" t="s">
        <v>307</v>
      </c>
      <c r="E44" s="6" t="s">
        <v>308</v>
      </c>
      <c r="F44" s="6">
        <f t="shared" si="1"/>
        <v>6.9</v>
      </c>
      <c r="G44" s="7">
        <f>F44*5.5/20*8.5*1.5*1.235*1.32</f>
        <v>39.439632375</v>
      </c>
      <c r="H44" s="6" t="s">
        <v>119</v>
      </c>
      <c r="I44" s="6">
        <v>160</v>
      </c>
      <c r="J44" s="6">
        <v>550</v>
      </c>
      <c r="K44" s="6" t="s">
        <v>309</v>
      </c>
      <c r="L44" s="6">
        <v>6</v>
      </c>
      <c r="M44" s="6">
        <v>9</v>
      </c>
      <c r="N44" s="6" t="s">
        <v>310</v>
      </c>
      <c r="O44" s="6" t="s">
        <v>311</v>
      </c>
      <c r="P44" s="6" t="s">
        <v>312</v>
      </c>
      <c r="Q44" s="6"/>
      <c r="R44" s="6"/>
      <c r="S44" s="6"/>
      <c r="T44" s="6"/>
      <c r="U44" s="6"/>
    </row>
    <row r="45" spans="1:21">
      <c r="A45" s="6"/>
      <c r="B45" s="6"/>
      <c r="C45" s="6"/>
      <c r="D45" s="6" t="s">
        <v>313</v>
      </c>
      <c r="E45" s="6" t="s">
        <v>314</v>
      </c>
      <c r="F45" s="6">
        <f t="shared" si="1"/>
        <v>46</v>
      </c>
      <c r="G45" s="7">
        <f>F45*0.3*1.4</f>
        <v>19.32</v>
      </c>
      <c r="H45" s="6" t="s">
        <v>111</v>
      </c>
      <c r="I45" s="6">
        <v>800</v>
      </c>
      <c r="J45" s="6" t="s">
        <v>125</v>
      </c>
      <c r="K45" s="6" t="s">
        <v>315</v>
      </c>
      <c r="L45" s="6">
        <v>40</v>
      </c>
      <c r="M45" s="6">
        <v>60</v>
      </c>
      <c r="N45" s="6" t="s">
        <v>121</v>
      </c>
      <c r="O45" s="6"/>
      <c r="P45" s="6"/>
      <c r="Q45" s="6"/>
      <c r="R45" s="6"/>
      <c r="S45" s="6"/>
      <c r="T45" s="6"/>
      <c r="U45" s="6"/>
    </row>
    <row r="46" spans="1:21">
      <c r="A46" s="6"/>
      <c r="B46" s="6"/>
      <c r="C46" s="6"/>
      <c r="D46" s="6" t="s">
        <v>316</v>
      </c>
      <c r="E46" s="6" t="s">
        <v>317</v>
      </c>
      <c r="F46" s="6">
        <f t="shared" si="1"/>
        <v>58.5</v>
      </c>
      <c r="G46" s="7">
        <f>F46/7*1.5</f>
        <v>12.5357142857143</v>
      </c>
      <c r="H46" s="6" t="s">
        <v>119</v>
      </c>
      <c r="I46" s="6">
        <v>200</v>
      </c>
      <c r="J46" s="6" t="s">
        <v>125</v>
      </c>
      <c r="K46" s="6" t="s">
        <v>318</v>
      </c>
      <c r="L46" s="6">
        <v>75</v>
      </c>
      <c r="M46" s="6">
        <v>20</v>
      </c>
      <c r="N46" s="6" t="s">
        <v>319</v>
      </c>
      <c r="O46" s="6"/>
      <c r="P46" s="6"/>
      <c r="Q46" s="6"/>
      <c r="R46" s="6"/>
      <c r="S46" s="6"/>
      <c r="T46" s="6"/>
      <c r="U46" s="6"/>
    </row>
    <row r="47" spans="1:21">
      <c r="A47" s="6"/>
      <c r="B47" s="6"/>
      <c r="C47" s="6"/>
      <c r="D47" s="6" t="s">
        <v>320</v>
      </c>
      <c r="E47" s="6" t="s">
        <v>321</v>
      </c>
      <c r="F47" s="6">
        <f t="shared" si="1"/>
        <v>0</v>
      </c>
      <c r="G47" s="7"/>
      <c r="H47" s="6" t="s">
        <v>119</v>
      </c>
      <c r="I47" s="6">
        <v>300</v>
      </c>
      <c r="J47" s="6"/>
      <c r="K47" s="6" t="s">
        <v>322</v>
      </c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6"/>
      <c r="B48" s="6"/>
      <c r="C48" s="6"/>
      <c r="D48" s="6" t="s">
        <v>323</v>
      </c>
      <c r="E48" s="6" t="s">
        <v>324</v>
      </c>
      <c r="F48" s="6">
        <f t="shared" si="1"/>
        <v>50</v>
      </c>
      <c r="G48" s="7">
        <f>F48/2</f>
        <v>25</v>
      </c>
      <c r="H48" s="6" t="s">
        <v>194</v>
      </c>
      <c r="I48" s="6">
        <v>120</v>
      </c>
      <c r="J48" s="6" t="s">
        <v>125</v>
      </c>
      <c r="K48" s="6" t="s">
        <v>325</v>
      </c>
      <c r="L48" s="6">
        <v>50</v>
      </c>
      <c r="M48" s="6">
        <v>50</v>
      </c>
      <c r="N48" s="6"/>
      <c r="O48" s="6"/>
      <c r="P48" s="6"/>
      <c r="Q48" s="6"/>
      <c r="R48" s="6"/>
      <c r="S48" s="6"/>
      <c r="T48" s="6"/>
      <c r="U48" s="6"/>
    </row>
    <row r="49" spans="1:21">
      <c r="A49" s="6"/>
      <c r="B49" s="6" t="s">
        <v>326</v>
      </c>
      <c r="C49" s="8">
        <f>SUM(G49:G53)</f>
        <v>460.099411904762</v>
      </c>
      <c r="D49" s="6" t="s">
        <v>327</v>
      </c>
      <c r="E49" s="6" t="s">
        <v>328</v>
      </c>
      <c r="F49" s="6">
        <f t="shared" si="1"/>
        <v>9.8</v>
      </c>
      <c r="G49" s="7">
        <f>F49*6*0.26*2.5*1.35</f>
        <v>51.597</v>
      </c>
      <c r="H49" s="6" t="s">
        <v>111</v>
      </c>
      <c r="I49" s="6">
        <v>1200</v>
      </c>
      <c r="J49" s="6" t="s">
        <v>329</v>
      </c>
      <c r="K49" s="6" t="s">
        <v>330</v>
      </c>
      <c r="L49" s="6">
        <v>8</v>
      </c>
      <c r="M49" s="6">
        <v>14</v>
      </c>
      <c r="N49" s="6" t="s">
        <v>186</v>
      </c>
      <c r="O49" s="6" t="s">
        <v>331</v>
      </c>
      <c r="P49" s="6"/>
      <c r="Q49" s="6"/>
      <c r="R49" s="6"/>
      <c r="S49" s="6"/>
      <c r="T49" s="6"/>
      <c r="U49" s="6"/>
    </row>
    <row r="50" spans="1:21">
      <c r="A50" s="6"/>
      <c r="B50" s="6"/>
      <c r="C50" s="6"/>
      <c r="D50" s="6" t="s">
        <v>332</v>
      </c>
      <c r="E50" s="6" t="s">
        <v>333</v>
      </c>
      <c r="F50" s="6">
        <f t="shared" si="1"/>
        <v>0</v>
      </c>
      <c r="G50" s="7"/>
      <c r="H50" s="6" t="s">
        <v>119</v>
      </c>
      <c r="I50" s="6">
        <v>150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6"/>
      <c r="B51" s="6"/>
      <c r="C51" s="6"/>
      <c r="D51" s="6" t="s">
        <v>334</v>
      </c>
      <c r="E51" s="6" t="s">
        <v>335</v>
      </c>
      <c r="F51" s="6">
        <f t="shared" si="1"/>
        <v>266</v>
      </c>
      <c r="G51" s="7">
        <f>F51/18*3</f>
        <v>44.3333333333333</v>
      </c>
      <c r="H51" s="6" t="s">
        <v>119</v>
      </c>
      <c r="I51" s="6">
        <v>250</v>
      </c>
      <c r="J51" s="6" t="s">
        <v>336</v>
      </c>
      <c r="K51" s="6" t="s">
        <v>337</v>
      </c>
      <c r="L51" s="6">
        <v>80</v>
      </c>
      <c r="M51" s="6">
        <v>700</v>
      </c>
      <c r="N51" s="6" t="s">
        <v>338</v>
      </c>
      <c r="O51" s="6"/>
      <c r="P51" s="6"/>
      <c r="Q51" s="6"/>
      <c r="R51" s="6"/>
      <c r="S51" s="6"/>
      <c r="T51" s="6"/>
      <c r="U51" s="6"/>
    </row>
    <row r="52" spans="1:21">
      <c r="A52" s="6"/>
      <c r="B52" s="6"/>
      <c r="C52" s="6"/>
      <c r="D52" s="6" t="s">
        <v>339</v>
      </c>
      <c r="E52" s="6" t="s">
        <v>340</v>
      </c>
      <c r="F52" s="6">
        <f t="shared" si="1"/>
        <v>1640</v>
      </c>
      <c r="G52" s="7">
        <f>F52/140*8*1.5*1.4375</f>
        <v>202.071428571429</v>
      </c>
      <c r="H52" s="6" t="s">
        <v>341</v>
      </c>
      <c r="I52" s="6">
        <v>40</v>
      </c>
      <c r="J52" s="6">
        <v>800</v>
      </c>
      <c r="K52" s="6" t="s">
        <v>342</v>
      </c>
      <c r="L52" s="6">
        <v>2000</v>
      </c>
      <c r="M52" s="6">
        <v>800</v>
      </c>
      <c r="N52" s="6" t="s">
        <v>343</v>
      </c>
      <c r="O52" s="6" t="s">
        <v>237</v>
      </c>
      <c r="P52" s="6"/>
      <c r="Q52" s="6"/>
      <c r="R52" s="6"/>
      <c r="S52" s="6"/>
      <c r="T52" s="6"/>
      <c r="U52" s="6"/>
    </row>
    <row r="53" spans="1:21">
      <c r="A53" s="6"/>
      <c r="B53" s="6"/>
      <c r="C53" s="6"/>
      <c r="D53" s="6" t="s">
        <v>344</v>
      </c>
      <c r="E53" s="6" t="s">
        <v>345</v>
      </c>
      <c r="F53" s="6">
        <f t="shared" si="1"/>
        <v>229</v>
      </c>
      <c r="G53" s="7">
        <f>F53*5/15*1.35*1.1*1.1*1.3</f>
        <v>162.09765</v>
      </c>
      <c r="H53" s="6" t="s">
        <v>119</v>
      </c>
      <c r="I53" s="6">
        <v>150</v>
      </c>
      <c r="J53" s="6" t="s">
        <v>346</v>
      </c>
      <c r="K53" s="6" t="s">
        <v>259</v>
      </c>
      <c r="L53" s="6">
        <v>250</v>
      </c>
      <c r="M53" s="6">
        <v>180</v>
      </c>
      <c r="N53" s="6" t="s">
        <v>347</v>
      </c>
      <c r="O53" s="6" t="s">
        <v>348</v>
      </c>
      <c r="P53" s="6" t="s">
        <v>349</v>
      </c>
      <c r="Q53" s="6" t="s">
        <v>350</v>
      </c>
      <c r="R53" s="6"/>
      <c r="S53" s="6"/>
      <c r="T53" s="6"/>
      <c r="U53" s="6"/>
    </row>
    <row r="54" spans="1:21">
      <c r="A54" s="6"/>
      <c r="B54" s="6" t="s">
        <v>351</v>
      </c>
      <c r="C54" s="8">
        <f>SUM(G54:G58)</f>
        <v>332.655920028409</v>
      </c>
      <c r="D54" s="6" t="s">
        <v>352</v>
      </c>
      <c r="E54" s="6" t="s">
        <v>353</v>
      </c>
      <c r="F54" s="6">
        <f t="shared" si="1"/>
        <v>10.3</v>
      </c>
      <c r="G54" s="7">
        <f>F54*4.5*0.23*1.25*1.3*1.26*2.25</f>
        <v>49.1115909375</v>
      </c>
      <c r="H54" s="6" t="s">
        <v>111</v>
      </c>
      <c r="I54" s="6">
        <v>1000</v>
      </c>
      <c r="J54" s="6">
        <v>450</v>
      </c>
      <c r="K54" s="9">
        <v>0.23</v>
      </c>
      <c r="L54" s="6">
        <v>10.3</v>
      </c>
      <c r="M54" s="6">
        <v>10.3</v>
      </c>
      <c r="N54" s="6" t="s">
        <v>354</v>
      </c>
      <c r="O54" s="6" t="s">
        <v>355</v>
      </c>
      <c r="P54" s="6" t="s">
        <v>356</v>
      </c>
      <c r="Q54" s="6" t="s">
        <v>357</v>
      </c>
      <c r="R54" s="6"/>
      <c r="S54" s="6"/>
      <c r="T54" s="6"/>
      <c r="U54" s="6"/>
    </row>
    <row r="55" spans="1:21">
      <c r="A55" s="6"/>
      <c r="B55" s="6"/>
      <c r="C55" s="6"/>
      <c r="D55" s="6" t="s">
        <v>358</v>
      </c>
      <c r="E55" s="6" t="s">
        <v>359</v>
      </c>
      <c r="F55" s="6">
        <f t="shared" si="1"/>
        <v>14</v>
      </c>
      <c r="G55" s="7">
        <f>F55*3/26*1.25*1.3*2.25*22.5*1.28</f>
        <v>170.1</v>
      </c>
      <c r="H55" s="6" t="s">
        <v>119</v>
      </c>
      <c r="I55" s="6">
        <v>100</v>
      </c>
      <c r="J55" s="6" t="s">
        <v>360</v>
      </c>
      <c r="K55" s="6" t="s">
        <v>361</v>
      </c>
      <c r="L55" s="6">
        <v>14</v>
      </c>
      <c r="M55" s="6">
        <v>14</v>
      </c>
      <c r="N55" s="6" t="s">
        <v>354</v>
      </c>
      <c r="O55" s="6" t="s">
        <v>362</v>
      </c>
      <c r="P55" s="6" t="s">
        <v>357</v>
      </c>
      <c r="Q55" s="6" t="s">
        <v>363</v>
      </c>
      <c r="R55" s="6"/>
      <c r="S55" s="6"/>
      <c r="T55" s="6"/>
      <c r="U55" s="6"/>
    </row>
    <row r="56" spans="1:21">
      <c r="A56" s="6"/>
      <c r="B56" s="6"/>
      <c r="C56" s="6"/>
      <c r="D56" s="6" t="s">
        <v>364</v>
      </c>
      <c r="E56" s="6" t="s">
        <v>365</v>
      </c>
      <c r="F56" s="6">
        <f t="shared" si="1"/>
        <v>39</v>
      </c>
      <c r="G56" s="7">
        <f>F56*3/11*1.3*1.35*1.2*2.25</f>
        <v>50.4004090909091</v>
      </c>
      <c r="H56" s="6" t="s">
        <v>119</v>
      </c>
      <c r="I56" s="6">
        <v>500</v>
      </c>
      <c r="J56" s="6">
        <v>300</v>
      </c>
      <c r="K56" s="6" t="s">
        <v>366</v>
      </c>
      <c r="L56" s="6">
        <v>39</v>
      </c>
      <c r="M56" s="6">
        <v>39</v>
      </c>
      <c r="N56" s="6" t="s">
        <v>367</v>
      </c>
      <c r="O56" s="6" t="s">
        <v>122</v>
      </c>
      <c r="P56" s="6" t="s">
        <v>368</v>
      </c>
      <c r="Q56" s="6" t="s">
        <v>357</v>
      </c>
      <c r="R56" s="6"/>
      <c r="S56" s="6"/>
      <c r="T56" s="6"/>
      <c r="U56" s="6"/>
    </row>
    <row r="57" spans="1:21">
      <c r="A57" s="6"/>
      <c r="B57" s="6"/>
      <c r="C57" s="6"/>
      <c r="D57" s="6" t="s">
        <v>369</v>
      </c>
      <c r="E57" s="6" t="s">
        <v>370</v>
      </c>
      <c r="F57" s="6">
        <f t="shared" si="1"/>
        <v>5.4</v>
      </c>
      <c r="G57" s="7">
        <f>F57*1.76*1.3*1.35*2.25</f>
        <v>37.52892</v>
      </c>
      <c r="H57" s="6" t="s">
        <v>111</v>
      </c>
      <c r="I57" s="6">
        <v>3500</v>
      </c>
      <c r="J57" s="6">
        <v>176</v>
      </c>
      <c r="K57" s="6" t="s">
        <v>371</v>
      </c>
      <c r="L57" s="6">
        <v>5.4</v>
      </c>
      <c r="M57" s="6">
        <v>5.4</v>
      </c>
      <c r="N57" s="6" t="s">
        <v>372</v>
      </c>
      <c r="O57" s="6" t="s">
        <v>347</v>
      </c>
      <c r="P57" s="6" t="s">
        <v>357</v>
      </c>
      <c r="Q57" s="6"/>
      <c r="R57" s="6"/>
      <c r="S57" s="6"/>
      <c r="T57" s="6"/>
      <c r="U57" s="6"/>
    </row>
    <row r="58" spans="1:21">
      <c r="A58" s="6"/>
      <c r="B58" s="6"/>
      <c r="C58" s="6"/>
      <c r="D58" s="6" t="s">
        <v>373</v>
      </c>
      <c r="E58" s="6" t="s">
        <v>374</v>
      </c>
      <c r="F58" s="6">
        <f t="shared" si="1"/>
        <v>36</v>
      </c>
      <c r="G58" s="7">
        <f>F58*3.5/21*1.35*1.4*2.25</f>
        <v>25.515</v>
      </c>
      <c r="H58" s="6" t="s">
        <v>119</v>
      </c>
      <c r="I58" s="6">
        <v>100</v>
      </c>
      <c r="J58" s="6">
        <v>350</v>
      </c>
      <c r="K58" s="6" t="s">
        <v>337</v>
      </c>
      <c r="L58" s="6">
        <v>36</v>
      </c>
      <c r="M58" s="6">
        <v>36</v>
      </c>
      <c r="N58" s="6" t="s">
        <v>228</v>
      </c>
      <c r="O58" s="6" t="s">
        <v>185</v>
      </c>
      <c r="P58" s="6" t="s">
        <v>357</v>
      </c>
      <c r="Q58" s="6"/>
      <c r="R58" s="6"/>
      <c r="S58" s="6"/>
      <c r="T58" s="6"/>
      <c r="U58" s="6"/>
    </row>
    <row r="59" spans="1:21">
      <c r="A59" s="6"/>
      <c r="B59" s="6" t="s">
        <v>375</v>
      </c>
      <c r="C59" s="8">
        <f>SUM(G59:G63)</f>
        <v>276.92957925</v>
      </c>
      <c r="D59" s="6" t="s">
        <v>376</v>
      </c>
      <c r="E59" s="6" t="s">
        <v>377</v>
      </c>
      <c r="F59" s="6">
        <f t="shared" si="1"/>
        <v>20.7</v>
      </c>
      <c r="G59" s="7">
        <f>F59*6.5*0.07*1.35*1.4*1.5*2*1.15</f>
        <v>61.41332925</v>
      </c>
      <c r="H59" s="6" t="s">
        <v>111</v>
      </c>
      <c r="I59" s="6">
        <v>1500</v>
      </c>
      <c r="J59" s="6" t="s">
        <v>378</v>
      </c>
      <c r="K59" s="6" t="s">
        <v>379</v>
      </c>
      <c r="L59" s="6">
        <v>18</v>
      </c>
      <c r="M59" s="6">
        <v>27</v>
      </c>
      <c r="N59" s="6" t="s">
        <v>380</v>
      </c>
      <c r="O59" s="6" t="s">
        <v>381</v>
      </c>
      <c r="P59" s="6" t="s">
        <v>382</v>
      </c>
      <c r="Q59" s="6" t="s">
        <v>383</v>
      </c>
      <c r="R59" s="6" t="s">
        <v>384</v>
      </c>
      <c r="S59" s="6"/>
      <c r="T59" s="6"/>
      <c r="U59" s="6"/>
    </row>
    <row r="60" spans="1:21">
      <c r="A60" s="6"/>
      <c r="B60" s="6"/>
      <c r="C60" s="6"/>
      <c r="D60" s="6" t="s">
        <v>385</v>
      </c>
      <c r="E60" s="6" t="s">
        <v>386</v>
      </c>
      <c r="F60" s="6">
        <f t="shared" si="1"/>
        <v>3.5</v>
      </c>
      <c r="G60" s="7">
        <f>F60*0.21*2.5*1.35*1.5*1.5*1.5*2*8</f>
        <v>133.95375</v>
      </c>
      <c r="H60" s="6" t="s">
        <v>111</v>
      </c>
      <c r="I60" s="6">
        <v>1500</v>
      </c>
      <c r="J60" s="6" t="s">
        <v>125</v>
      </c>
      <c r="K60" s="6" t="s">
        <v>387</v>
      </c>
      <c r="L60" s="6">
        <v>3.5</v>
      </c>
      <c r="M60" s="6">
        <v>3.5</v>
      </c>
      <c r="N60" s="6" t="s">
        <v>380</v>
      </c>
      <c r="O60" s="6" t="s">
        <v>382</v>
      </c>
      <c r="P60" s="6" t="s">
        <v>388</v>
      </c>
      <c r="Q60" s="6" t="s">
        <v>389</v>
      </c>
      <c r="R60" s="6" t="s">
        <v>383</v>
      </c>
      <c r="S60" s="6" t="s">
        <v>390</v>
      </c>
      <c r="T60" s="6"/>
      <c r="U60" s="6"/>
    </row>
    <row r="61" spans="1:21">
      <c r="A61" s="6"/>
      <c r="B61" s="6"/>
      <c r="C61" s="6"/>
      <c r="D61" s="6" t="s">
        <v>391</v>
      </c>
      <c r="E61" s="6" t="s">
        <v>392</v>
      </c>
      <c r="F61" s="6">
        <f t="shared" si="1"/>
        <v>26</v>
      </c>
      <c r="G61" s="7">
        <f>F61*7.5/30*1.45*1.125*2</f>
        <v>21.20625</v>
      </c>
      <c r="H61" s="6" t="s">
        <v>119</v>
      </c>
      <c r="I61" s="6">
        <v>120</v>
      </c>
      <c r="J61" s="6" t="s">
        <v>393</v>
      </c>
      <c r="K61" s="6" t="s">
        <v>394</v>
      </c>
      <c r="L61" s="6">
        <v>20</v>
      </c>
      <c r="M61" s="6">
        <v>40</v>
      </c>
      <c r="N61" s="6" t="s">
        <v>395</v>
      </c>
      <c r="O61" s="6" t="s">
        <v>396</v>
      </c>
      <c r="P61" s="6" t="s">
        <v>383</v>
      </c>
      <c r="Q61" s="6"/>
      <c r="R61" s="6"/>
      <c r="S61" s="6"/>
      <c r="T61" s="6"/>
      <c r="U61" s="6"/>
    </row>
    <row r="62" spans="1:21">
      <c r="A62" s="6"/>
      <c r="B62" s="6"/>
      <c r="C62" s="6"/>
      <c r="D62" s="6" t="s">
        <v>397</v>
      </c>
      <c r="E62" s="6" t="s">
        <v>398</v>
      </c>
      <c r="F62" s="6">
        <f t="shared" si="1"/>
        <v>0</v>
      </c>
      <c r="G62" s="7"/>
      <c r="H62" s="6" t="s">
        <v>111</v>
      </c>
      <c r="I62" s="6">
        <v>160</v>
      </c>
      <c r="J62" s="6"/>
      <c r="K62" s="6" t="s">
        <v>399</v>
      </c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6"/>
      <c r="B63" s="6"/>
      <c r="C63" s="6"/>
      <c r="D63" s="6" t="s">
        <v>400</v>
      </c>
      <c r="E63" s="6" t="s">
        <v>401</v>
      </c>
      <c r="F63" s="6">
        <f t="shared" si="1"/>
        <v>370</v>
      </c>
      <c r="G63" s="7">
        <f>F63/30*1.45*1.5*2.25</f>
        <v>60.35625</v>
      </c>
      <c r="H63" s="6" t="s">
        <v>119</v>
      </c>
      <c r="I63" s="6">
        <v>120</v>
      </c>
      <c r="J63" s="6" t="s">
        <v>125</v>
      </c>
      <c r="K63" s="6" t="s">
        <v>394</v>
      </c>
      <c r="L63" s="6">
        <v>400</v>
      </c>
      <c r="M63" s="6">
        <v>300</v>
      </c>
      <c r="N63" s="6" t="s">
        <v>395</v>
      </c>
      <c r="O63" s="6" t="s">
        <v>382</v>
      </c>
      <c r="P63" s="6" t="s">
        <v>402</v>
      </c>
      <c r="Q63" s="6"/>
      <c r="R63" s="6"/>
      <c r="S63" s="6"/>
      <c r="T63" s="6"/>
      <c r="U63" s="6"/>
    </row>
    <row r="64" spans="1:21">
      <c r="A64" s="6"/>
      <c r="B64" s="6"/>
      <c r="C64" s="6"/>
      <c r="D64" s="6" t="s">
        <v>403</v>
      </c>
      <c r="E64" s="6"/>
      <c r="F64" s="6">
        <f t="shared" si="1"/>
        <v>500</v>
      </c>
      <c r="G64" s="7">
        <f>F64/4*50*2</f>
        <v>12500</v>
      </c>
      <c r="H64" s="6" t="s">
        <v>111</v>
      </c>
      <c r="I64" s="6"/>
      <c r="J64" s="6" t="s">
        <v>125</v>
      </c>
      <c r="K64" s="9" t="s">
        <v>404</v>
      </c>
      <c r="L64" s="6">
        <v>200</v>
      </c>
      <c r="M64" s="6">
        <v>1200</v>
      </c>
      <c r="N64" s="6" t="s">
        <v>402</v>
      </c>
      <c r="O64" s="6"/>
      <c r="P64" s="6"/>
      <c r="Q64" s="6"/>
      <c r="R64" s="6"/>
      <c r="S64" s="6"/>
      <c r="T64" s="6"/>
      <c r="U64" s="6"/>
    </row>
    <row r="65" spans="1:21">
      <c r="A65" s="6"/>
      <c r="B65" s="6" t="s">
        <v>405</v>
      </c>
      <c r="C65" s="8">
        <f>SUM(G65:G71)</f>
        <v>620.277577303571</v>
      </c>
      <c r="D65" s="6" t="s">
        <v>406</v>
      </c>
      <c r="E65" s="6" t="s">
        <v>407</v>
      </c>
      <c r="F65" s="6">
        <f t="shared" si="1"/>
        <v>0.33</v>
      </c>
      <c r="G65" s="7">
        <f>F65*8.2*0.35*1.5*1.5*1.57*44.5</f>
        <v>148.880568375</v>
      </c>
      <c r="H65" s="6" t="s">
        <v>111</v>
      </c>
      <c r="I65" s="6">
        <v>1000</v>
      </c>
      <c r="J65" s="6" t="s">
        <v>408</v>
      </c>
      <c r="K65" s="6" t="s">
        <v>409</v>
      </c>
      <c r="L65" s="6">
        <v>0.3</v>
      </c>
      <c r="M65" s="6">
        <v>0.4</v>
      </c>
      <c r="N65" s="6" t="s">
        <v>410</v>
      </c>
      <c r="O65" s="6" t="s">
        <v>411</v>
      </c>
      <c r="P65" s="6" t="s">
        <v>412</v>
      </c>
      <c r="Q65" s="6"/>
      <c r="R65" s="6"/>
      <c r="S65" s="6"/>
      <c r="T65" s="6"/>
      <c r="U65" s="6"/>
    </row>
    <row r="66" spans="1:21">
      <c r="A66" s="6"/>
      <c r="B66" s="6"/>
      <c r="C66" s="6"/>
      <c r="D66" s="6" t="s">
        <v>413</v>
      </c>
      <c r="E66" s="6" t="s">
        <v>407</v>
      </c>
      <c r="F66" s="6">
        <f t="shared" si="1"/>
        <v>0.76</v>
      </c>
      <c r="G66" s="7">
        <f>F66*8.2/3.2*1.5*1.5*44.5</f>
        <v>194.9934375</v>
      </c>
      <c r="H66" s="6" t="s">
        <v>119</v>
      </c>
      <c r="I66" s="6">
        <v>1000</v>
      </c>
      <c r="J66" s="6" t="s">
        <v>408</v>
      </c>
      <c r="K66" s="6" t="s">
        <v>414</v>
      </c>
      <c r="L66" s="6">
        <v>0.7</v>
      </c>
      <c r="M66" s="6">
        <v>0.9</v>
      </c>
      <c r="N66" s="6" t="s">
        <v>410</v>
      </c>
      <c r="O66" s="6" t="s">
        <v>411</v>
      </c>
      <c r="P66" s="6" t="s">
        <v>412</v>
      </c>
      <c r="Q66" s="6"/>
      <c r="R66" s="6"/>
      <c r="S66" s="6"/>
      <c r="T66" s="6"/>
      <c r="U66" s="6"/>
    </row>
    <row r="67" spans="1:21">
      <c r="A67" s="6"/>
      <c r="B67" s="6"/>
      <c r="C67" s="6"/>
      <c r="D67" s="6" t="s">
        <v>415</v>
      </c>
      <c r="E67" s="6" t="s">
        <v>416</v>
      </c>
      <c r="F67" s="6">
        <f>L66*0.7+M66*0.3</f>
        <v>0.76</v>
      </c>
      <c r="G67" s="7"/>
      <c r="H67" s="6" t="s">
        <v>119</v>
      </c>
      <c r="I67" s="6">
        <v>100</v>
      </c>
      <c r="J67" s="6"/>
      <c r="K67" s="6" t="s">
        <v>417</v>
      </c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6"/>
      <c r="B68" s="6"/>
      <c r="C68" s="6"/>
      <c r="D68" s="6" t="s">
        <v>418</v>
      </c>
      <c r="E68" s="6" t="s">
        <v>419</v>
      </c>
      <c r="F68" s="6">
        <f>L68*0.7+M68*0.3</f>
        <v>130</v>
      </c>
      <c r="G68" s="7">
        <f>F68*8.2/14*1.35*1.5</f>
        <v>154.189285714286</v>
      </c>
      <c r="H68" s="6" t="s">
        <v>119</v>
      </c>
      <c r="I68" s="6">
        <v>200</v>
      </c>
      <c r="J68" s="6" t="s">
        <v>408</v>
      </c>
      <c r="K68" s="6" t="s">
        <v>120</v>
      </c>
      <c r="L68" s="6">
        <v>100</v>
      </c>
      <c r="M68" s="6">
        <v>200</v>
      </c>
      <c r="N68" s="6" t="s">
        <v>420</v>
      </c>
      <c r="O68" s="6" t="s">
        <v>421</v>
      </c>
      <c r="P68" s="6"/>
      <c r="Q68" s="6"/>
      <c r="R68" s="6"/>
      <c r="S68" s="6"/>
      <c r="T68" s="6"/>
      <c r="U68" s="6"/>
    </row>
    <row r="69" spans="1:21">
      <c r="A69" s="6"/>
      <c r="B69" s="6"/>
      <c r="C69" s="6"/>
      <c r="D69" s="6" t="s">
        <v>422</v>
      </c>
      <c r="E69" s="6" t="s">
        <v>423</v>
      </c>
      <c r="F69" s="6">
        <f t="shared" si="1"/>
        <v>16.5</v>
      </c>
      <c r="G69" s="7">
        <f>F69</f>
        <v>16.5</v>
      </c>
      <c r="H69" s="6" t="s">
        <v>194</v>
      </c>
      <c r="I69" s="6"/>
      <c r="J69" s="6">
        <v>325</v>
      </c>
      <c r="K69" s="6" t="s">
        <v>371</v>
      </c>
      <c r="L69" s="6">
        <v>15</v>
      </c>
      <c r="M69" s="6">
        <v>20</v>
      </c>
      <c r="N69" s="6"/>
      <c r="O69" s="6"/>
      <c r="P69" s="6"/>
      <c r="Q69" s="6"/>
      <c r="R69" s="6"/>
      <c r="S69" s="6"/>
      <c r="T69" s="6"/>
      <c r="U69" s="6"/>
    </row>
    <row r="70" spans="1:21">
      <c r="A70" s="6"/>
      <c r="B70" s="6"/>
      <c r="C70" s="6"/>
      <c r="D70" s="6" t="s">
        <v>424</v>
      </c>
      <c r="E70" s="6" t="s">
        <v>425</v>
      </c>
      <c r="F70" s="6">
        <f t="shared" si="1"/>
        <v>370</v>
      </c>
      <c r="G70" s="7">
        <f>F70/3.5</f>
        <v>105.714285714286</v>
      </c>
      <c r="H70" s="6" t="s">
        <v>119</v>
      </c>
      <c r="I70" s="6">
        <v>100</v>
      </c>
      <c r="J70" s="6"/>
      <c r="K70" s="6" t="s">
        <v>426</v>
      </c>
      <c r="L70" s="6">
        <v>400</v>
      </c>
      <c r="M70" s="6">
        <v>300</v>
      </c>
      <c r="N70" s="6"/>
      <c r="O70" s="6"/>
      <c r="P70" s="6"/>
      <c r="Q70" s="6"/>
      <c r="R70" s="6"/>
      <c r="S70" s="6"/>
      <c r="T70" s="6"/>
      <c r="U70" s="6"/>
    </row>
    <row r="71" spans="1:21">
      <c r="A71" s="6"/>
      <c r="B71" s="6"/>
      <c r="C71" s="6"/>
      <c r="D71" s="6" t="s">
        <v>427</v>
      </c>
      <c r="E71" s="6" t="s">
        <v>428</v>
      </c>
      <c r="F71" s="6">
        <f t="shared" si="1"/>
        <v>0</v>
      </c>
      <c r="G71" s="7"/>
      <c r="H71" s="6" t="s">
        <v>111</v>
      </c>
      <c r="I71" s="6">
        <v>10000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11"/>
      <c r="B72" s="6"/>
      <c r="C72" s="6"/>
      <c r="D72" s="6" t="s">
        <v>429</v>
      </c>
      <c r="E72" s="6" t="s">
        <v>430</v>
      </c>
      <c r="F72" s="6">
        <f t="shared" si="1"/>
        <v>30.8</v>
      </c>
      <c r="G72" s="7">
        <f>F72*6/12*1.3*1.35*1.5</f>
        <v>40.5405</v>
      </c>
      <c r="H72" s="6" t="s">
        <v>119</v>
      </c>
      <c r="I72" s="6">
        <v>350</v>
      </c>
      <c r="J72" s="6" t="s">
        <v>431</v>
      </c>
      <c r="K72" s="6" t="s">
        <v>432</v>
      </c>
      <c r="L72" s="6">
        <v>30.8</v>
      </c>
      <c r="M72" s="6">
        <v>30.8</v>
      </c>
      <c r="N72" s="6" t="s">
        <v>433</v>
      </c>
      <c r="O72" s="6" t="s">
        <v>434</v>
      </c>
      <c r="P72" s="6" t="s">
        <v>435</v>
      </c>
      <c r="Q72" s="6"/>
      <c r="R72" s="6"/>
      <c r="S72" s="6"/>
      <c r="T72" s="6"/>
      <c r="U72" s="6"/>
    </row>
    <row r="73" spans="1:21">
      <c r="A73" s="11"/>
      <c r="B73" s="6"/>
      <c r="C73" s="6"/>
      <c r="D73" s="6" t="s">
        <v>436</v>
      </c>
      <c r="E73" s="6" t="s">
        <v>437</v>
      </c>
      <c r="F73" s="6">
        <f t="shared" si="1"/>
        <v>26</v>
      </c>
      <c r="G73" s="7">
        <f>F73*6/17*1.3*1.5</f>
        <v>17.8941176470588</v>
      </c>
      <c r="H73" s="6" t="s">
        <v>119</v>
      </c>
      <c r="I73" s="6">
        <v>260</v>
      </c>
      <c r="J73" s="6" t="s">
        <v>438</v>
      </c>
      <c r="K73" s="6" t="s">
        <v>439</v>
      </c>
      <c r="L73" s="6">
        <v>26</v>
      </c>
      <c r="M73" s="6">
        <v>26</v>
      </c>
      <c r="N73" s="6" t="s">
        <v>196</v>
      </c>
      <c r="O73" s="6" t="s">
        <v>440</v>
      </c>
      <c r="P73" s="6"/>
      <c r="Q73" s="6"/>
      <c r="R73" s="6"/>
      <c r="S73" s="6"/>
      <c r="T73" s="6"/>
      <c r="U73" s="6"/>
    </row>
    <row r="74" spans="1:21">
      <c r="A74" s="11"/>
      <c r="B74" s="6"/>
      <c r="C74" s="6"/>
      <c r="D74" s="6" t="s">
        <v>441</v>
      </c>
      <c r="E74" s="6" t="s">
        <v>442</v>
      </c>
      <c r="F74" s="6">
        <f t="shared" si="1"/>
        <v>80</v>
      </c>
      <c r="G74" s="7">
        <f>F74/21*11/4*1.35*1.23*1.2*1.5*2.5</f>
        <v>78.2807142857143</v>
      </c>
      <c r="H74" s="6" t="s">
        <v>119</v>
      </c>
      <c r="I74" s="6">
        <v>200</v>
      </c>
      <c r="J74" s="6" t="s">
        <v>125</v>
      </c>
      <c r="K74" s="6" t="s">
        <v>443</v>
      </c>
      <c r="L74" s="6">
        <v>80</v>
      </c>
      <c r="M74" s="6">
        <v>80</v>
      </c>
      <c r="N74" s="6" t="s">
        <v>228</v>
      </c>
      <c r="O74" s="6" t="s">
        <v>444</v>
      </c>
      <c r="P74" s="6" t="s">
        <v>368</v>
      </c>
      <c r="Q74" s="6" t="s">
        <v>445</v>
      </c>
      <c r="R74" s="6" t="s">
        <v>186</v>
      </c>
      <c r="S74" s="6"/>
      <c r="T74" s="6"/>
      <c r="U74" s="6"/>
    </row>
    <row r="75" spans="1:21">
      <c r="A75" s="11"/>
      <c r="B75" s="6"/>
      <c r="C75" s="6"/>
      <c r="D75" s="6" t="s">
        <v>446</v>
      </c>
      <c r="E75" s="6" t="s">
        <v>447</v>
      </c>
      <c r="F75" s="6">
        <f t="shared" si="1"/>
        <v>26.6</v>
      </c>
      <c r="G75" s="7">
        <f>F75*6/8*1.35*1.2*1.33*1.23</f>
        <v>52.8706521</v>
      </c>
      <c r="H75" s="6" t="s">
        <v>119</v>
      </c>
      <c r="I75" s="6">
        <v>350</v>
      </c>
      <c r="J75" s="6" t="s">
        <v>448</v>
      </c>
      <c r="K75" s="6" t="s">
        <v>449</v>
      </c>
      <c r="L75" s="6">
        <v>26.6</v>
      </c>
      <c r="M75" s="6">
        <v>26.6</v>
      </c>
      <c r="N75" s="6" t="s">
        <v>450</v>
      </c>
      <c r="O75" s="6" t="s">
        <v>451</v>
      </c>
      <c r="P75" s="6" t="s">
        <v>452</v>
      </c>
      <c r="Q75" s="6" t="s">
        <v>453</v>
      </c>
      <c r="R75" s="6"/>
      <c r="S75" s="6"/>
      <c r="T75" s="6"/>
      <c r="U75" s="6"/>
    </row>
    <row r="76" spans="1:21">
      <c r="A76" s="11"/>
      <c r="B76" s="6"/>
      <c r="C76" s="6"/>
      <c r="D76" s="6" t="s">
        <v>454</v>
      </c>
      <c r="E76" s="6" t="s">
        <v>455</v>
      </c>
      <c r="F76" s="6">
        <f t="shared" si="1"/>
        <v>13.2</v>
      </c>
      <c r="G76" s="7">
        <f>F76*5*0.25</f>
        <v>16.5</v>
      </c>
      <c r="H76" s="6" t="s">
        <v>111</v>
      </c>
      <c r="I76" s="6">
        <v>2000</v>
      </c>
      <c r="J76" s="6">
        <v>500</v>
      </c>
      <c r="K76" s="9">
        <v>0.25</v>
      </c>
      <c r="L76" s="6">
        <v>12</v>
      </c>
      <c r="M76" s="6">
        <v>16</v>
      </c>
      <c r="O76" s="6"/>
      <c r="P76" s="6"/>
      <c r="Q76" s="6"/>
      <c r="R76" s="6"/>
      <c r="S76" s="6"/>
      <c r="T76" s="6"/>
      <c r="U76" s="6"/>
    </row>
    <row r="77" spans="1:21">
      <c r="A77" s="11"/>
      <c r="B77" s="6"/>
      <c r="C77" s="6"/>
      <c r="D77" s="6" t="s">
        <v>456</v>
      </c>
      <c r="E77" s="6" t="s">
        <v>457</v>
      </c>
      <c r="F77" s="6">
        <f t="shared" ref="F77:F108" si="2">L77*0.7+M77*0.3</f>
        <v>7.2</v>
      </c>
      <c r="G77" s="7">
        <f>F77*5/25*5*1.3*1.2*1.33</f>
        <v>14.93856</v>
      </c>
      <c r="H77" s="6" t="s">
        <v>119</v>
      </c>
      <c r="I77" s="6">
        <v>250</v>
      </c>
      <c r="J77" s="6">
        <v>500</v>
      </c>
      <c r="K77" s="6" t="s">
        <v>458</v>
      </c>
      <c r="L77" s="6">
        <v>7.2</v>
      </c>
      <c r="M77" s="6">
        <v>7.2</v>
      </c>
      <c r="N77" s="6" t="s">
        <v>459</v>
      </c>
      <c r="O77" s="6" t="s">
        <v>460</v>
      </c>
      <c r="P77" s="6" t="s">
        <v>461</v>
      </c>
      <c r="Q77" s="6"/>
      <c r="R77" s="6"/>
      <c r="S77" s="6"/>
      <c r="T77" s="6"/>
      <c r="U77" s="6"/>
    </row>
    <row r="78" spans="1:21">
      <c r="A78" s="11"/>
      <c r="B78" s="6"/>
      <c r="C78" s="6"/>
      <c r="D78" s="6" t="s">
        <v>462</v>
      </c>
      <c r="E78" s="6" t="s">
        <v>463</v>
      </c>
      <c r="F78" s="6">
        <f t="shared" si="2"/>
        <v>38.7</v>
      </c>
      <c r="G78" s="7">
        <f>F78*3.5/13*1.3*1.27*1.25</f>
        <v>21.5026875</v>
      </c>
      <c r="H78" s="6" t="s">
        <v>119</v>
      </c>
      <c r="I78" s="6">
        <v>950</v>
      </c>
      <c r="J78" s="6" t="s">
        <v>464</v>
      </c>
      <c r="K78" s="6" t="s">
        <v>465</v>
      </c>
      <c r="L78" s="6">
        <v>38.7</v>
      </c>
      <c r="M78" s="6">
        <v>38.7</v>
      </c>
      <c r="N78" s="6" t="s">
        <v>189</v>
      </c>
      <c r="O78" s="6" t="s">
        <v>466</v>
      </c>
      <c r="P78" s="6" t="s">
        <v>467</v>
      </c>
      <c r="Q78" s="6"/>
      <c r="R78" s="6"/>
      <c r="S78" s="6"/>
      <c r="T78" s="6"/>
      <c r="U78" s="6"/>
    </row>
    <row r="79" spans="1:21">
      <c r="A79" s="11"/>
      <c r="B79" s="6"/>
      <c r="C79" s="6"/>
      <c r="D79" s="6" t="s">
        <v>468</v>
      </c>
      <c r="E79" s="6" t="s">
        <v>469</v>
      </c>
      <c r="F79" s="6">
        <f t="shared" si="2"/>
        <v>40</v>
      </c>
      <c r="G79" s="7">
        <f>F79*3.5/9*1.3*1.35</f>
        <v>27.3</v>
      </c>
      <c r="H79" s="6" t="s">
        <v>119</v>
      </c>
      <c r="I79" s="6">
        <v>250</v>
      </c>
      <c r="J79" s="6">
        <v>350</v>
      </c>
      <c r="K79" s="6" t="s">
        <v>470</v>
      </c>
      <c r="L79" s="6">
        <v>40</v>
      </c>
      <c r="M79" s="6">
        <v>40</v>
      </c>
      <c r="N79" s="6" t="s">
        <v>471</v>
      </c>
      <c r="O79" s="6" t="s">
        <v>472</v>
      </c>
      <c r="P79" s="6"/>
      <c r="Q79" s="6"/>
      <c r="R79" s="6"/>
      <c r="S79" s="6"/>
      <c r="T79" s="6"/>
      <c r="U79" s="6"/>
    </row>
    <row r="80" spans="1:21">
      <c r="A80" s="11"/>
      <c r="B80" s="6"/>
      <c r="C80" s="6"/>
      <c r="D80" s="6" t="s">
        <v>473</v>
      </c>
      <c r="E80" s="6" t="s">
        <v>474</v>
      </c>
      <c r="F80" s="6">
        <f t="shared" si="2"/>
        <v>36</v>
      </c>
      <c r="G80" s="7">
        <f>F80/16*8*1.25*1.4*1.15*1.23*1.3</f>
        <v>57.923775</v>
      </c>
      <c r="H80" s="6" t="s">
        <v>119</v>
      </c>
      <c r="I80" s="6">
        <v>3000</v>
      </c>
      <c r="J80" s="6">
        <v>350</v>
      </c>
      <c r="K80" s="6" t="s">
        <v>475</v>
      </c>
      <c r="L80" s="6">
        <v>36</v>
      </c>
      <c r="M80" s="6">
        <v>36</v>
      </c>
      <c r="N80" s="6" t="s">
        <v>476</v>
      </c>
      <c r="O80" s="6" t="s">
        <v>201</v>
      </c>
      <c r="P80" s="6" t="s">
        <v>477</v>
      </c>
      <c r="Q80" s="6" t="s">
        <v>478</v>
      </c>
      <c r="R80" s="6" t="s">
        <v>479</v>
      </c>
      <c r="S80" s="6"/>
      <c r="T80" s="6"/>
      <c r="U80" s="6"/>
    </row>
    <row r="81" spans="1:21">
      <c r="A81" s="11"/>
      <c r="B81" s="6"/>
      <c r="C81" s="6"/>
      <c r="D81" s="6" t="s">
        <v>480</v>
      </c>
      <c r="E81" s="6" t="s">
        <v>481</v>
      </c>
      <c r="F81" s="6">
        <f t="shared" si="2"/>
        <v>3</v>
      </c>
      <c r="G81" s="7">
        <f>F81*5*0.21*1.5</f>
        <v>4.725</v>
      </c>
      <c r="H81" s="6" t="s">
        <v>111</v>
      </c>
      <c r="I81" s="6">
        <v>2000</v>
      </c>
      <c r="J81" s="6">
        <v>500</v>
      </c>
      <c r="K81" s="6" t="s">
        <v>161</v>
      </c>
      <c r="L81" s="6">
        <v>3</v>
      </c>
      <c r="M81" s="6">
        <v>3</v>
      </c>
      <c r="N81" s="6" t="s">
        <v>482</v>
      </c>
      <c r="O81" s="6"/>
      <c r="P81" s="6"/>
      <c r="Q81" s="6"/>
      <c r="R81" s="6"/>
      <c r="S81" s="6"/>
      <c r="T81" s="6"/>
      <c r="U81" s="6"/>
    </row>
    <row r="82" spans="1:21">
      <c r="A82" s="11"/>
      <c r="B82" s="6"/>
      <c r="C82" s="6"/>
      <c r="D82" s="6" t="s">
        <v>483</v>
      </c>
      <c r="E82" s="6" t="s">
        <v>484</v>
      </c>
      <c r="F82" s="6">
        <f t="shared" si="2"/>
        <v>18.8</v>
      </c>
      <c r="G82" s="7">
        <f>F82*0.21*1.5</f>
        <v>5.922</v>
      </c>
      <c r="H82" s="6" t="s">
        <v>111</v>
      </c>
      <c r="I82" s="6">
        <v>1500</v>
      </c>
      <c r="J82" s="6" t="s">
        <v>125</v>
      </c>
      <c r="K82" s="6" t="s">
        <v>161</v>
      </c>
      <c r="L82" s="6">
        <v>20</v>
      </c>
      <c r="M82" s="6">
        <v>16</v>
      </c>
      <c r="N82" s="6" t="s">
        <v>482</v>
      </c>
      <c r="O82" s="6"/>
      <c r="P82" s="6"/>
      <c r="Q82" s="6"/>
      <c r="R82" s="6"/>
      <c r="S82" s="6"/>
      <c r="T82" s="6"/>
      <c r="U82" s="6"/>
    </row>
    <row r="83" spans="1:21">
      <c r="A83" s="11"/>
      <c r="B83" s="6"/>
      <c r="C83" s="6"/>
      <c r="D83" s="6" t="s">
        <v>485</v>
      </c>
      <c r="E83" s="6" t="s">
        <v>486</v>
      </c>
      <c r="F83" s="6">
        <f t="shared" si="2"/>
        <v>9.4</v>
      </c>
      <c r="G83" s="7">
        <f>F83*0.21*1.3*1.4*2.5</f>
        <v>8.9817</v>
      </c>
      <c r="H83" s="6" t="s">
        <v>194</v>
      </c>
      <c r="I83" s="6">
        <v>1200</v>
      </c>
      <c r="J83" s="6" t="s">
        <v>125</v>
      </c>
      <c r="K83" s="6" t="s">
        <v>487</v>
      </c>
      <c r="L83" s="6">
        <v>10</v>
      </c>
      <c r="M83" s="6">
        <v>8</v>
      </c>
      <c r="N83" s="6" t="s">
        <v>206</v>
      </c>
      <c r="O83" s="6" t="s">
        <v>488</v>
      </c>
      <c r="P83" s="6" t="s">
        <v>489</v>
      </c>
      <c r="Q83" s="6"/>
      <c r="R83" s="6"/>
      <c r="S83" s="6"/>
      <c r="T83" s="6"/>
      <c r="U83" s="6"/>
    </row>
    <row r="84" spans="1:21">
      <c r="A84" s="11"/>
      <c r="B84" s="6"/>
      <c r="C84" s="6"/>
      <c r="D84" s="6" t="s">
        <v>490</v>
      </c>
      <c r="E84" s="6" t="s">
        <v>491</v>
      </c>
      <c r="F84" s="6">
        <f t="shared" si="2"/>
        <v>23</v>
      </c>
      <c r="G84" s="7">
        <f>F84*5/3/5*1.5*2</f>
        <v>23</v>
      </c>
      <c r="H84" s="6" t="s">
        <v>119</v>
      </c>
      <c r="I84" s="6">
        <v>700</v>
      </c>
      <c r="J84" s="6">
        <v>500</v>
      </c>
      <c r="K84" s="6" t="s">
        <v>492</v>
      </c>
      <c r="L84" s="6">
        <v>20</v>
      </c>
      <c r="M84" s="6">
        <v>30</v>
      </c>
      <c r="N84" s="6" t="s">
        <v>493</v>
      </c>
      <c r="O84" s="6" t="s">
        <v>494</v>
      </c>
      <c r="P84" s="6"/>
      <c r="Q84" s="6"/>
      <c r="R84" s="6"/>
      <c r="S84" s="6"/>
      <c r="T84" s="6"/>
      <c r="U84" s="6"/>
    </row>
    <row r="85" spans="1:21">
      <c r="A85" s="11"/>
      <c r="B85" s="6"/>
      <c r="C85" s="6"/>
      <c r="D85" s="6" t="s">
        <v>495</v>
      </c>
      <c r="E85" s="6"/>
      <c r="F85" s="6">
        <f t="shared" si="2"/>
        <v>1040</v>
      </c>
      <c r="G85" s="7">
        <f>F85/3/5</f>
        <v>69.3333333333333</v>
      </c>
      <c r="H85" s="6" t="s">
        <v>119</v>
      </c>
      <c r="I85" s="6">
        <v>700</v>
      </c>
      <c r="J85" s="6">
        <v>500</v>
      </c>
      <c r="K85" s="6" t="s">
        <v>492</v>
      </c>
      <c r="L85" s="6">
        <v>800</v>
      </c>
      <c r="M85" s="6">
        <v>1600</v>
      </c>
      <c r="N85" s="6"/>
      <c r="O85" s="6"/>
      <c r="P85" s="6"/>
      <c r="Q85" s="6"/>
      <c r="R85" s="6"/>
      <c r="S85" s="6"/>
      <c r="T85" s="6"/>
      <c r="U85" s="6"/>
    </row>
    <row r="86" spans="1:21">
      <c r="A86" s="11"/>
      <c r="B86" s="6"/>
      <c r="C86" s="6"/>
      <c r="D86" s="6" t="s">
        <v>496</v>
      </c>
      <c r="E86" s="6" t="s">
        <v>497</v>
      </c>
      <c r="F86" s="6">
        <f t="shared" si="2"/>
        <v>60</v>
      </c>
      <c r="G86" s="12">
        <f>F86*8/180*15*3</f>
        <v>120</v>
      </c>
      <c r="H86" s="6" t="s">
        <v>119</v>
      </c>
      <c r="I86" s="6">
        <v>100</v>
      </c>
      <c r="J86" s="6">
        <v>800</v>
      </c>
      <c r="K86" s="6" t="s">
        <v>498</v>
      </c>
      <c r="L86" s="6">
        <v>60</v>
      </c>
      <c r="M86" s="6">
        <v>60</v>
      </c>
      <c r="N86" s="6" t="s">
        <v>499</v>
      </c>
      <c r="O86" s="11"/>
      <c r="P86" s="11"/>
      <c r="Q86" s="11"/>
      <c r="R86" s="11"/>
      <c r="S86" s="11"/>
      <c r="T86" s="11"/>
      <c r="U86" s="11"/>
    </row>
    <row r="87" spans="1:21">
      <c r="A87" s="11"/>
      <c r="B87" s="6"/>
      <c r="C87" s="6"/>
      <c r="D87" s="6" t="s">
        <v>500</v>
      </c>
      <c r="E87" s="6"/>
      <c r="F87" s="6">
        <f t="shared" si="2"/>
        <v>70</v>
      </c>
      <c r="G87" s="12">
        <f>F87*3*0.08*30*3</f>
        <v>1512</v>
      </c>
      <c r="H87" s="6"/>
      <c r="I87" s="6"/>
      <c r="J87" s="6">
        <v>300</v>
      </c>
      <c r="K87" s="9" t="s">
        <v>501</v>
      </c>
      <c r="L87" s="6">
        <v>70</v>
      </c>
      <c r="M87" s="6">
        <v>70</v>
      </c>
      <c r="N87" s="6" t="s">
        <v>499</v>
      </c>
      <c r="O87" s="11"/>
      <c r="P87" s="11"/>
      <c r="Q87" s="11"/>
      <c r="R87" s="11"/>
      <c r="S87" s="11"/>
      <c r="T87" s="11"/>
      <c r="U87" s="11"/>
    </row>
    <row r="88" spans="1:21">
      <c r="A88" s="11"/>
      <c r="B88" s="6"/>
      <c r="C88" s="6"/>
      <c r="D88" s="6" t="s">
        <v>502</v>
      </c>
      <c r="E88" s="6" t="s">
        <v>503</v>
      </c>
      <c r="F88" s="6">
        <f t="shared" si="2"/>
        <v>4</v>
      </c>
      <c r="G88" s="12">
        <f>F88*4.5*48/140*3</f>
        <v>18.5142857142857</v>
      </c>
      <c r="H88" s="6" t="s">
        <v>119</v>
      </c>
      <c r="I88" s="6">
        <v>120</v>
      </c>
      <c r="J88" s="6" t="s">
        <v>504</v>
      </c>
      <c r="K88" s="6" t="s">
        <v>505</v>
      </c>
      <c r="L88" s="6">
        <v>4</v>
      </c>
      <c r="M88" s="6">
        <v>4</v>
      </c>
      <c r="N88" s="6" t="s">
        <v>499</v>
      </c>
      <c r="O88" s="11"/>
      <c r="P88" s="11"/>
      <c r="Q88" s="11"/>
      <c r="R88" s="11"/>
      <c r="S88" s="11"/>
      <c r="T88" s="11"/>
      <c r="U88" s="11"/>
    </row>
    <row r="89" spans="1:21">
      <c r="A89" s="11"/>
      <c r="B89" s="6"/>
      <c r="C89" s="6"/>
      <c r="D89" s="6" t="s">
        <v>506</v>
      </c>
      <c r="E89" s="6"/>
      <c r="F89" s="6">
        <f t="shared" si="2"/>
        <v>44</v>
      </c>
      <c r="G89" s="12">
        <f>F89*0.4*15*3</f>
        <v>792</v>
      </c>
      <c r="H89" s="6" t="s">
        <v>111</v>
      </c>
      <c r="I89" s="6"/>
      <c r="J89" s="6">
        <v>600</v>
      </c>
      <c r="K89" s="9" t="s">
        <v>507</v>
      </c>
      <c r="L89" s="6">
        <v>44</v>
      </c>
      <c r="M89" s="6">
        <v>44</v>
      </c>
      <c r="N89" s="6" t="s">
        <v>499</v>
      </c>
      <c r="O89" s="11"/>
      <c r="P89" s="11"/>
      <c r="Q89" s="11"/>
      <c r="R89" s="11"/>
      <c r="S89" s="11"/>
      <c r="T89" s="11"/>
      <c r="U89" s="11"/>
    </row>
    <row r="90" spans="1:21">
      <c r="A90" s="11"/>
      <c r="B90" s="6"/>
      <c r="C90" s="6"/>
      <c r="D90" s="6" t="s">
        <v>508</v>
      </c>
      <c r="E90" s="6" t="s">
        <v>509</v>
      </c>
      <c r="F90" s="6">
        <f t="shared" si="2"/>
        <v>33</v>
      </c>
      <c r="G90" s="12">
        <f>F90*6/160*13*3</f>
        <v>48.2625</v>
      </c>
      <c r="H90" s="6" t="s">
        <v>119</v>
      </c>
      <c r="I90" s="6">
        <v>90</v>
      </c>
      <c r="J90" s="6">
        <v>600</v>
      </c>
      <c r="K90" s="6" t="s">
        <v>510</v>
      </c>
      <c r="L90" s="6">
        <v>33</v>
      </c>
      <c r="M90" s="6">
        <v>33</v>
      </c>
      <c r="N90" s="6" t="s">
        <v>499</v>
      </c>
      <c r="O90" s="11"/>
      <c r="P90" s="11"/>
      <c r="Q90" s="11"/>
      <c r="R90" s="11"/>
      <c r="S90" s="11"/>
      <c r="T90" s="11"/>
      <c r="U90" s="11"/>
    </row>
    <row r="91" spans="1:21">
      <c r="A91" s="11"/>
      <c r="B91" s="6"/>
      <c r="C91" s="6"/>
      <c r="D91" s="6" t="s">
        <v>511</v>
      </c>
      <c r="E91" s="6"/>
      <c r="F91" s="6">
        <f t="shared" si="2"/>
        <v>36</v>
      </c>
      <c r="G91" s="12">
        <f>F91*2.46*0.06*60*3</f>
        <v>956.448</v>
      </c>
      <c r="H91" s="6" t="s">
        <v>111</v>
      </c>
      <c r="I91" s="6"/>
      <c r="J91" s="6" t="s">
        <v>243</v>
      </c>
      <c r="K91" s="9" t="s">
        <v>512</v>
      </c>
      <c r="L91" s="6">
        <v>36</v>
      </c>
      <c r="M91" s="6">
        <v>36</v>
      </c>
      <c r="N91" s="6" t="s">
        <v>499</v>
      </c>
      <c r="O91" s="11"/>
      <c r="P91" s="11"/>
      <c r="Q91" s="11"/>
      <c r="R91" s="11"/>
      <c r="S91" s="11"/>
      <c r="T91" s="11"/>
      <c r="U91" s="11"/>
    </row>
    <row r="92" spans="1:21">
      <c r="A92" s="11"/>
      <c r="B92" s="6"/>
      <c r="C92" s="6"/>
      <c r="D92" s="6" t="s">
        <v>513</v>
      </c>
      <c r="E92" s="6" t="s">
        <v>514</v>
      </c>
      <c r="F92" s="6">
        <f t="shared" si="2"/>
        <v>50</v>
      </c>
      <c r="G92" s="12">
        <f>F92*9/160*10*3</f>
        <v>84.375</v>
      </c>
      <c r="H92" s="6" t="s">
        <v>119</v>
      </c>
      <c r="I92" s="6">
        <v>90</v>
      </c>
      <c r="J92" s="6">
        <v>900</v>
      </c>
      <c r="K92" s="6" t="s">
        <v>515</v>
      </c>
      <c r="L92" s="6">
        <v>50</v>
      </c>
      <c r="M92" s="6">
        <v>50</v>
      </c>
      <c r="N92" s="6" t="s">
        <v>499</v>
      </c>
      <c r="O92" s="11"/>
      <c r="P92" s="11"/>
      <c r="Q92" s="11"/>
      <c r="R92" s="11"/>
      <c r="S92" s="11"/>
      <c r="T92" s="11"/>
      <c r="U92" s="11"/>
    </row>
    <row r="93" spans="1:21">
      <c r="A93" s="11"/>
      <c r="B93" s="6"/>
      <c r="C93" s="6"/>
      <c r="D93" s="6" t="s">
        <v>516</v>
      </c>
      <c r="E93" s="6"/>
      <c r="F93" s="6">
        <f t="shared" si="2"/>
        <v>40</v>
      </c>
      <c r="G93" s="12">
        <f>F93*8*0.1*3</f>
        <v>96</v>
      </c>
      <c r="H93" s="6" t="s">
        <v>111</v>
      </c>
      <c r="I93" s="6"/>
      <c r="J93" s="6">
        <v>800</v>
      </c>
      <c r="K93" s="9">
        <v>0.1</v>
      </c>
      <c r="L93" s="6">
        <v>40</v>
      </c>
      <c r="M93" s="6">
        <v>40</v>
      </c>
      <c r="N93" s="6" t="s">
        <v>499</v>
      </c>
      <c r="O93" s="11"/>
      <c r="P93" s="11"/>
      <c r="Q93" s="11"/>
      <c r="R93" s="11"/>
      <c r="S93" s="11"/>
      <c r="T93" s="11"/>
      <c r="U93" s="11"/>
    </row>
    <row r="94" spans="1:21">
      <c r="A94" s="11"/>
      <c r="B94" s="6"/>
      <c r="C94" s="6"/>
      <c r="D94" s="6" t="s">
        <v>517</v>
      </c>
      <c r="E94" s="6"/>
      <c r="F94" s="6">
        <f t="shared" si="2"/>
        <v>20</v>
      </c>
      <c r="G94" s="12">
        <f>F94*8*0.1*3*3</f>
        <v>144</v>
      </c>
      <c r="H94" s="6" t="s">
        <v>111</v>
      </c>
      <c r="I94" s="6"/>
      <c r="J94" s="6" t="s">
        <v>518</v>
      </c>
      <c r="K94" s="9" t="s">
        <v>519</v>
      </c>
      <c r="L94" s="6">
        <v>20</v>
      </c>
      <c r="M94" s="6">
        <v>20</v>
      </c>
      <c r="N94" s="6" t="s">
        <v>499</v>
      </c>
      <c r="O94" s="11"/>
      <c r="P94" s="11"/>
      <c r="Q94" s="11"/>
      <c r="R94" s="11"/>
      <c r="S94" s="11"/>
      <c r="T94" s="11"/>
      <c r="U94" s="11"/>
    </row>
    <row r="95" spans="1:21">
      <c r="A95" s="11"/>
      <c r="B95" s="6"/>
      <c r="C95" s="6"/>
      <c r="D95" s="6" t="s">
        <v>520</v>
      </c>
      <c r="E95" s="6" t="s">
        <v>521</v>
      </c>
      <c r="F95" s="6">
        <f t="shared" si="2"/>
        <v>30</v>
      </c>
      <c r="G95" s="12">
        <f>F95*6.5/205*19/0.3/2*3</f>
        <v>90.3658536585366</v>
      </c>
      <c r="H95" s="6" t="s">
        <v>119</v>
      </c>
      <c r="I95" s="6">
        <v>90</v>
      </c>
      <c r="J95" s="6">
        <v>650</v>
      </c>
      <c r="K95" s="6" t="s">
        <v>522</v>
      </c>
      <c r="L95" s="6">
        <v>30</v>
      </c>
      <c r="M95" s="6">
        <v>30</v>
      </c>
      <c r="N95" s="6" t="s">
        <v>499</v>
      </c>
      <c r="O95" s="11"/>
      <c r="P95" s="11"/>
      <c r="Q95" s="11"/>
      <c r="R95" s="11"/>
      <c r="S95" s="11"/>
      <c r="T95" s="11"/>
      <c r="U95" s="11"/>
    </row>
    <row r="96" spans="1:21">
      <c r="A96" s="11"/>
      <c r="B96" s="6"/>
      <c r="C96" s="6"/>
      <c r="D96" s="6" t="s">
        <v>523</v>
      </c>
      <c r="E96" s="6"/>
      <c r="F96" s="6">
        <f t="shared" si="2"/>
        <v>44</v>
      </c>
      <c r="G96" s="12">
        <f>F96*2.5*0.1*19*3</f>
        <v>627</v>
      </c>
      <c r="H96" s="6" t="s">
        <v>111</v>
      </c>
      <c r="I96" s="6"/>
      <c r="J96" s="6">
        <v>250</v>
      </c>
      <c r="K96" s="9" t="s">
        <v>524</v>
      </c>
      <c r="L96" s="6">
        <v>44</v>
      </c>
      <c r="M96" s="6">
        <v>44</v>
      </c>
      <c r="N96" s="6" t="s">
        <v>499</v>
      </c>
      <c r="O96" s="11"/>
      <c r="P96" s="11"/>
      <c r="Q96" s="11"/>
      <c r="R96" s="11"/>
      <c r="S96" s="11"/>
      <c r="T96" s="11"/>
      <c r="U96" s="11"/>
    </row>
    <row r="97" spans="1:21">
      <c r="A97" s="11"/>
      <c r="B97" s="6"/>
      <c r="C97" s="6"/>
      <c r="D97" s="6" t="s">
        <v>525</v>
      </c>
      <c r="E97" s="6" t="s">
        <v>526</v>
      </c>
      <c r="F97" s="6">
        <f t="shared" si="2"/>
        <v>43</v>
      </c>
      <c r="G97" s="12">
        <f>F97*6/175*10*3</f>
        <v>44.2285714285714</v>
      </c>
      <c r="H97" s="6" t="s">
        <v>119</v>
      </c>
      <c r="I97" s="6">
        <v>80</v>
      </c>
      <c r="J97" s="6">
        <v>600</v>
      </c>
      <c r="K97" s="6" t="s">
        <v>527</v>
      </c>
      <c r="L97" s="6">
        <v>43</v>
      </c>
      <c r="M97" s="6">
        <v>43</v>
      </c>
      <c r="N97" s="6" t="s">
        <v>499</v>
      </c>
      <c r="O97" s="11"/>
      <c r="P97" s="11"/>
      <c r="Q97" s="11"/>
      <c r="R97" s="11"/>
      <c r="S97" s="11"/>
      <c r="T97" s="11"/>
      <c r="U97" s="11"/>
    </row>
    <row r="98" spans="1:21">
      <c r="A98" s="11"/>
      <c r="B98" s="6"/>
      <c r="C98" s="6"/>
      <c r="D98" s="6" t="s">
        <v>528</v>
      </c>
      <c r="E98" s="6"/>
      <c r="F98" s="6">
        <f t="shared" si="2"/>
        <v>18</v>
      </c>
      <c r="G98" s="12">
        <f>F98*2*3*0.05*25*3</f>
        <v>405</v>
      </c>
      <c r="H98" s="6" t="s">
        <v>111</v>
      </c>
      <c r="I98" s="6"/>
      <c r="J98" s="6" t="s">
        <v>529</v>
      </c>
      <c r="K98" s="9" t="s">
        <v>530</v>
      </c>
      <c r="L98" s="6">
        <v>18</v>
      </c>
      <c r="M98" s="6">
        <v>18</v>
      </c>
      <c r="N98" s="6" t="s">
        <v>499</v>
      </c>
      <c r="O98" s="11"/>
      <c r="P98" s="11"/>
      <c r="Q98" s="11"/>
      <c r="R98" s="11"/>
      <c r="S98" s="11"/>
      <c r="T98" s="11"/>
      <c r="U98" s="11"/>
    </row>
    <row r="99" spans="1:21">
      <c r="A99" s="11"/>
      <c r="B99" s="6"/>
      <c r="C99" s="6"/>
      <c r="D99" s="6" t="s">
        <v>531</v>
      </c>
      <c r="E99" s="6" t="s">
        <v>532</v>
      </c>
      <c r="F99" s="6">
        <f t="shared" si="2"/>
        <v>20</v>
      </c>
      <c r="G99" s="12">
        <f>F99*3.5/165*25*3</f>
        <v>31.8181818181818</v>
      </c>
      <c r="H99" s="6" t="s">
        <v>119</v>
      </c>
      <c r="I99" s="6">
        <v>100</v>
      </c>
      <c r="J99" s="6">
        <v>350</v>
      </c>
      <c r="K99" s="6" t="s">
        <v>533</v>
      </c>
      <c r="L99" s="6">
        <v>20</v>
      </c>
      <c r="M99" s="6">
        <v>20</v>
      </c>
      <c r="N99" s="6" t="s">
        <v>499</v>
      </c>
      <c r="O99" s="11"/>
      <c r="P99" s="11"/>
      <c r="Q99" s="11"/>
      <c r="R99" s="11"/>
      <c r="S99" s="11"/>
      <c r="T99" s="11"/>
      <c r="U99" s="11"/>
    </row>
    <row r="100" spans="1:21">
      <c r="A100" s="11"/>
      <c r="B100" s="6"/>
      <c r="C100" s="6"/>
      <c r="D100" s="6" t="s">
        <v>534</v>
      </c>
      <c r="E100" s="6"/>
      <c r="F100" s="6">
        <f t="shared" si="2"/>
        <v>500</v>
      </c>
      <c r="G100" s="12">
        <f>F100*3*4*0.08*3</f>
        <v>1440</v>
      </c>
      <c r="H100" s="6" t="s">
        <v>111</v>
      </c>
      <c r="I100" s="6"/>
      <c r="J100" s="6" t="s">
        <v>535</v>
      </c>
      <c r="K100" s="9">
        <v>0.08</v>
      </c>
      <c r="L100" s="6">
        <v>500</v>
      </c>
      <c r="M100" s="6">
        <v>500</v>
      </c>
      <c r="N100" s="6" t="s">
        <v>499</v>
      </c>
      <c r="O100" s="11"/>
      <c r="P100" s="11"/>
      <c r="Q100" s="11"/>
      <c r="R100" s="11"/>
      <c r="S100" s="11"/>
      <c r="T100" s="11"/>
      <c r="U100" s="11"/>
    </row>
    <row r="101" spans="1:21">
      <c r="A101" s="11"/>
      <c r="B101" s="6"/>
      <c r="C101" s="6"/>
      <c r="D101" s="6" t="s">
        <v>536</v>
      </c>
      <c r="E101" s="6" t="s">
        <v>537</v>
      </c>
      <c r="F101" s="6">
        <f t="shared" si="2"/>
        <v>45</v>
      </c>
      <c r="G101" s="12">
        <f>F101*6/125*25*3*2</f>
        <v>324</v>
      </c>
      <c r="H101" s="6" t="s">
        <v>119</v>
      </c>
      <c r="I101" s="6">
        <v>125</v>
      </c>
      <c r="J101" s="6">
        <v>600</v>
      </c>
      <c r="K101" s="6" t="s">
        <v>538</v>
      </c>
      <c r="L101" s="6">
        <v>45</v>
      </c>
      <c r="M101" s="6">
        <v>45</v>
      </c>
      <c r="N101" s="6" t="s">
        <v>499</v>
      </c>
      <c r="O101" s="6" t="s">
        <v>539</v>
      </c>
      <c r="P101" s="11"/>
      <c r="Q101" s="11"/>
      <c r="R101" s="11"/>
      <c r="S101" s="11"/>
      <c r="T101" s="11"/>
      <c r="U101" s="11"/>
    </row>
    <row r="102" spans="1:21">
      <c r="A102" s="11"/>
      <c r="B102" s="6"/>
      <c r="C102" s="6"/>
      <c r="D102" s="6" t="s">
        <v>540</v>
      </c>
      <c r="E102" s="6"/>
      <c r="F102" s="6">
        <f t="shared" si="2"/>
        <v>42</v>
      </c>
      <c r="G102" s="12">
        <f>F102*6*0.05*3*12</f>
        <v>453.6</v>
      </c>
      <c r="H102" s="6" t="s">
        <v>111</v>
      </c>
      <c r="I102" s="6"/>
      <c r="J102" s="6" t="s">
        <v>541</v>
      </c>
      <c r="K102" s="9">
        <v>0.05</v>
      </c>
      <c r="L102" s="6">
        <v>42</v>
      </c>
      <c r="M102" s="6">
        <v>42</v>
      </c>
      <c r="N102" s="6" t="s">
        <v>499</v>
      </c>
      <c r="O102" s="6"/>
      <c r="P102" s="11"/>
      <c r="Q102" s="11"/>
      <c r="R102" s="11"/>
      <c r="S102" s="11"/>
      <c r="T102" s="11"/>
      <c r="U102" s="11"/>
    </row>
    <row r="103" spans="1:21">
      <c r="A103" s="11"/>
      <c r="B103" s="6"/>
      <c r="C103" s="6"/>
      <c r="D103" s="6" t="s">
        <v>542</v>
      </c>
      <c r="E103" s="6" t="s">
        <v>543</v>
      </c>
      <c r="F103" s="6">
        <f t="shared" si="2"/>
        <v>19</v>
      </c>
      <c r="G103" s="12">
        <f>F103/135*150*3</f>
        <v>63.3333333333333</v>
      </c>
      <c r="H103" s="6" t="s">
        <v>119</v>
      </c>
      <c r="I103" s="6">
        <v>100</v>
      </c>
      <c r="J103" s="11" t="s">
        <v>125</v>
      </c>
      <c r="K103" s="6" t="s">
        <v>544</v>
      </c>
      <c r="L103" s="6">
        <v>19</v>
      </c>
      <c r="M103" s="6">
        <v>19</v>
      </c>
      <c r="N103" s="6" t="s">
        <v>499</v>
      </c>
      <c r="O103" s="11"/>
      <c r="P103" s="11"/>
      <c r="Q103" s="11"/>
      <c r="R103" s="11"/>
      <c r="S103" s="11"/>
      <c r="T103" s="11"/>
      <c r="U103" s="11"/>
    </row>
    <row r="104" spans="1:21">
      <c r="A104" s="11"/>
      <c r="B104" s="6"/>
      <c r="C104" s="6"/>
      <c r="D104" s="6" t="s">
        <v>545</v>
      </c>
      <c r="E104" s="6"/>
      <c r="F104" s="6">
        <f t="shared" si="2"/>
        <v>300</v>
      </c>
      <c r="G104" s="12">
        <f>F104*15*0.1*3</f>
        <v>1350</v>
      </c>
      <c r="H104" s="6" t="s">
        <v>111</v>
      </c>
      <c r="I104" s="6"/>
      <c r="J104" s="11" t="s">
        <v>546</v>
      </c>
      <c r="K104" s="9">
        <v>0.1</v>
      </c>
      <c r="L104" s="6">
        <v>300</v>
      </c>
      <c r="M104" s="6">
        <v>300</v>
      </c>
      <c r="N104" s="6" t="s">
        <v>499</v>
      </c>
      <c r="O104" s="11"/>
      <c r="P104" s="11"/>
      <c r="Q104" s="11"/>
      <c r="R104" s="11"/>
      <c r="S104" s="11"/>
      <c r="T104" s="11"/>
      <c r="U104" s="11"/>
    </row>
    <row r="105" spans="1:21">
      <c r="A105" s="11"/>
      <c r="B105" s="6"/>
      <c r="C105" s="6"/>
      <c r="D105" s="6" t="s">
        <v>547</v>
      </c>
      <c r="E105" s="6" t="s">
        <v>548</v>
      </c>
      <c r="F105" s="6">
        <f t="shared" si="2"/>
        <v>35</v>
      </c>
      <c r="G105" s="12">
        <f>F105*6/180*3*2</f>
        <v>7</v>
      </c>
      <c r="H105" s="6" t="s">
        <v>119</v>
      </c>
      <c r="I105" s="6">
        <v>70</v>
      </c>
      <c r="J105" s="6">
        <v>600</v>
      </c>
      <c r="K105" s="6" t="s">
        <v>549</v>
      </c>
      <c r="L105" s="6">
        <v>35</v>
      </c>
      <c r="M105" s="6">
        <v>35</v>
      </c>
      <c r="N105" s="6" t="s">
        <v>499</v>
      </c>
      <c r="O105" s="6" t="s">
        <v>240</v>
      </c>
      <c r="P105" s="11"/>
      <c r="Q105" s="11"/>
      <c r="R105" s="11"/>
      <c r="S105" s="11"/>
      <c r="T105" s="11"/>
      <c r="U105" s="11"/>
    </row>
    <row r="106" spans="1:21">
      <c r="A106" s="11"/>
      <c r="B106" s="6"/>
      <c r="C106" s="6"/>
      <c r="D106" s="6" t="s">
        <v>550</v>
      </c>
      <c r="E106" s="6" t="s">
        <v>548</v>
      </c>
      <c r="F106" s="6">
        <f t="shared" si="2"/>
        <v>18</v>
      </c>
      <c r="G106" s="12">
        <f>F106*4/180*10*3*2</f>
        <v>24</v>
      </c>
      <c r="H106" s="6" t="s">
        <v>119</v>
      </c>
      <c r="I106" s="6">
        <v>70</v>
      </c>
      <c r="J106" s="6">
        <v>400</v>
      </c>
      <c r="K106" s="6" t="s">
        <v>551</v>
      </c>
      <c r="L106" s="6">
        <v>18</v>
      </c>
      <c r="M106" s="6">
        <v>18</v>
      </c>
      <c r="N106" s="6" t="s">
        <v>499</v>
      </c>
      <c r="O106" s="6" t="s">
        <v>240</v>
      </c>
      <c r="P106" s="11"/>
      <c r="Q106" s="11"/>
      <c r="R106" s="11"/>
      <c r="S106" s="11"/>
      <c r="T106" s="11"/>
      <c r="U106" s="11"/>
    </row>
    <row r="107" spans="1:21">
      <c r="A107" s="11"/>
      <c r="B107" s="6"/>
      <c r="C107" s="6"/>
      <c r="D107" s="11" t="s">
        <v>552</v>
      </c>
      <c r="E107" s="11"/>
      <c r="F107" s="6">
        <f t="shared" si="2"/>
        <v>35</v>
      </c>
      <c r="G107" s="12">
        <f>F107*0.06*75*3*0.8</f>
        <v>378</v>
      </c>
      <c r="H107" s="6" t="s">
        <v>111</v>
      </c>
      <c r="I107" s="11"/>
      <c r="J107" s="6">
        <v>600</v>
      </c>
      <c r="K107" s="6" t="s">
        <v>553</v>
      </c>
      <c r="L107" s="6">
        <v>35</v>
      </c>
      <c r="M107" s="6">
        <v>35</v>
      </c>
      <c r="N107" s="6" t="s">
        <v>499</v>
      </c>
      <c r="O107" s="11"/>
      <c r="P107" s="11"/>
      <c r="Q107" s="11"/>
      <c r="R107" s="11"/>
      <c r="S107" s="11"/>
      <c r="T107" s="11"/>
      <c r="U107" s="11"/>
    </row>
    <row r="108" spans="4:15">
      <c r="D108" s="6" t="s">
        <v>554</v>
      </c>
      <c r="E108" s="6" t="s">
        <v>555</v>
      </c>
      <c r="F108" s="6">
        <f t="shared" si="2"/>
        <v>15.5</v>
      </c>
      <c r="G108" s="12">
        <f>F108*3*3*1.4*1.3</f>
        <v>253.89</v>
      </c>
      <c r="H108" s="6" t="s">
        <v>111</v>
      </c>
      <c r="J108" t="s">
        <v>556</v>
      </c>
      <c r="K108" s="6" t="s">
        <v>557</v>
      </c>
      <c r="L108">
        <v>14</v>
      </c>
      <c r="M108" s="5">
        <v>19</v>
      </c>
      <c r="N108" s="6" t="s">
        <v>558</v>
      </c>
      <c r="O108" t="s">
        <v>471</v>
      </c>
    </row>
  </sheetData>
  <mergeCells count="27">
    <mergeCell ref="A2:A71"/>
    <mergeCell ref="B2:B7"/>
    <mergeCell ref="B8:B12"/>
    <mergeCell ref="B13:B17"/>
    <mergeCell ref="B18:B22"/>
    <mergeCell ref="B23:B27"/>
    <mergeCell ref="B28:B33"/>
    <mergeCell ref="B34:B38"/>
    <mergeCell ref="B39:B43"/>
    <mergeCell ref="B44:B48"/>
    <mergeCell ref="B49:B53"/>
    <mergeCell ref="B54:B58"/>
    <mergeCell ref="B59:B64"/>
    <mergeCell ref="B65:B71"/>
    <mergeCell ref="C2:C7"/>
    <mergeCell ref="C8:C12"/>
    <mergeCell ref="C13:C17"/>
    <mergeCell ref="C18:C22"/>
    <mergeCell ref="C23:C27"/>
    <mergeCell ref="C28:C33"/>
    <mergeCell ref="C34:C38"/>
    <mergeCell ref="C39:C43"/>
    <mergeCell ref="C44:C48"/>
    <mergeCell ref="C49:C53"/>
    <mergeCell ref="C54:C58"/>
    <mergeCell ref="C59:C64"/>
    <mergeCell ref="C65:C7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C29" sqref="C29"/>
    </sheetView>
  </sheetViews>
  <sheetFormatPr defaultColWidth="9" defaultRowHeight="13.5" outlineLevelCol="2"/>
  <sheetData>
    <row r="1" spans="1:3">
      <c r="A1" t="s">
        <v>43</v>
      </c>
      <c r="B1" t="s">
        <v>559</v>
      </c>
      <c r="C1" t="s">
        <v>560</v>
      </c>
    </row>
    <row r="2" spans="2:3">
      <c r="B2" t="s">
        <v>561</v>
      </c>
      <c r="C2" t="s">
        <v>562</v>
      </c>
    </row>
    <row r="3" spans="2:3">
      <c r="B3" t="s">
        <v>563</v>
      </c>
      <c r="C3" t="s">
        <v>564</v>
      </c>
    </row>
    <row r="4" spans="2:3">
      <c r="B4" t="s">
        <v>565</v>
      </c>
      <c r="C4" t="s">
        <v>566</v>
      </c>
    </row>
    <row r="5" spans="2:3">
      <c r="B5" t="s">
        <v>567</v>
      </c>
      <c r="C5" t="s">
        <v>568</v>
      </c>
    </row>
    <row r="6" spans="2:3">
      <c r="B6" t="s">
        <v>569</v>
      </c>
      <c r="C6" t="s">
        <v>570</v>
      </c>
    </row>
    <row r="7" spans="2:3">
      <c r="B7" t="s">
        <v>571</v>
      </c>
      <c r="C7" t="s">
        <v>572</v>
      </c>
    </row>
    <row r="13" spans="1:3">
      <c r="A13" t="s">
        <v>573</v>
      </c>
      <c r="B13" t="s">
        <v>574</v>
      </c>
      <c r="C13" t="s">
        <v>430</v>
      </c>
    </row>
    <row r="14" spans="2:3">
      <c r="B14" t="s">
        <v>436</v>
      </c>
      <c r="C14" t="s">
        <v>437</v>
      </c>
    </row>
    <row r="15" spans="2:3">
      <c r="B15" t="s">
        <v>575</v>
      </c>
      <c r="C15" t="s">
        <v>447</v>
      </c>
    </row>
    <row r="16" spans="2:3">
      <c r="B16" t="s">
        <v>576</v>
      </c>
      <c r="C16" t="s">
        <v>442</v>
      </c>
    </row>
    <row r="17" spans="2:3">
      <c r="B17" t="s">
        <v>577</v>
      </c>
      <c r="C17" t="s">
        <v>457</v>
      </c>
    </row>
    <row r="18" spans="2:3">
      <c r="B18" t="s">
        <v>468</v>
      </c>
      <c r="C18" t="s">
        <v>469</v>
      </c>
    </row>
    <row r="19" spans="2:3">
      <c r="B19" t="s">
        <v>578</v>
      </c>
      <c r="C19" t="s">
        <v>455</v>
      </c>
    </row>
    <row r="20" spans="2:3">
      <c r="B20" t="s">
        <v>579</v>
      </c>
      <c r="C20" t="s">
        <v>486</v>
      </c>
    </row>
    <row r="21" spans="2:3">
      <c r="B21" t="s">
        <v>580</v>
      </c>
      <c r="C21" t="s">
        <v>491</v>
      </c>
    </row>
    <row r="27" spans="1:3">
      <c r="A27" t="s">
        <v>581</v>
      </c>
      <c r="B27" t="s">
        <v>483</v>
      </c>
      <c r="C27" t="s">
        <v>484</v>
      </c>
    </row>
    <row r="28" spans="2:3">
      <c r="B28" t="s">
        <v>582</v>
      </c>
      <c r="C28" t="s">
        <v>481</v>
      </c>
    </row>
    <row r="29" spans="2:3">
      <c r="B29" t="s">
        <v>571</v>
      </c>
      <c r="C29" t="s">
        <v>572</v>
      </c>
    </row>
    <row r="30" spans="2:3">
      <c r="B30" t="s">
        <v>583</v>
      </c>
      <c r="C30" t="s">
        <v>584</v>
      </c>
    </row>
    <row r="31" spans="2:3">
      <c r="B31" t="s">
        <v>585</v>
      </c>
      <c r="C31" t="s">
        <v>586</v>
      </c>
    </row>
    <row r="32" spans="2:2">
      <c r="B32" t="s">
        <v>587</v>
      </c>
    </row>
    <row r="33" spans="2:2">
      <c r="B33" t="s">
        <v>473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6" sqref="F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" sqref="B1"/>
    </sheetView>
  </sheetViews>
  <sheetFormatPr defaultColWidth="9" defaultRowHeight="13.5" outlineLevelCol="1"/>
  <cols>
    <col min="1" max="1" width="12.4416666666667" customWidth="1"/>
  </cols>
  <sheetData>
    <row r="1" spans="1:2">
      <c r="A1" t="s">
        <v>405</v>
      </c>
      <c r="B1">
        <v>620.277577303571</v>
      </c>
    </row>
    <row r="2" spans="1:2">
      <c r="A2" t="s">
        <v>181</v>
      </c>
      <c r="B2">
        <v>522.6544</v>
      </c>
    </row>
    <row r="3" spans="1:2">
      <c r="A3" t="s">
        <v>326</v>
      </c>
      <c r="B3">
        <v>460.099411904762</v>
      </c>
    </row>
    <row r="4" spans="1:2">
      <c r="A4" t="s">
        <v>233</v>
      </c>
      <c r="B4">
        <v>444.4291675</v>
      </c>
    </row>
    <row r="5" spans="1:2">
      <c r="A5" t="s">
        <v>135</v>
      </c>
      <c r="B5">
        <v>404.1823125</v>
      </c>
    </row>
    <row r="6" spans="1:2">
      <c r="A6" t="s">
        <v>351</v>
      </c>
      <c r="B6">
        <v>332.655920028409</v>
      </c>
    </row>
    <row r="7" spans="1:2">
      <c r="A7" t="s">
        <v>208</v>
      </c>
      <c r="B7">
        <v>297.962791894123</v>
      </c>
    </row>
    <row r="8" spans="1:2">
      <c r="A8" t="s">
        <v>375</v>
      </c>
      <c r="B8">
        <v>276.92957925</v>
      </c>
    </row>
    <row r="9" spans="1:2">
      <c r="A9" t="s">
        <v>108</v>
      </c>
      <c r="B9">
        <v>257.5115</v>
      </c>
    </row>
    <row r="10" spans="1:2">
      <c r="A10" t="s">
        <v>158</v>
      </c>
      <c r="B10">
        <v>235.564325</v>
      </c>
    </row>
    <row r="11" spans="1:2">
      <c r="A11" t="s">
        <v>261</v>
      </c>
      <c r="B11">
        <v>160.8444</v>
      </c>
    </row>
    <row r="12" spans="1:2">
      <c r="A12" t="s">
        <v>280</v>
      </c>
      <c r="B12">
        <v>102.863855625</v>
      </c>
    </row>
    <row r="13" spans="1:2">
      <c r="A13" t="s">
        <v>306</v>
      </c>
      <c r="B13">
        <v>96.2953466607143</v>
      </c>
    </row>
  </sheetData>
  <sortState ref="A1:B13">
    <sortCondition ref="B1:B13" descending="1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原进攻怪参数</vt:lpstr>
      <vt:lpstr>新公式</vt:lpstr>
      <vt:lpstr>伤害因子调节</vt:lpstr>
      <vt:lpstr>BOSS血量</vt:lpstr>
      <vt:lpstr>各武功伤害及效果</vt:lpstr>
      <vt:lpstr>江湖技能代码</vt:lpstr>
      <vt:lpstr>绝学和绝内代码</vt:lpstr>
      <vt:lpstr>Sheet2</vt:lpstr>
      <vt:lpstr>新旧进攻怪生命值对比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lhing17</cp:lastModifiedBy>
  <dcterms:created xsi:type="dcterms:W3CDTF">2006-09-16T00:00:00Z</dcterms:created>
  <dcterms:modified xsi:type="dcterms:W3CDTF">2019-06-21T11:15:23Z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