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03"/>
  <workbookPr defaultThemeVersion="166925"/>
  <mc:AlternateContent xmlns:mc="http://schemas.openxmlformats.org/markup-compatibility/2006">
    <mc:Choice Requires="x15">
      <x15ac:absPath xmlns:x15ac="http://schemas.microsoft.com/office/spreadsheetml/2010/11/ac" url="C:\Users\leona\Dropbox\UFSC\Organizational Privacy Culture\"/>
    </mc:Choice>
  </mc:AlternateContent>
  <xr:revisionPtr revIDLastSave="0" documentId="8_{D2BF2963-9AFD-41B5-ABEA-C29BCB5C900B}" xr6:coauthVersionLast="47" xr6:coauthVersionMax="47" xr10:uidLastSave="{00000000-0000-0000-0000-000000000000}"/>
  <bookViews>
    <workbookView xWindow="-108" yWindow="-108" windowWidth="23256" windowHeight="12576" firstSheet="4" activeTab="6" xr2:uid="{00000000-000D-0000-FFFF-FFFF00000000}"/>
  </bookViews>
  <sheets>
    <sheet name="Phase 1 - Paper Selection" sheetId="1" r:id="rId1"/>
    <sheet name="Forward snowballing" sheetId="3" r:id="rId2"/>
    <sheet name="Backward snowballing" sheetId="4" r:id="rId3"/>
    <sheet name="_xltb_storage_" sheetId="8" state="veryHidden" r:id="rId4"/>
    <sheet name="Selected Studies" sheetId="2" r:id="rId5"/>
    <sheet name="Authors" sheetId="9" r:id="rId6"/>
    <sheet name="Affiliations" sheetId="10" r:id="rId7"/>
    <sheet name="Venues" sheetId="6" r:id="rId8"/>
    <sheet name="Regulations" sheetId="13" r:id="rId9"/>
    <sheet name="Appraisal" sheetId="11" r:id="rId10"/>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60" i="2" l="1"/>
  <c r="B39" i="13"/>
  <c r="B38" i="13"/>
  <c r="B37" i="13"/>
  <c r="B36" i="13"/>
  <c r="B35" i="13"/>
  <c r="B9" i="13"/>
  <c r="B34" i="13"/>
  <c r="B33" i="13"/>
  <c r="B32" i="13"/>
  <c r="B31" i="13"/>
  <c r="B30" i="13"/>
  <c r="B14" i="13"/>
  <c r="B28" i="13"/>
  <c r="B27" i="13"/>
  <c r="B26" i="13"/>
  <c r="B4" i="13"/>
  <c r="B25" i="13"/>
  <c r="B8" i="13"/>
  <c r="B24" i="13"/>
  <c r="B2" i="13"/>
  <c r="B23" i="13"/>
  <c r="B22" i="13"/>
  <c r="B13" i="13"/>
  <c r="B21" i="13"/>
  <c r="B7" i="13"/>
  <c r="B6" i="13"/>
  <c r="B20" i="13"/>
  <c r="B12" i="13"/>
  <c r="B11" i="13"/>
  <c r="B19" i="13"/>
  <c r="B18" i="13"/>
  <c r="B3" i="13"/>
  <c r="B10" i="13"/>
  <c r="B17" i="13"/>
  <c r="B5" i="13"/>
  <c r="B16" i="13"/>
  <c r="B29" i="13"/>
  <c r="B15" i="13"/>
  <c r="R53" i="2"/>
  <c r="R50" i="2"/>
  <c r="R48" i="2"/>
  <c r="R55" i="2"/>
  <c r="R61" i="2"/>
  <c r="R54" i="2"/>
  <c r="R59" i="2"/>
  <c r="R58" i="2"/>
  <c r="R57" i="2"/>
  <c r="R52" i="2"/>
  <c r="R51" i="2"/>
  <c r="R49" i="2"/>
  <c r="R38" i="2"/>
  <c r="R43" i="2"/>
  <c r="R44" i="2"/>
  <c r="R42" i="2"/>
  <c r="R41" i="2"/>
  <c r="R35" i="2"/>
  <c r="R39" i="2"/>
  <c r="R36" i="2"/>
  <c r="R40" i="2"/>
  <c r="R37" i="2"/>
  <c r="J49" i="2"/>
  <c r="G34" i="6"/>
  <c r="H34" i="6"/>
  <c r="I34" i="6"/>
  <c r="J34" i="6"/>
  <c r="K34" i="6"/>
  <c r="F34" i="6"/>
  <c r="R3" i="2"/>
  <c r="R22" i="2"/>
  <c r="R31" i="2" l="1"/>
  <c r="R30" i="2"/>
  <c r="R29" i="2"/>
  <c r="R28" i="2"/>
  <c r="R27" i="2"/>
  <c r="R26" i="2"/>
  <c r="R25" i="2"/>
  <c r="R15" i="2"/>
  <c r="R21" i="2"/>
  <c r="R20" i="2"/>
  <c r="R19" i="2"/>
  <c r="R18" i="2"/>
  <c r="R17" i="2"/>
  <c r="R16" i="2"/>
  <c r="R14" i="2"/>
  <c r="R13" i="2"/>
  <c r="R12" i="2"/>
  <c r="R11" i="2"/>
  <c r="R10" i="2"/>
  <c r="R9" i="2"/>
  <c r="R8" i="2"/>
  <c r="R7" i="2"/>
  <c r="R6" i="2"/>
  <c r="R5" i="2"/>
  <c r="R4" i="2"/>
  <c r="J55" i="2"/>
  <c r="J58" i="2"/>
  <c r="J61" i="2"/>
  <c r="J52" i="2"/>
  <c r="J59" i="2"/>
  <c r="J60" i="2"/>
  <c r="J51" i="2"/>
  <c r="J53" i="2"/>
  <c r="J56" i="2"/>
  <c r="J57" i="2"/>
  <c r="J54" i="2"/>
  <c r="J50" i="2"/>
  <c r="J45" i="2"/>
  <c r="J47" i="2"/>
  <c r="J46" i="2"/>
  <c r="J48" i="2"/>
  <c r="J44" i="2"/>
  <c r="G47" i="2"/>
  <c r="G46" i="2"/>
  <c r="G45" i="2"/>
  <c r="G44" i="2"/>
  <c r="D72"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tc={B92D0526-3EB5-40A2-A50F-59888334A6E1}</author>
    <author>tc={7D6C5E86-3D80-4FDD-B7E1-D23A536B3A59}</author>
    <author>tc={4CCC1553-24CE-4230-A0EB-D936DC342F0D}</author>
    <author>tc={82BE841C-C2C5-4CE6-A963-44C30B43B8F0}</author>
  </authors>
  <commentList>
    <comment ref="B28" authorId="0" shapeId="0" xr:uid="{B92D0526-3EB5-40A2-A50F-59888334A6E1}">
      <text>
        <t>[Threaded comment]
Your version of Excel allows you to read this threaded comment; however, any edits to it will get removed if the file is opened in a newer version of Excel. Learn more: https://go.microsoft.com/fwlink/?linkid=870924
Comment:
    It doesn't address organizational culture/climate/values</t>
      </text>
    </comment>
    <comment ref="B30" authorId="1" shapeId="0" xr:uid="{7D6C5E86-3D80-4FDD-B7E1-D23A536B3A59}">
      <text>
        <t>[Threaded comment]
Your version of Excel allows you to read this threaded comment; however, any edits to it will get removed if the file is opened in a newer version of Excel. Learn more: https://go.microsoft.com/fwlink/?linkid=870924
Comment:
    It doesn't address privacy that much. Just mentions it in the related work.</t>
      </text>
    </comment>
    <comment ref="B31" authorId="2" shapeId="0" xr:uid="{4CCC1553-24CE-4230-A0EB-D936DC342F0D}">
      <text>
        <t>[Threaded comment]
Your version of Excel allows you to read this threaded comment; however, any edits to it will get removed if the file is opened in a newer version of Excel. Learn more: https://go.microsoft.com/fwlink/?linkid=870924
Comment:
    It doesn't address Organizationa Culture/Climate. Main focus is on employees' privacy perceptions.</t>
      </text>
    </comment>
    <comment ref="B32" authorId="3" shapeId="0" xr:uid="{82BE841C-C2C5-4CE6-A963-44C30B43B8F0}">
      <text>
        <t>[Threaded comment]
Your version of Excel allows you to read this threaded comment; however, any edits to it will get removed if the file is opened in a newer version of Excel. Learn more: https://go.microsoft.com/fwlink/?linkid=870924
Comment:
    The emphasis is on societal surveillance, not much on organizational culture/climate/values.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tc={32289C99-0A98-463F-B5B1-16E2A33FADC9}</author>
    <author>tc={187FBA57-4F43-4736-B25F-ACDF9E2D8A1B}</author>
  </authors>
  <commentList>
    <comment ref="B8" authorId="0" shapeId="0" xr:uid="{32289C99-0A98-463F-B5B1-16E2A33FADC9}">
      <text>
        <t>[Threaded comment]
Your version of Excel allows you to read this threaded comment; however, any edits to it will get removed if the file is opened in a newer version of Excel. Learn more: https://go.microsoft.com/fwlink/?linkid=870924
Comment:
    I'm removing because the relevancy is minimal, and it would be just be a piece of grey literature. It also cannot be classified as research work (i.e., no research question, methodology, results, etc).</t>
      </text>
    </comment>
    <comment ref="B14" authorId="1" shapeId="0" xr:uid="{187FBA57-4F43-4736-B25F-ACDF9E2D8A1B}">
      <text>
        <t>[Threaded comment]
Your version of Excel allows you to read this threaded comment; however, any edits to it will get removed if the file is opened in a newer version of Excel. Learn more: https://go.microsoft.com/fwlink/?linkid=870924
Comment:
    I couldn't access the fulltext of this Book.
Reply:
    Notice that the reference found is just for Chapter 1. Authors did not cite the whole book.</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tc={F0E495A9-7FC2-41E3-9E54-8FD93C212FF3}</author>
    <author>tc={436B7372-2895-4C3C-9521-97E8EFD54FAC}</author>
    <author>tc={A7A06EB9-A484-418E-91B0-12222F399AF6}</author>
    <author>tc={1B79A5F5-28F4-4B18-AD49-F8F074F5FD9A}</author>
    <author>tc={D69779DF-9A0C-46AC-ACE9-1E40707BA0DF}</author>
    <author>tc={5EC31936-A683-405A-B445-32128CB74B8B}</author>
  </authors>
  <commentList>
    <comment ref="M5" authorId="0" shapeId="0" xr:uid="{F0E495A9-7FC2-41E3-9E54-8FD93C212FF3}">
      <text>
        <t>[Threaded comment]
Your version of Excel allows you to read this threaded comment; however, any edits to it will get removed if the file is opened in a newer version of Excel. Learn more: https://go.microsoft.com/fwlink/?linkid=870924
Comment:
    Propositions as Guideline</t>
      </text>
    </comment>
    <comment ref="M12" authorId="1" shapeId="0" xr:uid="{436B7372-2895-4C3C-9521-97E8EFD54FAC}">
      <text>
        <t>[Threaded comment]
Your version of Excel allows you to read this threaded comment; however, any edits to it will get removed if the file is opened in a newer version of Excel. Learn more: https://go.microsoft.com/fwlink/?linkid=870924
Comment:
    Propositions as Guideline</t>
      </text>
    </comment>
    <comment ref="M31" authorId="2" shapeId="0" xr:uid="{A7A06EB9-A484-418E-91B0-12222F399AF6}">
      <text>
        <t>[Threaded comment]
Your version of Excel allows you to read this threaded comment; however, any edits to it will get removed if the file is opened in a newer version of Excel. Learn more: https://go.microsoft.com/fwlink/?linkid=870924
Comment:
    Propositions as Guideline</t>
      </text>
    </comment>
    <comment ref="M34" authorId="3" shapeId="0" xr:uid="{1B79A5F5-28F4-4B18-AD49-F8F074F5FD9A}">
      <text>
        <t>[Threaded comment]
Your version of Excel allows you to read this threaded comment; however, any edits to it will get removed if the file is opened in a newer version of Excel. Learn more: https://go.microsoft.com/fwlink/?linkid=870924
Comment:
    I'm considering the Propositions on the theory as guideline for future research.</t>
      </text>
    </comment>
    <comment ref="Q35" authorId="4" shapeId="0" xr:uid="{D69779DF-9A0C-46AC-ACE9-1E40707BA0DF}">
      <text>
        <t>[Threaded comment]
Your version of Excel allows you to read this threaded comment; however, any edits to it will get removed if the file is opened in a newer version of Excel. Learn more: https://go.microsoft.com/fwlink/?linkid=870924
Comment:
    Most studies didn't focus on any specific organisation types. Many of the studies also interviewed or surveys developers, managers, lawyers (etc) from various domains.</t>
      </text>
    </comment>
    <comment ref="M37" authorId="5" shapeId="0" xr:uid="{5EC31936-A683-405A-B445-32128CB74B8B}">
      <text>
        <t>[Threaded comment]
Your version of Excel allows you to read this threaded comment; however, any edits to it will get removed if the file is opened in a newer version of Excel. Learn more: https://go.microsoft.com/fwlink/?linkid=870924
Comment:
    Propositions as Guideline</t>
      </text>
    </comment>
  </commentList>
</comments>
</file>

<file path=xl/sharedStrings.xml><?xml version="1.0" encoding="utf-8"?>
<sst xmlns="http://schemas.openxmlformats.org/spreadsheetml/2006/main" count="1854" uniqueCount="689">
  <si>
    <t>key</t>
  </si>
  <si>
    <t>authors</t>
  </si>
  <si>
    <t>title</t>
  </si>
  <si>
    <t>year</t>
  </si>
  <si>
    <t>month</t>
  </si>
  <si>
    <t>day</t>
  </si>
  <si>
    <t>journal</t>
  </si>
  <si>
    <t>rayyan-720306659</t>
  </si>
  <si>
    <t>Patel, V.L. and Arocha, J.F. and Shortliffe, E.H.</t>
  </si>
  <si>
    <t>Cognitive models in training health professionals to protect patients' confidential information</t>
  </si>
  <si>
    <t>International Journal of Medical Informatics</t>
  </si>
  <si>
    <t>rayyan-720306606</t>
  </si>
  <si>
    <t>Calloway, S.D. and Venegas, L.M.</t>
  </si>
  <si>
    <t>The new hipaa law on privacy and confidentiality</t>
  </si>
  <si>
    <t>Nursing Administration Quarterly</t>
  </si>
  <si>
    <t>rayyan-720306603</t>
  </si>
  <si>
    <t>Gibbons, G.D.</t>
  </si>
  <si>
    <t>Clinical pastoral education and post privacy legislation: an Australian perspective.</t>
  </si>
  <si>
    <t>The journal of pastoral care &amp; counseling : JPCC</t>
  </si>
  <si>
    <t>rayyan-720306591</t>
  </si>
  <si>
    <t>Victor Chen, J. and Ross, W.H.</t>
  </si>
  <si>
    <t>The managerial decision to implement electronic surveillance at work: A research framework</t>
  </si>
  <si>
    <t>International Journal of Organizational Analysis</t>
  </si>
  <si>
    <t>rayyan-720306585</t>
  </si>
  <si>
    <t>Alge, B.J. and Ballinger, G.A. and Tangirala, S. and Oakley, J.L.</t>
  </si>
  <si>
    <t>Information privacy in organizations: Empowering creative and extrarole performance</t>
  </si>
  <si>
    <t>Journal of Applied Psychology</t>
  </si>
  <si>
    <t>rayyan-720306729</t>
  </si>
  <si>
    <t>E. M. Power</t>
  </si>
  <si>
    <t>Developing a Culture of Privacy: A Case Study</t>
  </si>
  <si>
    <t>IEEE Security &amp; Privacy</t>
  </si>
  <si>
    <t>rayyan-720306470</t>
  </si>
  <si>
    <t>Selviandro, N. and Wisudiawan, G. and Puspitasari, S. and Adrian, M.</t>
  </si>
  <si>
    <t>Preliminary study for determining bring your own device implementation framework based on organizational culture analysis enhanced by cloud management control</t>
  </si>
  <si>
    <t>Int. Conf. Inf. Commun. Technol., ICoICT</t>
  </si>
  <si>
    <t>rayyan-720306476</t>
  </si>
  <si>
    <t>Chang, S.E. and Liu, A.Y. and Lin, S.</t>
  </si>
  <si>
    <t>Exploring privacy and trust for employee monitoring</t>
  </si>
  <si>
    <t>Industrial Management and Data Systems</t>
  </si>
  <si>
    <t>rayyan-720306463</t>
  </si>
  <si>
    <t>Chang, S.E. and Liu, A.Y.</t>
  </si>
  <si>
    <t>Information security in practices: Exploring privacy and trust in computer and internet surveillance</t>
  </si>
  <si>
    <t>Computer Systems Science and Engineering</t>
  </si>
  <si>
    <t>rayyan-720306466</t>
  </si>
  <si>
    <t>Salleh, K.A. and Janczewski, L. and Martinho R. and Rijo R. and Cruz-Cunha M.M. and Bjorn-Andersen N. and Quintela Varajao J.E.</t>
  </si>
  <si>
    <t>Technological, Organizational and Environmental Security and Privacy Issues of Big Data: A Literature Review</t>
  </si>
  <si>
    <t>Procedia Comput. Sci.</t>
  </si>
  <si>
    <t>rayyan-720306468</t>
  </si>
  <si>
    <t>Wall, J.D. and Lowry, P.B. and Barlow, J.B.</t>
  </si>
  <si>
    <t>Organizational violations of externally governed privacyand security rules: Explaining and predicting selective violations under conditions of strain and excess</t>
  </si>
  <si>
    <t>Journal of the Association for Information Systems</t>
  </si>
  <si>
    <t>rayyan-720306404</t>
  </si>
  <si>
    <t>Ayalon, O. and Toch, E. and Hadar, I. and Birnhack, M.</t>
  </si>
  <si>
    <t>How developers make design decisions about Users' Privacy: The place of professional communities and organizational climate</t>
  </si>
  <si>
    <t>CSCW - Companion ACM Conf. Comput. Support. Coop. Work Soc. Comput.</t>
  </si>
  <si>
    <t>rayyan-720306459</t>
  </si>
  <si>
    <t>Everson, E.</t>
  </si>
  <si>
    <t>Privacy by design: Taking ctrl of big data</t>
  </si>
  <si>
    <t>Cleveland State Law Review</t>
  </si>
  <si>
    <t>rayyan-720306393</t>
  </si>
  <si>
    <t>Hadar, I. and Hasson, T. and Ayalon, O. and Toch, E. and Birnhack, M. and Sherman, S. and Balissa, A.</t>
  </si>
  <si>
    <t>Privacy by designers: software developers privacy mindset</t>
  </si>
  <si>
    <t>Empirical Software Engineering</t>
  </si>
  <si>
    <t>rayyan-720306732</t>
  </si>
  <si>
    <t>P. Swartz and A. Da Veiga and N. Martins</t>
  </si>
  <si>
    <t>A conceptual privacy governance framework</t>
  </si>
  <si>
    <t>2019 Conference on Information Communications Technology and Society (ICTAS)</t>
  </si>
  <si>
    <t>rayyan-720306736</t>
  </si>
  <si>
    <t>S. Spiekermann and J. Korunovska and M. Langheinrich</t>
  </si>
  <si>
    <t>Inside the Organization: Why Privacy and Security Engineering Is a Challenge for Engineers</t>
  </si>
  <si>
    <t>Proceedings of the IEEE</t>
  </si>
  <si>
    <t>rayyan-720306363</t>
  </si>
  <si>
    <t>Jonathan, G.M. and Gebremeskel, B.K. and Yalew, S.D. and Paul R.</t>
  </si>
  <si>
    <t>Privacy and Security in the Digitalisation Era</t>
  </si>
  <si>
    <t>Annu. IEEE Inf. Technol., Electron. Mob. Commun. Conf., IEMCON</t>
  </si>
  <si>
    <t>rayyan-720306275</t>
  </si>
  <si>
    <t>Tahaei, Mohammad and Frik, Alisa and Vaniea, Kami</t>
  </si>
  <si>
    <t>Privacy Champions in Software Teams: Understanding Their Motivations, Strategies, and Challenges</t>
  </si>
  <si>
    <t>Proceedings of the 2021 CHI Conference on Human Factors in Computing Systems</t>
  </si>
  <si>
    <t>rayyan-720306358</t>
  </si>
  <si>
    <t>Ibáñez, J.C. and Olmeda, M.V.</t>
  </si>
  <si>
    <t>Operationalising AI ethics: how are companies bridging the gap between practice and principles? An exploratory study</t>
  </si>
  <si>
    <t>AI and Society</t>
  </si>
  <si>
    <t>rayyan-720306359</t>
  </si>
  <si>
    <t>Attili, V.S.P. and Mathew, S.K. and Sugumaran, V.</t>
  </si>
  <si>
    <t>Information Privacy Assimilation in IT Organizations</t>
  </si>
  <si>
    <t>Information Systems Frontiers</t>
  </si>
  <si>
    <t>Full-text not available (authors were contacted)</t>
  </si>
  <si>
    <t>rayyan-720306604</t>
  </si>
  <si>
    <t>Malloy, N.P.</t>
  </si>
  <si>
    <t>The informatics nurse specialist as privacy officer.</t>
  </si>
  <si>
    <t>Journal of healthcare information management : JHIM</t>
  </si>
  <si>
    <t>rayyan-720306586</t>
  </si>
  <si>
    <t>Kuo, F.-Y. and Lin, C.S.</t>
  </si>
  <si>
    <t>Information ethics: Researching the IS professional's decision making concerning information privacy practices</t>
  </si>
  <si>
    <t>Proc. Int. Conf. Informatics Educ. Res.</t>
  </si>
  <si>
    <t>rayyan-720306576</t>
  </si>
  <si>
    <t>Chen, J.-C.V. and Tarn, J.M.</t>
  </si>
  <si>
    <t>The cultural factors in electronic monitoring</t>
  </si>
  <si>
    <t>Social Information Technology: Connecting Society and Cultural Issues</t>
  </si>
  <si>
    <t>rayyan-720306406</t>
  </si>
  <si>
    <t>Engelbrecht, A. and Gerlach, J.P. and Benlian, A. and Buxmann, P.</t>
  </si>
  <si>
    <t>Analysing employees' willingness to disclose information in enterprise social networks: The role of organisational culture</t>
  </si>
  <si>
    <t>Proc. Eur. Conf. Inf. Syst., ECIS</t>
  </si>
  <si>
    <t>rayyan-720306396</t>
  </si>
  <si>
    <t>Sherif, K. and Jewesimi, O.</t>
  </si>
  <si>
    <t>Electronic performance monitoring friend or foe? Empowering employees through data analytics</t>
  </si>
  <si>
    <t>Am. Conf. Info. Syst.: Digit. Disrupt., AMCIS</t>
  </si>
  <si>
    <t>rayyan-720306379</t>
  </si>
  <si>
    <t>Pradhan, B.B.</t>
  </si>
  <si>
    <t>Corporate digital responsibility: Review</t>
  </si>
  <si>
    <t>International Journal of Psychosocial Rehabilitation</t>
  </si>
  <si>
    <t>Papers considered not relevant after full-text reading</t>
  </si>
  <si>
    <t>rayyan-720306593</t>
  </si>
  <si>
    <t>Welebir, B. and Kleiner, B.H.</t>
  </si>
  <si>
    <t>How to write a proper Internet usage policy</t>
  </si>
  <si>
    <t>Management Research News</t>
  </si>
  <si>
    <t>rayyan-720306388</t>
  </si>
  <si>
    <t>Aden, H.</t>
  </si>
  <si>
    <t>Information sharing, secrecy and trust among law enforcement and secret service institutions in the European Union</t>
  </si>
  <si>
    <t>West European Politics</t>
  </si>
  <si>
    <t>rayyan-720306747</t>
  </si>
  <si>
    <t>L. Cellier and S. Ghernaouti</t>
  </si>
  <si>
    <t>An interdisciplinary approach for security, privacy and trust in the electronic medical record : A pragmatic legal perspective</t>
  </si>
  <si>
    <t>2019 IEEE International Conference on E-health Networking, Application &amp; Services (HealthCom)</t>
  </si>
  <si>
    <t>rayyan-720306364</t>
  </si>
  <si>
    <t>Das Swain, V. and Saha, K. and Abowd, G.D. and De Choudhury, M.</t>
  </si>
  <si>
    <t>Social media and ubiquitous technologies for remote worker wellbeing and productivity in a post-pandemic world</t>
  </si>
  <si>
    <t>Proc. - IEEE Int. Conf. Cogn. Mach. Intell., CogMI</t>
  </si>
  <si>
    <t>rayyan-720306369</t>
  </si>
  <si>
    <t>Sherif, K. and Jewesimi, O. and El-Masri, M.</t>
  </si>
  <si>
    <t>Empowering employees: the other side of electronic performance monitoring</t>
  </si>
  <si>
    <t>Journal of Information, Communication and Ethics in Society</t>
  </si>
  <si>
    <t>rayyan-720306774</t>
  </si>
  <si>
    <t>Jonny and Kriswanto and M. Toshio</t>
  </si>
  <si>
    <t>Modeling IoT and Big Data Implementation</t>
  </si>
  <si>
    <t>2021 International Conference on Information Management and Technology (ICIMTech)</t>
  </si>
  <si>
    <t>Duplicated</t>
  </si>
  <si>
    <t>rayyan-720306730</t>
  </si>
  <si>
    <t>I. Hadar and T. Hasson and O. Ayalon and E. Toch and M. Birnhack and S. Sherman and A. Balissa</t>
  </si>
  <si>
    <t>[Journal First] Privacy by Designers: Software Developers' Privacy Mindset</t>
  </si>
  <si>
    <t>2018 IEEE/ACM 40th International Conference on Software Engineering (ICSE)</t>
  </si>
  <si>
    <t>Results</t>
  </si>
  <si>
    <t>Snowballing references</t>
  </si>
  <si>
    <t>key of source study</t>
  </si>
  <si>
    <t>Found references</t>
  </si>
  <si>
    <t>Ravid, D. M. et al. (2020) ‘EPM 20/20: A Review, Framework, and Research Agenda for Electronic Performance Monitoring’, Journal of Management, 46(1), pp. 100–126. doi: 10.1177/0149206319869435.</t>
  </si>
  <si>
    <t>Bélanger, F., &amp; Crossler, R. E. (2011). Privacy in the Digital Age: A Review of Information Privacy Research in Information Systems. MIS Quarterly, 35(4), 1017–1041. https://doi.org/10.2307/41409971</t>
  </si>
  <si>
    <t>Posey, C., Bennett, B., Roberts, T. and Lowry, P.B., 2011. When computer monitoring backfires: Invasion of privacy and organizational injustice as precursors to computer abuse. Journal of Information System Security, 7(1), pp.24-47.</t>
  </si>
  <si>
    <t>Alge, B.J., Greenberg, J. and Brinsfield, C.T., 2006. An identity-based model of organizational monitoring: Integrating information privacy and organizational justice. In Research in personnel and human resources management. Emerald Group Publishing Limited.</t>
  </si>
  <si>
    <t>Julibert, S., 2008. Employee attitudes to information sharing: a case study at the European Central Bank. Records Management Journal.</t>
  </si>
  <si>
    <t>Ball, K., Daniel, E.M. and Stride, C., 2012. Dimensions of employee privacy: an empirical study. Information Technology &amp; People.</t>
  </si>
  <si>
    <t>O’Donnell, A., 2010. Who is watching you, and why (Doctoral dissertation, PhD dissertation, University of Exeter, UK).</t>
  </si>
  <si>
    <t>Smith, S. A. and Brunner, S. R. (2017) ‘To Reveal or Conceal: Using Communication Privacy Management Theory to Understand Disclosures in the Workplace’, Management Communication Quarterly, 31(3), pp. 429–446. doi: 10.1177/0893318917692896.</t>
  </si>
  <si>
    <t>Henry, J.C. 2020, Management Ethics: How Social Media Affects Employees' Privacy and Organizational Climate?, Northcentral University.</t>
  </si>
  <si>
    <t>Degirmenci, K., Shim, J.P., Breitner, M., Nolte, F. and Passlick, J., 2019. Future of flexible work in the digital age: Bring your own device challenges of privacy protection. In Proceedings of the 40th International Conference on Information Systems, ICIS 2019 (pp. 1-17). Association for Information Systems.</t>
  </si>
  <si>
    <t>Nurgalieva, L., Frik, A. and Doherty, G., 2021. WiP: Factors Affecting the Implementation of Privacy and Security Practices in Software Development: a Narrative Review.</t>
  </si>
  <si>
    <t>Arizon-Peretz, R., Hadar, I., Luria, G. and Sherman, S., 2021. Understanding developers’ privacy and security mindsets via climate theory. Empirical Software Engineering, 26(6), pp.1-43.</t>
  </si>
  <si>
    <t>Swartz, P., Da Veiga, A. and Martins, N., 2021. Validating an information privacy governance questionnaire to measure the perception of employees. Information &amp; Computer Security.</t>
  </si>
  <si>
    <t>From selected studies</t>
  </si>
  <si>
    <t>Alder, G. S. (2001). Employee reactions to electronic performance monitoring: A consequence of organizational culture. Journal of High Technology Management Research, 12, 323-342.</t>
  </si>
  <si>
    <t>Culnan MJ, Williams CC (2009) How ethics can enhance organizational privacy: lessons from the ChoicePoint and TJX data breaches. Manag Inf Syst Q 33(4):673–687</t>
  </si>
  <si>
    <t>A. Da Veiga and N. Martins, “Information security culture and information protection culture: A validated assessment instrument,” Comput. Law Secur. Rev., vol. 31, no. 2, pp. 243–256, 2015.</t>
  </si>
  <si>
    <t xml:space="preserve">OAIC, “Privacy management framework: enabling compliance and encouraging good practice,” Office of the Australian Information Commissioner Privacy, 2015. [Online]. Available: https://www.oaic.gov.au/agencies-and-organisations/guides/privacymanagement-framework. </t>
  </si>
  <si>
    <t>Attili, V. S. P., Mathew, S. K., &amp; Sugumaran, V. (2018). Understanding information privacy assimilation in IT organizations using multi-site case studies. Communications of the Association for Information Systems, 42(4), 66–94.</t>
  </si>
  <si>
    <t>Smith, H. J. (1993). Privacy policies and practices: Inside the organizational maze. Communications of the ACM, 36(12), 104–122.</t>
  </si>
  <si>
    <t>From fw snowballing</t>
  </si>
  <si>
    <t>L. Nurgalieva, A. Frik, and G. Doherty</t>
  </si>
  <si>
    <t>Bamberger, K. A., and Mulligan, D. K. Privacy on the ground: Driving corporate behavior in the united states and europe (chapter 1). Privacy on the Ground: Driving Corporate Behavior in the US and Europe (MIT 2015) (2015).</t>
  </si>
  <si>
    <t>Waldman, A. E. Designing without privacy. Hous. L. Rev. 55 (2017), 659.</t>
  </si>
  <si>
    <t>From bw snowballing</t>
  </si>
  <si>
    <t>Culnan and Williams (2009)</t>
  </si>
  <si>
    <t>Greenaway, K. E., and Chan, Y. E. 2005. "Theoretical Explanations of Firms' Information Privacy Behaviors," Journal of the Association for Information Systems (6:6), pp. 171-198.</t>
  </si>
  <si>
    <t>XL Toolbox Settings</t>
  </si>
  <si>
    <t>XLToolbox.Export.Models.BatchExportSettings</t>
  </si>
  <si>
    <t>&lt;?xml version="1.0" encoding="utf-16"?&gt;_x000D_
&lt;BatchExportSettings xmlns:xsd="http://www.w3.org/2001/XMLSchema" xmlns:xsi="http://www.w3.org/2001/XMLSchema-instance"&gt;_x000D_
  &lt;Preset&gt;_x000D_
    &lt;Name&gt;Png, 300 dpi, RGB, Transparent canvas&lt;/Name&gt;_x000D_
    &lt;Dpi&gt;300&lt;/Dpi&gt;_x000D_
    &lt;FileType&gt;Png&lt;/FileType&gt;_x000D_
    &lt;ColorSpace&gt;Rgb&lt;/ColorSpace&gt;_x000D_
    &lt;Transparency&gt;TransparentCanvas&lt;/Transparency&gt;_x000D_
    &lt;UseColorProfile&gt;false&lt;/UseColorProfile&gt;_x000D_
    &lt;ColorProfile&gt;ewrgb18&lt;/ColorProfile&gt;_x000D_
  &lt;/Preset&gt;_x000D_
  &lt;FileName&gt;{workbook}_{worksheet}_{index}&lt;/FileName&gt;_x000D_
  &lt;Scope&gt;ActiveSheet&lt;/Scope&gt;_x000D_
  &lt;Objects&gt;Charts&lt;/Objects&gt;_x000D_
  &lt;Layout&gt;SingleItems&lt;/Layout&gt;_x000D_
  &lt;Path&gt;C:\Users\leona\Dropbox\UFSC\Organizational Privacy Culture\paper images&lt;/Path&gt;_x000D_
  &lt;Screenshot&gt;false&lt;/Screenshot&gt;_x000D_
&lt;/BatchExportSettings&gt;</t>
  </si>
  <si>
    <t>export_preset</t>
  </si>
  <si>
    <t>&lt;?xml version="1.0" encoding="utf-16"?&gt;_x000D_
&lt;Preset xmlns:xsd="http://www.w3.org/2001/XMLSchema" xmlns:xsi="http://www.w3.org/2001/XMLSchema-instance"&gt;_x000D_
  &lt;Name&gt;Png, 300 dpi, RGB, Transparent canvas&lt;/Name&gt;_x000D_
  &lt;Dpi&gt;300&lt;/Dpi&gt;_x000D_
  &lt;FileType&gt;Png&lt;/FileType&gt;_x000D_
  &lt;ColorSpace&gt;Rgb&lt;/ColorSpace&gt;_x000D_
  &lt;Transparency&gt;TransparentCanvas&lt;/Transparency&gt;_x000D_
  &lt;UseColorProfile&gt;false&lt;/UseColorProfile&gt;_x000D_
  &lt;ColorProfile&gt;ewrgb18&lt;/ColorProfile&gt;_x000D_
&lt;/Preset&gt;</t>
  </si>
  <si>
    <t>export_path</t>
  </si>
  <si>
    <t>C:\Users\leona\Dropbox\UFSC\Organizational Privacy Culture\paper images\mentioned-laws.png</t>
  </si>
  <si>
    <t>code</t>
  </si>
  <si>
    <t>journal/venue</t>
  </si>
  <si>
    <t>publisher</t>
  </si>
  <si>
    <t>affiliations</t>
  </si>
  <si>
    <t>countries</t>
  </si>
  <si>
    <t>pubtype</t>
  </si>
  <si>
    <t>citations</t>
  </si>
  <si>
    <t>research types</t>
  </si>
  <si>
    <t>contribution type</t>
  </si>
  <si>
    <t>organisation types</t>
  </si>
  <si>
    <t>regulations</t>
  </si>
  <si>
    <t>S1</t>
  </si>
  <si>
    <t>Elsevier B.V.</t>
  </si>
  <si>
    <t>["Cognitive Studies in Medicine, Center for Medical Education, McGill University, 1110 Pine Avenue West, Montreal, QC H3A 1A3, Canada", "Department of Medical Informatics, Columbia University, New York, NY, United States"]</t>
  </si>
  <si>
    <t>Canada, USA</t>
  </si>
  <si>
    <t>Article</t>
  </si>
  <si>
    <t>Philosophical Papers; Opinion Papers</t>
  </si>
  <si>
    <t>Advice</t>
  </si>
  <si>
    <t>Healthcare</t>
  </si>
  <si>
    <t>Not mentioned</t>
  </si>
  <si>
    <t>-</t>
  </si>
  <si>
    <t>Research Types</t>
  </si>
  <si>
    <t>Totals</t>
  </si>
  <si>
    <t>S2</t>
  </si>
  <si>
    <t>Lippincott Williams &amp; Wilkins, Inc</t>
  </si>
  <si>
    <t>["senior Writer/Producer for Envision Inc., United States"]</t>
  </si>
  <si>
    <t>USA</t>
  </si>
  <si>
    <t>Opinion Papers</t>
  </si>
  <si>
    <t>Guideline</t>
  </si>
  <si>
    <t>Health Insurance Portability and Accountability Act (US)</t>
  </si>
  <si>
    <t>Validation Research</t>
  </si>
  <si>
    <t>S3</t>
  </si>
  <si>
    <t>The Journal of Pastoral Care &amp; Counseling : JPCC</t>
  </si>
  <si>
    <t>Sage Journals</t>
  </si>
  <si>
    <t>["Departent of Pastoral Care &amp;amp; Education, Spirituality &amp;amp; Health, Austin Hospital, Austin Health, 145-163 Studley Road, Australia, Victoria  3084., Australia"]</t>
  </si>
  <si>
    <t>Australia</t>
  </si>
  <si>
    <t>Solution Proposal; Opinion Papers</t>
  </si>
  <si>
    <t>Framework; Guideline</t>
  </si>
  <si>
    <t>Education; Private</t>
  </si>
  <si>
    <t>Australia Privacy Act</t>
  </si>
  <si>
    <t>Evaluation Research</t>
  </si>
  <si>
    <t>S4</t>
  </si>
  <si>
    <t>Chen, V.J. and Ross, W.H.</t>
  </si>
  <si>
    <t>Emerald Group Publishing Limited</t>
  </si>
  <si>
    <t>["National Cheng Kung University, Taiwan", "University of Wisconsinî“¸La Crosse, United States"]</t>
  </si>
  <si>
    <t>Taiwan, USA</t>
  </si>
  <si>
    <t>Solution Proposal; Philosophical Papers; Literature Review</t>
  </si>
  <si>
    <t>Model; Guideline</t>
  </si>
  <si>
    <t>Not specific</t>
  </si>
  <si>
    <t>Solution Proposal</t>
  </si>
  <si>
    <t>S5</t>
  </si>
  <si>
    <t>American Psychological Association</t>
  </si>
  <si>
    <t>["Purdue University, United States", "Krannert School of Management, Purdue University, United States", "McIntire School of Commerce, University of Virginia, United States", "Krannert School of Management, Rawls Hall, Purdue University, 100 South Grant Street, West Lafayette, IN 47907-7434, United States"]</t>
  </si>
  <si>
    <t>Evaluation Research; Solution Proposal; Philosophical Papers; Primary Research; Survey</t>
  </si>
  <si>
    <t>Model</t>
  </si>
  <si>
    <t>Philosophical Papers</t>
  </si>
  <si>
    <t>S6</t>
  </si>
  <si>
    <t>Power, E. M.</t>
  </si>
  <si>
    <t>Institute of Electrical and Electronics Engineers Inc.</t>
  </si>
  <si>
    <t>["Smart Systems for Health Agency, Ontario"]</t>
  </si>
  <si>
    <t>Canada</t>
  </si>
  <si>
    <t>Experience Papers</t>
  </si>
  <si>
    <t>Healthcare; Public</t>
  </si>
  <si>
    <t>Freedom of Information and Protection of Privacy Act (Canada); Personal Health Information Protection Act (Canada)</t>
  </si>
  <si>
    <t>S7</t>
  </si>
  <si>
    <t>International Conference on Information and Communication Technology, ICoICT</t>
  </si>
  <si>
    <t>["School of Computing, Telkom University, Bandung, Indonesia"]</t>
  </si>
  <si>
    <t>Indonesia</t>
  </si>
  <si>
    <t>Conference</t>
  </si>
  <si>
    <t>Framework</t>
  </si>
  <si>
    <t>S8</t>
  </si>
  <si>
    <t>Emerald Group Publishing Ltd.</t>
  </si>
  <si>
    <t>["Institute of Technology Management, National Chung Hsing University, Taichung, Taiwan"]</t>
  </si>
  <si>
    <t>Taiwan</t>
  </si>
  <si>
    <t>Personal Information Protection Act (Taiwan)</t>
  </si>
  <si>
    <t>Literature Review</t>
  </si>
  <si>
    <t>S9</t>
  </si>
  <si>
    <t>CRL Publishing</t>
  </si>
  <si>
    <t>["Institute of Technology Management, National Chung Hsing University, Taichung City, Taiwan"]</t>
  </si>
  <si>
    <t>Primary Research</t>
  </si>
  <si>
    <t>S10</t>
  </si>
  <si>
    <t>Procedia Computer Science</t>
  </si>
  <si>
    <t>["University of Auckland, Business School, 12 Grafton Road, Auckland, 1142, New Zealand", "Universiti Teknologi Mara Perak, Tapah Campus, Tapah, 35400, Malaysia"]</t>
  </si>
  <si>
    <t>New Zealand, Malaysia</t>
  </si>
  <si>
    <t>Survey (quanti.)</t>
  </si>
  <si>
    <t>S11</t>
  </si>
  <si>
    <t>Association for Information Systems</t>
  </si>
  <si>
    <t>["School of Business and Economics, Michigan Technological University, United States", "Department of Information Systems, City University of Hong Kong, Hong Kong", "California State University, Department of the Mihaylo College of Business, Fullerton, United States"]</t>
  </si>
  <si>
    <t>USA, Hong Kong</t>
  </si>
  <si>
    <t>Healthcare; Consumer; Financial; Private</t>
  </si>
  <si>
    <t>Fair Credit Reporting Act (US); Family Educational Rights and Privacy Act (US); Federal Information Security Management Act (US); Health Information Technology for Economic and Clinical Health (HITECH) Act (US); Payment Card Industry Digital Security Standard (PCI DSS) (US); Health Insurance Portability and Accountability Act (US)</t>
  </si>
  <si>
    <t>Experimental (quanti.)</t>
  </si>
  <si>
    <t>S12</t>
  </si>
  <si>
    <t>CSCW - Companion ACM Conference on Computer Supported Cooperative Work and Social Computing</t>
  </si>
  <si>
    <t>Association for Computing Machinery, Inc</t>
  </si>
  <si>
    <t>["Tel Aviv University, Tel Aviv, 6997801, Israel", "University of Haifa, Mount-Carmel, 3498838, Israel"]</t>
  </si>
  <si>
    <t>Israel</t>
  </si>
  <si>
    <t>Poster</t>
  </si>
  <si>
    <t>Primary Research; Survey</t>
  </si>
  <si>
    <t>Lessons Learned</t>
  </si>
  <si>
    <t>Not specific; Software Developers</t>
  </si>
  <si>
    <t>Fair Information Privacy Principles (FIPPs)</t>
  </si>
  <si>
    <t>Narrative (quali.)</t>
  </si>
  <si>
    <t>S13</t>
  </si>
  <si>
    <t>Cleveland-Marshall College of Law</t>
  </si>
  <si>
    <t>Faculty of Information Security, Herzing University, United States</t>
  </si>
  <si>
    <t>Fair Credit Reporting Act FCRA (US); Federal Trade Commission Act (US); Omnibus Crime Control and Safe Streets Act (US); Family Educational Rights and Privacy Act (US); Health Insurance Portability and Accountability Act  (US); Privacy Act 1974 (US); Right to Financial Privacy Act (US); Privacy Protection Act 1980 (US); Cable Communications Policy Act (US); Electronic Communications Privacy Act (US); Computer Matching and Privacy Protection Act (US); Employee Polygraph Protection Act (US); Video Privacy Protection Act (US); Telemarketing Protection Act (US); Gramm-Leach-Bliley Act (a.k.a. Financial Services Modernization Act) (US); Florida Statute 501.171 (US)</t>
  </si>
  <si>
    <t>Phenomenological (quali.)</t>
  </si>
  <si>
    <t>S14</t>
  </si>
  <si>
    <t>Springer New York LLC</t>
  </si>
  <si>
    <t>["Department of Information Systems, University of Haifa, 199 Aba Khoushy Ave. Mount Carmel, Haifa, 3498838, Israel", "Faculty of Engineering, Tel Aviv University, P.O. Box 39040, Tel Aviv, 6997801, Israel", "Faculty of Law, Tel Aviv University, P.O. Box 39040, Tel Aviv, 6997801, Israel"]</t>
  </si>
  <si>
    <t>Solution Proposal; Philosophical Papers; Primary Research; Grounded Theory</t>
  </si>
  <si>
    <t>EU General Data Protection Regulation; Fair Information Practice Principles (FIPPs)</t>
  </si>
  <si>
    <t>Grounded Theory (quali.)</t>
  </si>
  <si>
    <t>S15</t>
  </si>
  <si>
    <t>Swartz, P. and Da Veiga, A. and Martins, N.</t>
  </si>
  <si>
    <t>["College of Science, Engineering and Technology, University of South Africa", "Department of Industrial and Organisational Psychology, University of South Africa"]</t>
  </si>
  <si>
    <t>South Africa</t>
  </si>
  <si>
    <t>Solution Proposal; Philosophical Papers</t>
  </si>
  <si>
    <t>Protection of Personal Information Act (POPIA) (SA); EU General Data Protection Regulation; Data Directive (EU)</t>
  </si>
  <si>
    <t>Ethnography (quali.)</t>
  </si>
  <si>
    <t>S16</t>
  </si>
  <si>
    <t>Spiekermann, S. and Korunovska, J. and Langheinrich, M.</t>
  </si>
  <si>
    <t>["Institute for Information Systems and Society, Vienna University of Economics and Business (WU), Vienna, Austria", "Research Group for Ubiquitous Computing, Università della Svizzera italiana (USI), Lugano, Switzerland"]</t>
  </si>
  <si>
    <t>Austria, Switzerland</t>
  </si>
  <si>
    <t>Evaluation Research; Solution Proposal; Philosophical Papers; Primary Research; Survey; Other</t>
  </si>
  <si>
    <t>EU General Data Protection Regulation</t>
  </si>
  <si>
    <t>Case Studies (quali.)</t>
  </si>
  <si>
    <t>S17</t>
  </si>
  <si>
    <t xml:space="preserve"> Annual Information Technology, Electronics and Mobile Communication Conference, IEMCON</t>
  </si>
  <si>
    <t>["Stockholm University, Department of Computer and Systems Sciences, Stockholm, Sweden", "Bahir Dar Institute of Technology, Bahir Dar University, Bahir Dar, Ethiopia", "Addis Ababa Institute of Technology, Addis Ababa University, Addis Ababa, Ethiopia"]</t>
  </si>
  <si>
    <t>Sweden, Ethiopia</t>
  </si>
  <si>
    <t>Convergent (mixed)</t>
  </si>
  <si>
    <t>S18</t>
  </si>
  <si>
    <t>Tahaei, M. and Frik, A. and Vaniea, K.</t>
  </si>
  <si>
    <t>["School of Informatics University of Edinburgh, United Kingdom", "International Computer Science Institute, University of California, Berkeley, United States"]</t>
  </si>
  <si>
    <t>UK, USA</t>
  </si>
  <si>
    <t>Primary Research; Other</t>
  </si>
  <si>
    <t>EU General Data Protection Regulation; California Consumer Privacy Act (CCPA) (US)</t>
  </si>
  <si>
    <t>Explan. Seq. (mixed)</t>
  </si>
  <si>
    <t>S19</t>
  </si>
  <si>
    <t>Springer Science and Business Media Deutschland GmbH</t>
  </si>
  <si>
    <t>["Universidad Pontificia Comillas, Madrid, Spain", "Universidad Nacional de EducaciÃ³n a Distancia (UNED), Madrid, Spain"]</t>
  </si>
  <si>
    <t>Spain</t>
  </si>
  <si>
    <t>Philosophical Papers; Primary Research; Other</t>
  </si>
  <si>
    <t>Explor. Seq. (mixed)</t>
  </si>
  <si>
    <t>S20</t>
  </si>
  <si>
    <t>Springer</t>
  </si>
  <si>
    <t>["Information Technology and Systems, Indian Institute of Management Lucknow, Prabandh Nagar, Mubarakpur, Lucknow, UP  226013, India", "Department of Management Studies, Indian Institute of Technology Madras, Chennai, India", "Department of Decision and Information Sciences, School of Business Administration, Oakland University, Rochester, MI, United States"]</t>
  </si>
  <si>
    <t>India, USA</t>
  </si>
  <si>
    <t>Model; Theory; Lessons Learned</t>
  </si>
  <si>
    <t>EU General Data Protection Regulation; Health Insurance Portability and Accountability Act (US); Children’s Online Privacy Protection Act (US); California Consumer Privacy Act (US)</t>
  </si>
  <si>
    <t>Complex Designs (mixed)</t>
  </si>
  <si>
    <t>S21</t>
  </si>
  <si>
    <t>fw snowballing</t>
  </si>
  <si>
    <t>Alge B. J. and Greenberg, J. and Brinsfield, C. T.</t>
  </si>
  <si>
    <t>An Identity-Based Model of Organizational Monitoring: Integrating Information Privacy and Organizational Justice</t>
  </si>
  <si>
    <t>Research in Personnel and Human Resources Management</t>
  </si>
  <si>
    <t>Emerald</t>
  </si>
  <si>
    <t>["Purdue University's Krannert School of Management, USA", "Department of Management and Organization, Pennsylvania State University, USA",]</t>
  </si>
  <si>
    <t>Model; Advice</t>
  </si>
  <si>
    <t>Other (quali.)</t>
  </si>
  <si>
    <t>S22</t>
  </si>
  <si>
    <t>Bélanger F. and Crossler R.E.</t>
  </si>
  <si>
    <t>Privacy in the Digital Age: A Review of Information Privacy Research in Information Systems</t>
  </si>
  <si>
    <t>Management Information Systems Quarterly</t>
  </si>
  <si>
    <t>Management Information Systems Research Center, University of Minnesota</t>
  </si>
  <si>
    <t>["Pamplin College of Business, Virginia Tech, 3007 Pamplin Hall, Blacksburg, VA 24061-0101 U.S.A", "Department of Management and Information Systems, College of Business, Mississippi State University, P.O. Box 9581, Mississippi State, MS 39762-9"]</t>
  </si>
  <si>
    <t>Philosophical Papers; Literature Review</t>
  </si>
  <si>
    <t>S23</t>
  </si>
  <si>
    <t>Smith, S. A. and Brunner, S. R.</t>
  </si>
  <si>
    <t>To Reveal or Conceal: Using Communication Privacy Management Theory to Understand Disclosures in the Workplace</t>
  </si>
  <si>
    <t>Management Communication Quarterly</t>
  </si>
  <si>
    <t>["Department of Communication, Virginia Tech, 181 Turner Street NW, Shanks Hall 101 (0311), Blacksburg, VA 24061, USA","University of California, Davis, USA"]</t>
  </si>
  <si>
    <t>Primary Research; Grounded Theory</t>
  </si>
  <si>
    <t>Health Insurance Portability and Accountability Act (US); Electronic Communications Privacy Act (US)</t>
  </si>
  <si>
    <t>Contribution Types</t>
  </si>
  <si>
    <t>S24</t>
  </si>
  <si>
    <t>Degirmenci, K. and Shim, J. P. and Breitner, M. H. and Nolte, F. and Passlick, J.</t>
  </si>
  <si>
    <t>Future of Flexible Work in the Digital Age: Bring Your Own Device Challenges of Privacy Protection</t>
  </si>
  <si>
    <t>Fortieth International Conference on Information Systems, ICIS</t>
  </si>
  <si>
    <t>["School of Information Systems, Queensland University of Technology, Brisbane, QLD, Australia","Department of Computer Information Systems, Georgia State University, Atlanta, GA, United States","Information Systems Institute, Leibniz University Hannover, Hannover, Germany"]</t>
  </si>
  <si>
    <t>Australia, USA, Germany</t>
  </si>
  <si>
    <t>S25</t>
  </si>
  <si>
    <t>Henry, J.</t>
  </si>
  <si>
    <t>Management Ethics: How Social Media Affects Employees’ Privacy and Organizational Climate?</t>
  </si>
  <si>
    <t>["Northcentral University, La Jolla, California, USA"]</t>
  </si>
  <si>
    <t>Thesis</t>
  </si>
  <si>
    <t>Framework; Advice</t>
  </si>
  <si>
    <t>National Labor Relations Act (NLRA) (US); US Constitution the Fourth Amendment</t>
  </si>
  <si>
    <t>Theory</t>
  </si>
  <si>
    <t>S26</t>
  </si>
  <si>
    <t>Ravid, D. M. and Tomczak, D. L. and White, J. C. and Behrend, T. S.</t>
  </si>
  <si>
    <t>EPM 20/20: A Review, Framework, and Research Agenda for Electronic Performance Monitoring</t>
  </si>
  <si>
    <t>Journal of Management</t>
  </si>
  <si>
    <t>["George Washington University, 600 21st Street NW, Washington, DC 20052, USA"]</t>
  </si>
  <si>
    <t>S27</t>
  </si>
  <si>
    <t>Arizon-Peretz, R. and Hadar, I. and Luria, G. and Sherman, S.</t>
  </si>
  <si>
    <t>Understanding developers’ privacy and security mindsets via climate theory</t>
  </si>
  <si>
    <t>["Department of Information Systems, University of Haifa, Haifa, Israel", "Department of Human Services, University of Haifa, Haifa, Israel", "Department of Human Services, University of Haifa, Haifa, Israel"]</t>
  </si>
  <si>
    <t>S28</t>
  </si>
  <si>
    <t>Nurgalieva, L. and Frik, A. and Doherty, G.</t>
  </si>
  <si>
    <t>WiP: Factors Affecting the Implementation of Privacy and Security Practices in Software Development: a Narrative Review</t>
  </si>
  <si>
    <t>Hot Topics in the Science of Security (HotSoS'21)</t>
  </si>
  <si>
    <t>Association for Computing Machinery</t>
  </si>
  <si>
    <t>["Trinity College Dublin Dublin, Ireland","University of California Berkeley Berkeley, USA"]</t>
  </si>
  <si>
    <t>Ireland, USA</t>
  </si>
  <si>
    <t>Health Insurance Portability and Accountability Act (US); Children’s Online Privacy Protection Act (US); Family Educational Rights and Privacy Act (US)</t>
  </si>
  <si>
    <t>S29</t>
  </si>
  <si>
    <t>Validating an information privacy governance questionnaire to measure the perception of employees</t>
  </si>
  <si>
    <t>Information and Computer Security</t>
  </si>
  <si>
    <t>["University of South Africa – Florida Campus, Florida, South Africa","School of Computing, University of South Africa (UNISA), Johannesburg, South Africa","College of Economic and Management Sciences, University of South Africa, Pretoria, South Africa"]</t>
  </si>
  <si>
    <t>Evaluation Research; Primary Research; Survey</t>
  </si>
  <si>
    <t>Banking; Public; Private</t>
  </si>
  <si>
    <t>Protection of Personal Information Act (POPIA) (SA); EU General Data Protection Regulation; Data Protection Act (EU)</t>
  </si>
  <si>
    <t>S30</t>
  </si>
  <si>
    <t>bw snowballing</t>
  </si>
  <si>
    <t>Alder, G. S.</t>
  </si>
  <si>
    <t>Employee reactions to electronic performance monitoring: A consequence of organizational culture</t>
  </si>
  <si>
    <t>Journal of High Technology Management Research</t>
  </si>
  <si>
    <t>Elsevier</t>
  </si>
  <si>
    <t>["Management Department, College of Business and Technology, Western Illinois University, Macomb, IL 61455, USA"]</t>
  </si>
  <si>
    <t>Privacy for Consumers and Worker’s Act</t>
  </si>
  <si>
    <t>Tool</t>
  </si>
  <si>
    <t>S31</t>
  </si>
  <si>
    <t>Culnan, M. J. and Williams, C. C.</t>
  </si>
  <si>
    <t>How ethics can enhance organizational privacy: lessons from the ChoicePoint and TJX data breaches</t>
  </si>
  <si>
    <t>["IPM Department Bentley University 175 Forest Street Waltham, MA 02452 U.S.A.", "Management Department Bentley University 175 Forest Street Waltham, MA 02452 U.S.A."]</t>
  </si>
  <si>
    <t>Fair information practices (FIPs); Generally Accepted Privacy Principles (GAPP) (US, Canada); Fair Credit Reporting Act (FCRA) (US); Gramm-Leach-Bliley Act (GLBA) (US); Health Insurance Portability and Accountability Act (HIPAA); Federal Trade Commission Act (US); Massachusetts Security Rule (US); Payment Card Industry Data Security Standard (PCI-DSS) (US)</t>
  </si>
  <si>
    <t>S32</t>
  </si>
  <si>
    <t>Da Veiga, A. and Martins, N.</t>
  </si>
  <si>
    <t>Information security culture and information protection culture: A validated assessment instrument</t>
  </si>
  <si>
    <t>Computer Law &amp; Security Review</t>
  </si>
  <si>
    <t>["College of Science, Engineering and Technology, School of Computing, University of South Africa, South Africa","Department of Industrial and Organisational Psychology, University of South Africa, South Africa"]</t>
  </si>
  <si>
    <t>Model; Tool</t>
  </si>
  <si>
    <t>Financial; Private</t>
  </si>
  <si>
    <t>Organisation of Economic Cooperation and Development (OECD); EU Directive 95/46/EC; Protection of Personal Information Act (SA); UN Universal Declaration of Human Rights; Code of Fair Information Practices</t>
  </si>
  <si>
    <t>S33</t>
  </si>
  <si>
    <t>Attili, V. S. P. Mathew, S. K. and Sugumaran, V.</t>
  </si>
  <si>
    <t>Understanding information privacy assimilation in IT organizations using multi-site case studies</t>
  </si>
  <si>
    <t>Communications of the Association for Information Systems</t>
  </si>
  <si>
    <t>["Education Training and Assessment, Infosys Ltd, India","Department of Management Studies, IIT Madras, India","Decision and Information Sciences, Oakland University, USA"]</t>
  </si>
  <si>
    <t>Solution Proposal; Philosophical Papers; Primary Research; Case Studies</t>
  </si>
  <si>
    <t>Model; Theory; Guideline</t>
  </si>
  <si>
    <t>Organisation Types</t>
  </si>
  <si>
    <t>S34</t>
  </si>
  <si>
    <t>Smith, H. J.</t>
  </si>
  <si>
    <t>Privacy policies and practices: Inside the organizational maze</t>
  </si>
  <si>
    <t>Communications of the ACM</t>
  </si>
  <si>
    <t>["Georgetown University, School of Business, 313 Old North, Washingtou, DC, USA"]</t>
  </si>
  <si>
    <t>Health Insurance; Credit Card; Banking; Private</t>
  </si>
  <si>
    <t>Fair Information Practices (US)</t>
  </si>
  <si>
    <t>S35</t>
  </si>
  <si>
    <t>Waldman, A. E.</t>
  </si>
  <si>
    <t>Designing without privacy</t>
  </si>
  <si>
    <t>Houston Law Review</t>
  </si>
  <si>
    <t>University of Houston Law Center</t>
  </si>
  <si>
    <t>["Innovation Center for Law and, Technology, New York Law School., USA"]</t>
  </si>
  <si>
    <t>Primary Research; Ethnography</t>
  </si>
  <si>
    <t>Not specific; Software Developers; Lawyers</t>
  </si>
  <si>
    <t xml:space="preserve">Fair Information Practices Principles; Health Information Portability and Accountability Act (US); Gramm-Leach-Bliley Act (US); California's Online Privacy Protection Act (US); </t>
  </si>
  <si>
    <t>Financial/Banking/Credit Card</t>
  </si>
  <si>
    <t>S36</t>
  </si>
  <si>
    <t>Greenaway, K. and Chan, Y.</t>
  </si>
  <si>
    <t>Theoretical Explanations for Firms’ Information Privacy Behaviors</t>
  </si>
  <si>
    <t>["Queen’s School of Business, Queen’s University, Kingston, Ontario, Canada"]</t>
  </si>
  <si>
    <t>Theory; Guideline</t>
  </si>
  <si>
    <t>Consumer</t>
  </si>
  <si>
    <t>Health Insurance</t>
  </si>
  <si>
    <t>Education</t>
  </si>
  <si>
    <t>Public</t>
  </si>
  <si>
    <t>Private</t>
  </si>
  <si>
    <t>Year</t>
  </si>
  <si>
    <t>Publications per year</t>
  </si>
  <si>
    <t>Publication Type</t>
  </si>
  <si>
    <t>Total</t>
  </si>
  <si>
    <t>Countries</t>
  </si>
  <si>
    <t>Software Developers</t>
  </si>
  <si>
    <t>United States</t>
  </si>
  <si>
    <t>Lawyers</t>
  </si>
  <si>
    <t>Conference paper</t>
  </si>
  <si>
    <t>Most Mentioned Regulations</t>
  </si>
  <si>
    <t>EU GDPR</t>
  </si>
  <si>
    <t>US HIPAA</t>
  </si>
  <si>
    <t>India</t>
  </si>
  <si>
    <t>US FIPPs</t>
  </si>
  <si>
    <t>Austria</t>
  </si>
  <si>
    <t>US FCRA</t>
  </si>
  <si>
    <t>Ethiopia</t>
  </si>
  <si>
    <t>US FERPA</t>
  </si>
  <si>
    <t>Hong Kong</t>
  </si>
  <si>
    <t>ZA POPIA</t>
  </si>
  <si>
    <t>US CCPA</t>
  </si>
  <si>
    <t>Ireland</t>
  </si>
  <si>
    <t>US GLBA</t>
  </si>
  <si>
    <t>Malaysia</t>
  </si>
  <si>
    <t>Other</t>
  </si>
  <si>
    <t>New Zealand</t>
  </si>
  <si>
    <t>Payment Card Industry Digital Security Standard (PCI DSS) (US)</t>
  </si>
  <si>
    <t>Federal Trade Commission Act (US);</t>
  </si>
  <si>
    <t>Sweden</t>
  </si>
  <si>
    <t>Data Directive (EU); EU Directive 95/46/EC</t>
  </si>
  <si>
    <t>Switzerland</t>
  </si>
  <si>
    <t>Electronic Communications Privacy Act (US)</t>
  </si>
  <si>
    <t>United Kingdom</t>
  </si>
  <si>
    <t>Children’s Online Privacy Protection Act (US)</t>
  </si>
  <si>
    <t>Many regulations mentioned once</t>
  </si>
  <si>
    <t>Publications Types per Year</t>
  </si>
  <si>
    <t>authors expanded</t>
  </si>
  <si>
    <t>3 publ.</t>
  </si>
  <si>
    <t>2 publ.</t>
  </si>
  <si>
    <t>1 publ.</t>
  </si>
  <si>
    <t>Patel, V.L.</t>
  </si>
  <si>
    <t>Arocha, J.F.</t>
  </si>
  <si>
    <t>Shortliffe, E.H.</t>
  </si>
  <si>
    <t>Da Veiga, A.</t>
  </si>
  <si>
    <t>Alge, B.J.</t>
  </si>
  <si>
    <t>Adrian, M.</t>
  </si>
  <si>
    <t>Hasson, T.</t>
  </si>
  <si>
    <t>Shim, J. P.</t>
  </si>
  <si>
    <t>Calloway, S.D.</t>
  </si>
  <si>
    <t>Venegas, L.M.</t>
  </si>
  <si>
    <t>Alge B. J.</t>
  </si>
  <si>
    <t>Attili, V.S.P.</t>
  </si>
  <si>
    <t>Arizon-Peretz, R.</t>
  </si>
  <si>
    <t>Ibáñez, J.C.</t>
  </si>
  <si>
    <t>Chen, V.J.</t>
  </si>
  <si>
    <t>Ross, W.H.</t>
  </si>
  <si>
    <t>Hadar, I.</t>
  </si>
  <si>
    <t>Janczewski, L.</t>
  </si>
  <si>
    <t>Smith, S. A.</t>
  </si>
  <si>
    <t>Ballinger, G.A.</t>
  </si>
  <si>
    <t>Tangirala, S.</t>
  </si>
  <si>
    <t>Oakley, J.L.</t>
  </si>
  <si>
    <t>Ayalon, O.</t>
  </si>
  <si>
    <t>Balissa, A.</t>
  </si>
  <si>
    <t>Jonathan, G.M.</t>
  </si>
  <si>
    <t>Spiekermann, S.</t>
  </si>
  <si>
    <t>Korunovska, J.</t>
  </si>
  <si>
    <t>Tahaei, M.</t>
  </si>
  <si>
    <t>Selviandro, N.</t>
  </si>
  <si>
    <t>Wisudiawan, G.</t>
  </si>
  <si>
    <t>Puspitasari, S.</t>
  </si>
  <si>
    <t>Martins, N.</t>
  </si>
  <si>
    <t>Birnhack, M.</t>
  </si>
  <si>
    <t>Barlow, J.B.</t>
  </si>
  <si>
    <t>Langheinrich, M.</t>
  </si>
  <si>
    <t>Chang, S.E.</t>
  </si>
  <si>
    <t>Liu, A.Y.</t>
  </si>
  <si>
    <t>Lin, S.</t>
  </si>
  <si>
    <t>Behrend, T. S.</t>
  </si>
  <si>
    <t>Tomczak, D. L.</t>
  </si>
  <si>
    <t>Bélanger F.</t>
  </si>
  <si>
    <t>Lowry, P.B.</t>
  </si>
  <si>
    <t>Vaniea, K.</t>
  </si>
  <si>
    <t>Salleh, K.A.</t>
  </si>
  <si>
    <t>Martinho R.</t>
  </si>
  <si>
    <t>Rijo R.</t>
  </si>
  <si>
    <t>Cruz-Cunha M.M.</t>
  </si>
  <si>
    <t>Bjorn-Andersen N.</t>
  </si>
  <si>
    <t>Quintela Varajao J.E.</t>
  </si>
  <si>
    <t>Luria, G.</t>
  </si>
  <si>
    <t>Wall, J.D.</t>
  </si>
  <si>
    <t>Frik, A.</t>
  </si>
  <si>
    <t>Breitner, M. H.</t>
  </si>
  <si>
    <t>Toch, E.</t>
  </si>
  <si>
    <t>Brinsfield, C. T.</t>
  </si>
  <si>
    <t>Nolte, F.</t>
  </si>
  <si>
    <t>Brunner, S. R.</t>
  </si>
  <si>
    <t>Nurgalieva, L.</t>
  </si>
  <si>
    <t>White, J. C.</t>
  </si>
  <si>
    <t>Sherman, S.</t>
  </si>
  <si>
    <t>Williams, C. C.</t>
  </si>
  <si>
    <t>Swartz, P.</t>
  </si>
  <si>
    <t>Mathew, S.K.</t>
  </si>
  <si>
    <t>Chan, Y.</t>
  </si>
  <si>
    <t>Olmeda, M.V.</t>
  </si>
  <si>
    <t>Passlick, J.</t>
  </si>
  <si>
    <t>Yalew, S.D.</t>
  </si>
  <si>
    <t>Gebremeskel, B.K.</t>
  </si>
  <si>
    <t>Paul R.</t>
  </si>
  <si>
    <t>Crossler R.E.</t>
  </si>
  <si>
    <t>Sugumaran, V.</t>
  </si>
  <si>
    <t>Culnan, M. J.</t>
  </si>
  <si>
    <t>Degirmenci, K.</t>
  </si>
  <si>
    <t>Greenberg, J.</t>
  </si>
  <si>
    <t>Doherty, G.</t>
  </si>
  <si>
    <t>Ravid, D. M.</t>
  </si>
  <si>
    <t>Greenaway, K.</t>
  </si>
  <si>
    <t>affiliations expanded</t>
  </si>
  <si>
    <t>McGill University, Canada</t>
  </si>
  <si>
    <t>Columbia University, USA</t>
  </si>
  <si>
    <t>University of California, USA</t>
  </si>
  <si>
    <t>Indian Institute of Technology Madras, India</t>
  </si>
  <si>
    <t>Envision Inc., USA</t>
  </si>
  <si>
    <t>University of Haifa, Israel</t>
  </si>
  <si>
    <t>National Chung Hsing University, Taiwan</t>
  </si>
  <si>
    <t>Austin Health, Australia</t>
  </si>
  <si>
    <t>University of South Africa, South Africa</t>
  </si>
  <si>
    <t>Oakland University, USA</t>
  </si>
  <si>
    <t>National Cheng Kung University, Taiwan</t>
  </si>
  <si>
    <t>University of Wisconsin-La Crosse, USA</t>
  </si>
  <si>
    <t>Purdue University, USA</t>
  </si>
  <si>
    <t>University of Virginia, USA</t>
  </si>
  <si>
    <t>Tel Aviv University, Israel</t>
  </si>
  <si>
    <t>Smart Systems for Health Agency, Canada</t>
  </si>
  <si>
    <t>Virginia Tech, USA</t>
  </si>
  <si>
    <t>Telkom University, Indonesia</t>
  </si>
  <si>
    <t>University of Auckland, New Zealand</t>
  </si>
  <si>
    <t>Universiti Teknologi Mara Perak, Malaysia</t>
  </si>
  <si>
    <t>Michigan Technological University, USA</t>
  </si>
  <si>
    <t>City University of Hong Kong, Hong Kong</t>
  </si>
  <si>
    <t>California State University, USA</t>
  </si>
  <si>
    <t>Herzing University, USA</t>
  </si>
  <si>
    <t>Vienna University of Economics and Business, Austria</t>
  </si>
  <si>
    <t>Università della Svizzera italiana, Switzerland</t>
  </si>
  <si>
    <t>Stockholm University, Sweden</t>
  </si>
  <si>
    <t>Bahir Dar University, Ethiopia</t>
  </si>
  <si>
    <t>Addis Ababa University, Ethiopia</t>
  </si>
  <si>
    <t>University of Edinburgh, UK</t>
  </si>
  <si>
    <t>Universidad Pontificia Comillas, Spain</t>
  </si>
  <si>
    <t>Universidad Nacional de Educacion a Distancia, Spain</t>
  </si>
  <si>
    <t>Indian Institute of Management Lucknow, India</t>
  </si>
  <si>
    <t>Pennsylvania State University, USA</t>
  </si>
  <si>
    <t>Mississippi State University, USA</t>
  </si>
  <si>
    <t>Queensland University of Technology, Australia</t>
  </si>
  <si>
    <t>Georgia State University, USA</t>
  </si>
  <si>
    <t>Leibniz University Hannover, Germany</t>
  </si>
  <si>
    <t>Northcentral University, USA</t>
  </si>
  <si>
    <t>George Washington University, USA</t>
  </si>
  <si>
    <t>Trinity College Dublin, Ireland</t>
  </si>
  <si>
    <t>Western Illinois University, USA</t>
  </si>
  <si>
    <t>Bentley University, USA</t>
  </si>
  <si>
    <t>Infosys Ltd, India</t>
  </si>
  <si>
    <t>Georgetown University, USA</t>
  </si>
  <si>
    <t>New York Law School, USA</t>
  </si>
  <si>
    <t>Queen’s University, Canada</t>
  </si>
  <si>
    <t>Journals and Conferences (A-Z)</t>
  </si>
  <si>
    <t>Comp &amp; IT</t>
  </si>
  <si>
    <t>Sec &amp; Pri</t>
  </si>
  <si>
    <t>Mangt &amp; Org</t>
  </si>
  <si>
    <t>Health</t>
  </si>
  <si>
    <t>Law</t>
  </si>
  <si>
    <t>Psych</t>
  </si>
  <si>
    <t>Annual Information Technology, Electronics and Mobile Communication Conference, IEMCON</t>
  </si>
  <si>
    <t>totals</t>
  </si>
  <si>
    <t>General Data Protection Regulation (EU)</t>
  </si>
  <si>
    <t>Fair Information Practice Principles (FIPPs)</t>
  </si>
  <si>
    <t>California Consumer Privacy Act (CCPA) (US)</t>
  </si>
  <si>
    <t>Fair Credit Reporting Act (FCRA) (US)</t>
  </si>
  <si>
    <t>Family Educational Rights and Privacy Act (US)</t>
  </si>
  <si>
    <t>Gramm-Leach-Bliley Act (a.k.a. Financial Services Modernization Act) (US)</t>
  </si>
  <si>
    <t>Protection of Personal Information Act (POPIA) (SA)</t>
  </si>
  <si>
    <t>Data Directive (EU), Directive 95/46/EC (EU)</t>
  </si>
  <si>
    <t>Federal Trade Commission Act (US)</t>
  </si>
  <si>
    <t>Cable Communications Policy Act (US)</t>
  </si>
  <si>
    <t xml:space="preserve">California's Online Privacy Protection Act (US); </t>
  </si>
  <si>
    <t>Computer Matching and Privacy Protection Act (US)</t>
  </si>
  <si>
    <t>Data Protection Act (EU)</t>
  </si>
  <si>
    <t>Employee Polygraph Protection Act (US)</t>
  </si>
  <si>
    <t>Federal Information Security Management Act (US)</t>
  </si>
  <si>
    <t>Florida Statute 501.171 (US)</t>
  </si>
  <si>
    <t>Freedom of Information and Protection of Privacy Act (Canada)</t>
  </si>
  <si>
    <t xml:space="preserve">Generally Accepted Privacy Principles (GAPP) (US, Canada); </t>
  </si>
  <si>
    <t>Health Information Technology for Economic and Clinical Health (HITECH) Act (US)</t>
  </si>
  <si>
    <t>Massachusetts Security Rule (US)</t>
  </si>
  <si>
    <t>National Labor Relations Act (NLRA) (US)</t>
  </si>
  <si>
    <t>Omnibus Crime Control and Safe Streets Act (US)</t>
  </si>
  <si>
    <t>Organisation of Economic Cooperation and Development (OECD)</t>
  </si>
  <si>
    <t>Personal Health Information Protection Act (Canada)</t>
  </si>
  <si>
    <t>Privacy Act 1974 (US)</t>
  </si>
  <si>
    <t>Privacy Protection Act 1980 (US)</t>
  </si>
  <si>
    <t>Right to Financial Privacy Act (US)</t>
  </si>
  <si>
    <t>Telemarketing Protection Act (US)</t>
  </si>
  <si>
    <t>UN Universal Declaration of Human Rights</t>
  </si>
  <si>
    <t>US Constitution the Fourth Amendment</t>
  </si>
  <si>
    <t>Video Privacy Protection Act (US)</t>
  </si>
  <si>
    <t>Critical Appraisal of a Cross-Sectional Study (Survey)</t>
  </si>
  <si>
    <t>Cross sectional studies</t>
  </si>
  <si>
    <t>1. Did the study address a clearly focused question / issue?</t>
  </si>
  <si>
    <t>2. Is the research method (study design) appropriate for answering the research question?</t>
  </si>
  <si>
    <t>3. Is the method of selection of the subjects (employees, teams, divisions, organizations) clearly described?</t>
  </si>
  <si>
    <t>4. Could the way the sample was obtained introduce (selection)bias?</t>
  </si>
  <si>
    <t>5. Was the sample of subjects representative with regard to the population to which the findings will be referred?</t>
  </si>
  <si>
    <t>6. Was the sample size based on pre-study considerations of statistical power?</t>
  </si>
  <si>
    <t>7. Was a satisfactory response rate achieved?</t>
  </si>
  <si>
    <t>8. Are the measurements (questionnaires) likely to be valid and reliable?</t>
  </si>
  <si>
    <t>9. Was the statistical significance assessed?</t>
  </si>
  <si>
    <t>10. Are confidence intervals given for the main results?</t>
  </si>
  <si>
    <t>11. Could there be confounding factors that haven’t been accounted for?</t>
  </si>
  <si>
    <t>12. Can the results be applied to your organization?</t>
  </si>
  <si>
    <t>Yes</t>
  </si>
  <si>
    <t>No</t>
  </si>
  <si>
    <t>The authors also made 8 interviews, but we will only consider the quantitative survey, since there is no decrisption of the qualitative data analysis.</t>
  </si>
  <si>
    <t>Critical Appraisal of a Qualitative Study</t>
  </si>
  <si>
    <t>Qualitative studies</t>
  </si>
  <si>
    <t>3. Was the context clearly described?</t>
  </si>
  <si>
    <t>4. How was the fieldwork undertaken? Was it described in detail? Are the methods for collecting data clearly described?</t>
  </si>
  <si>
    <t>5. Could the evidence (fieldwork notes, interview transcripts, recordings, documentary analysis, etc.) be inspected independently by others?</t>
  </si>
  <si>
    <t>6. Are the procedures for data analysis reliable and theoretically justified? Are quality control measures used?</t>
  </si>
  <si>
    <t>7. Was the analysis repeated by more than one researcher to ensure reliability?</t>
  </si>
  <si>
    <t>8. Are the results credible, and if so, are they relevant for practice?</t>
  </si>
  <si>
    <t>9. Are the conclusions drawn justified by the results?</t>
  </si>
  <si>
    <t>10. Are the findings of the study transferable to other settings?</t>
  </si>
  <si>
    <t>Primary Research; Survey; Grounded Theory</t>
  </si>
  <si>
    <t>Solution Proposal; Philosophical Papers; Primary Study; Case Studies</t>
  </si>
  <si>
    <t>No*</t>
  </si>
  <si>
    <t>Primary Research; Survey; Other</t>
  </si>
  <si>
    <t>The author also ran a 1-question (qualitative) survey, but we will only consider the qualitative research.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</si>
</sst>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name val="Calibri"/>
      <family val="2"/>
      <scheme val="minor"/>
    </font>
    <font>
      <sz val="11"/>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rgb="FFB2B2B2"/>
      </right>
      <top style="thin">
        <color indexed="64"/>
      </top>
      <bottom style="thin">
        <color indexed="64"/>
      </bottom>
      <diagonal/>
    </border>
    <border>
      <left style="thin">
        <color rgb="FFB2B2B2"/>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1">
    <xf numFmtId="0" fontId="0" fillId="0" borderId="0" xfId="0"/>
    <xf numFmtId="0" fontId="16" fillId="0" borderId="0" xfId="0" applyFont="1"/>
    <xf numFmtId="0" fontId="6" fillId="2" borderId="0" xfId="6"/>
    <xf numFmtId="0" fontId="14" fillId="0" borderId="0" xfId="14"/>
    <xf numFmtId="0" fontId="7" fillId="3" borderId="0" xfId="7"/>
    <xf numFmtId="0" fontId="16" fillId="0" borderId="0" xfId="0" applyFont="1" applyAlignment="1">
      <alignment horizontal="right"/>
    </xf>
    <xf numFmtId="0" fontId="0" fillId="0" borderId="0" xfId="0" applyAlignment="1">
      <alignment horizontal="right"/>
    </xf>
    <xf numFmtId="0" fontId="14" fillId="0" borderId="0" xfId="0" applyFont="1"/>
    <xf numFmtId="0" fontId="19" fillId="0" borderId="0" xfId="0" applyFont="1"/>
    <xf numFmtId="0" fontId="16" fillId="0" borderId="10" xfId="0" applyFont="1" applyBorder="1"/>
    <xf numFmtId="0" fontId="16" fillId="0" borderId="11" xfId="0" applyFont="1" applyBorder="1"/>
    <xf numFmtId="0" fontId="16" fillId="0" borderId="12" xfId="0" applyFont="1" applyBorder="1"/>
    <xf numFmtId="0" fontId="0" fillId="0" borderId="13" xfId="0" applyBorder="1"/>
    <xf numFmtId="0" fontId="0" fillId="0" borderId="14" xfId="0" applyBorder="1"/>
    <xf numFmtId="0" fontId="15" fillId="0" borderId="13" xfId="16" applyBorder="1"/>
    <xf numFmtId="0" fontId="0" fillId="0" borderId="15" xfId="0" applyBorder="1"/>
    <xf numFmtId="0" fontId="0" fillId="0" borderId="16" xfId="0" applyBorder="1"/>
    <xf numFmtId="0" fontId="0" fillId="0" borderId="17" xfId="0" applyBorder="1"/>
    <xf numFmtId="0" fontId="18" fillId="0" borderId="10" xfId="0" applyFont="1" applyBorder="1"/>
    <xf numFmtId="0" fontId="18" fillId="0" borderId="12" xfId="0" applyFont="1" applyBorder="1"/>
    <xf numFmtId="0" fontId="15" fillId="0" borderId="14" xfId="16" applyBorder="1"/>
    <xf numFmtId="0" fontId="0" fillId="0" borderId="0" xfId="0" applyAlignment="1">
      <alignment wrapText="1"/>
    </xf>
    <xf numFmtId="0" fontId="16" fillId="0" borderId="0" xfId="0" applyFont="1" applyAlignment="1">
      <alignment horizontal="center"/>
    </xf>
    <xf numFmtId="0" fontId="0" fillId="0" borderId="0" xfId="0" applyAlignment="1">
      <alignment horizontal="center"/>
    </xf>
    <xf numFmtId="0" fontId="16" fillId="0" borderId="10" xfId="0" applyFont="1" applyBorder="1" applyAlignment="1">
      <alignment horizontal="center"/>
    </xf>
    <xf numFmtId="0" fontId="16" fillId="0" borderId="11" xfId="0" applyFont="1" applyBorder="1" applyAlignment="1">
      <alignment horizontal="center"/>
    </xf>
    <xf numFmtId="0" fontId="16" fillId="0" borderId="12" xfId="0" applyFont="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11" fillId="6" borderId="4" xfId="11" applyAlignment="1">
      <alignment horizontal="center"/>
    </xf>
    <xf numFmtId="0" fontId="16" fillId="0" borderId="18" xfId="0" applyFont="1" applyBorder="1" applyAlignment="1">
      <alignment horizontal="center"/>
    </xf>
    <xf numFmtId="0" fontId="0" fillId="0" borderId="19" xfId="0" applyBorder="1"/>
    <xf numFmtId="0" fontId="0" fillId="0" borderId="20" xfId="0" applyBorder="1"/>
    <xf numFmtId="0" fontId="0" fillId="0" borderId="0" xfId="0" applyAlignment="1">
      <alignment textRotation="90" wrapText="1"/>
    </xf>
    <xf numFmtId="0" fontId="0" fillId="8" borderId="8" xfId="15" applyFont="1"/>
    <xf numFmtId="0" fontId="0" fillId="8" borderId="8" xfId="15" applyFont="1" applyAlignment="1">
      <alignment horizontal="center"/>
    </xf>
    <xf numFmtId="0" fontId="19" fillId="0" borderId="0" xfId="0" applyFont="1" applyAlignment="1">
      <alignment horizontal="center"/>
    </xf>
    <xf numFmtId="0" fontId="15" fillId="0" borderId="10" xfId="16" applyBorder="1"/>
    <xf numFmtId="0" fontId="15" fillId="0" borderId="12" xfId="16" applyBorder="1"/>
    <xf numFmtId="0" fontId="15" fillId="0" borderId="15" xfId="16" applyBorder="1"/>
    <xf numFmtId="0" fontId="15" fillId="0" borderId="17" xfId="16" applyBorder="1"/>
    <xf numFmtId="0" fontId="16" fillId="0" borderId="0" xfId="0" applyFont="1" applyAlignment="1">
      <alignment horizontal="left"/>
    </xf>
    <xf numFmtId="0" fontId="16" fillId="0" borderId="0" xfId="0" applyFont="1" applyAlignment="1">
      <alignment horizontal="left"/>
    </xf>
    <xf numFmtId="0" fontId="0" fillId="8" borderId="21" xfId="15" applyFont="1" applyBorder="1" applyAlignment="1">
      <alignment horizontal="center"/>
    </xf>
    <xf numFmtId="0" fontId="0" fillId="8" borderId="22" xfId="15" applyFont="1" applyBorder="1" applyAlignment="1">
      <alignment horizontal="center"/>
    </xf>
    <xf numFmtId="0" fontId="16" fillId="0" borderId="10" xfId="0" applyFont="1" applyBorder="1" applyAlignment="1">
      <alignment horizontal="center"/>
    </xf>
    <xf numFmtId="0" fontId="16" fillId="0" borderId="11" xfId="0" applyFont="1" applyBorder="1" applyAlignment="1">
      <alignment horizontal="center"/>
    </xf>
    <xf numFmtId="0" fontId="16" fillId="0" borderId="12" xfId="0" applyFont="1" applyBorder="1" applyAlignment="1">
      <alignment horizontal="center"/>
    </xf>
  </cellXfs>
  <cellStyles count="42">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Neutro" xfId="8" builtinId="28" customBuiltin="1"/>
    <cellStyle name="Normal" xfId="0" builtinId="0"/>
    <cellStyle name="Nota" xfId="15" builtinId="10" customBuiltin="1"/>
    <cellStyle name="Ruim" xfId="7" builtinId="27"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0"/>
  <tableStyles count="0" defaultTableStyle="TableStyleMedium2" defaultPivotStyle="PivotStyleLight16"/>
  <colors>
    <mruColors>
      <color rgb="FFA6CEE3"/>
      <color rgb="FF1F78B4"/>
      <color rgb="FFB2DF8A"/>
      <color rgb="FF33A02C"/>
      <color rgb="FFD40000"/>
      <color rgb="FFEA0000"/>
      <color rgb="FF018571"/>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'Selected Studies'!$G$43</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2-20BD-4B9C-8EE8-AEEA0C819CE9}"/>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4-20BD-4B9C-8EE8-AEEA0C819CE9}"/>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F8A9-4DD6-AECD-3B456CA50724}"/>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F8A9-4DD6-AECD-3B456CA50724}"/>
              </c:ext>
            </c:extLst>
          </c:dPt>
          <c:dPt>
            <c:idx val="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9-F8A9-4DD6-AECD-3B456CA50724}"/>
              </c:ext>
            </c:extLst>
          </c:dPt>
          <c:dPt>
            <c:idx val="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3-20BD-4B9C-8EE8-AEEA0C819CE9}"/>
              </c:ext>
            </c:extLst>
          </c:dPt>
          <c:dLbls>
            <c:dLbl>
              <c:idx val="0"/>
              <c:layout>
                <c:manualLayout>
                  <c:x val="-0.12994590997568378"/>
                  <c:y val="-0.2065750618834908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0BD-4B9C-8EE8-AEEA0C819CE9}"/>
                </c:ext>
              </c:extLst>
            </c:dLbl>
            <c:dLbl>
              <c:idx val="1"/>
              <c:layout>
                <c:manualLayout>
                  <c:x val="9.7383632791057315E-2"/>
                  <c:y val="7.445568353418739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0BD-4B9C-8EE8-AEEA0C819CE9}"/>
                </c:ext>
              </c:extLst>
            </c:dLbl>
            <c:dLbl>
              <c:idx val="5"/>
              <c:layout>
                <c:manualLayout>
                  <c:x val="2.9938893543580776E-3"/>
                  <c:y val="4.8945856319224951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0BD-4B9C-8EE8-AEEA0C819CE9}"/>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'Selected Studies'!$F$44:$F$47</c:f>
              <c:strCache>
                <c:ptCount val="4"/>
                <c:pt idx="0">
                  <c:v>Article</c:v>
                </c:pt>
                <c:pt idx="1">
                  <c:v>Conference paper</c:v>
                </c:pt>
                <c:pt idx="2">
                  <c:v>Thesis</c:v>
                </c:pt>
                <c:pt idx="3">
                  <c:v>Poster</c:v>
                </c:pt>
              </c:strCache>
            </c:strRef>
          </c:cat>
          <c:val>
            <c:numRef>
              <c:f>'Selected Studies'!$G$44:$G$47</c:f>
              <c:numCache>
                <c:formatCode>General</c:formatCode>
                <c:ptCount val="4"/>
                <c:pt idx="0">
                  <c:v>28</c:v>
                </c:pt>
                <c:pt idx="1">
                  <c:v>6</c:v>
                </c:pt>
                <c:pt idx="2">
                  <c:v>1</c:v>
                </c:pt>
                <c:pt idx="3">
                  <c:v>1</c:v>
                </c:pt>
              </c:numCache>
            </c:numRef>
          </c:val>
          <c:extLst>
            <c:ext xmlns:c16="http://schemas.microsoft.com/office/drawing/2014/chart" uri="{C3380CC4-5D6E-409C-BE32-E72D297353CC}">
              <c16:uniqueId val="{00000000-20BD-4B9C-8EE8-AEEA0C819CE9}"/>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56611353887669413"/>
          <c:y val="0.10925094855371058"/>
          <c:w val="0.40831101355297339"/>
          <c:h val="0.7814981028925788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3869989552276841E-2"/>
          <c:y val="6.1886954766105742E-2"/>
          <c:w val="0.88053130494610499"/>
          <c:h val="0.44697393782808403"/>
        </c:manualLayout>
      </c:layout>
      <c:barChart>
        <c:barDir val="col"/>
        <c:grouping val="clustered"/>
        <c:varyColors val="0"/>
        <c:ser>
          <c:idx val="0"/>
          <c:order val="0"/>
          <c:tx>
            <c:strRef>
              <c:f>'Selected Studies'!$J$43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'Selected Studies'!$I$44:$I$61</c:f>
              <c:strCache>
                <c:ptCount val="18"/>
                <c:pt idx="0">
                  <c:v>United States</c:v>
                </c:pt>
                <c:pt idx="1">
                  <c:v>Canada</c:v>
                </c:pt>
                <c:pt idx="2">
                  <c:v>Israel</c:v>
                </c:pt>
                <c:pt idx="3">
                  <c:v>South Africa</c:v>
                </c:pt>
                <c:pt idx="4">
                  <c:v>Taiwan</c:v>
                </c:pt>
                <c:pt idx="5">
                  <c:v>Australia</c:v>
                </c:pt>
                <c:pt idx="6">
                  <c:v>India</c:v>
                </c:pt>
                <c:pt idx="7">
                  <c:v>Austria</c:v>
                </c:pt>
                <c:pt idx="8">
                  <c:v>Ethiopia</c:v>
                </c:pt>
                <c:pt idx="9">
                  <c:v>Hong Kong</c:v>
                </c:pt>
                <c:pt idx="10">
                  <c:v>Indonesia</c:v>
                </c:pt>
                <c:pt idx="11">
                  <c:v>Ireland</c:v>
                </c:pt>
                <c:pt idx="12">
                  <c:v>Malaysia</c:v>
                </c:pt>
                <c:pt idx="13">
                  <c:v>New Zealand</c:v>
                </c:pt>
                <c:pt idx="14">
                  <c:v>Spain</c:v>
                </c:pt>
                <c:pt idx="15">
                  <c:v>Sweden</c:v>
                </c:pt>
                <c:pt idx="16">
                  <c:v>Switzerland</c:v>
                </c:pt>
                <c:pt idx="17">
                  <c:v>United Kingdom</c:v>
                </c:pt>
              </c:strCache>
            </c:strRef>
          </c:cat>
          <c:val>
            <c:numRef>
              <c:f>'Selected Studies'!$J$44:$J$61</c:f>
              <c:numCache>
                <c:formatCode>General</c:formatCode>
                <c:ptCount val="18"/>
                <c:pt idx="0">
                  <c:v>20</c:v>
                </c:pt>
                <c:pt idx="1">
                  <c:v>3</c:v>
                </c:pt>
                <c:pt idx="2">
                  <c:v>3</c:v>
                </c:pt>
                <c:pt idx="3">
                  <c:v>3</c:v>
                </c:pt>
                <c:pt idx="4">
                  <c:v>3</c:v>
                </c:pt>
                <c:pt idx="5">
                  <c:v>2</c:v>
                </c:pt>
                <c:pt idx="6">
                  <c:v>2</c:v>
                </c:pt>
                <c:pt idx="7">
                  <c:v>1</c:v>
                </c:pt>
                <c:pt idx="8">
                  <c:v>1</c:v>
                </c:pt>
                <c:pt idx="9">
                  <c:v>1</c:v>
                </c:pt>
                <c:pt idx="10">
                  <c:v>1</c:v>
                </c:pt>
                <c:pt idx="11">
                  <c:v>1</c:v>
                </c:pt>
                <c:pt idx="12">
                  <c:v>1</c:v>
                </c:pt>
                <c:pt idx="13">
                  <c:v>1</c:v>
                </c:pt>
                <c:pt idx="14">
                  <c:v>1</c:v>
                </c:pt>
                <c:pt idx="15">
                  <c:v>1</c:v>
                </c:pt>
                <c:pt idx="16">
                  <c:v>1</c:v>
                </c:pt>
                <c:pt idx="17">
                  <c:v>1</c:v>
                </c:pt>
              </c:numCache>
            </c:numRef>
          </c:val>
          <c:extLst>
            <c:ext xmlns:c16="http://schemas.microsoft.com/office/drawing/2014/chart" uri="{C3380CC4-5D6E-409C-BE32-E72D297353CC}">
              <c16:uniqueId val="{00000000-E45F-49B3-A672-B40B01D0F9E3}"/>
            </c:ext>
          </c:extLst>
        </c:ser>
        <c:dLbls>
          <c:showLegendKey val="0"/>
          <c:showVal val="0"/>
          <c:showCatName val="0"/>
          <c:showSerName val="0"/>
          <c:showPercent val="0"/>
          <c:showBubbleSize val="0"/>
        </c:dLbls>
        <c:gapWidth val="100"/>
        <c:overlap val="-27"/>
        <c:axId val="1864883440"/>
        <c:axId val="1864886352"/>
      </c:barChart>
      <c:catAx>
        <c:axId val="1864883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864886352"/>
        <c:crosses val="autoZero"/>
        <c:auto val="1"/>
        <c:lblAlgn val="ctr"/>
        <c:lblOffset val="100"/>
        <c:noMultiLvlLbl val="0"/>
      </c:catAx>
      <c:valAx>
        <c:axId val="1864886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86488344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'Selected Studies'!$G$64</c:f>
              <c:strCache>
                <c:ptCount val="1"/>
                <c:pt idx="0">
                  <c:v>Article</c:v>
                </c:pt>
              </c:strCache>
            </c:strRef>
          </c:tx>
          <c:spPr>
            <a:solidFill>
              <a:srgbClr val="33A0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'Selected Studies'!$F$65:$F$93</c:f>
              <c:numCache>
                <c:formatCode>General</c:formatCode>
                <c:ptCount val="29"/>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pt idx="27">
                  <c:v>2020</c:v>
                </c:pt>
                <c:pt idx="28">
                  <c:v>2021</c:v>
                </c:pt>
              </c:numCache>
            </c:numRef>
          </c:cat>
          <c:val>
            <c:numRef>
              <c:f>'Selected Studies'!$G$65:$G$93</c:f>
              <c:numCache>
                <c:formatCode>General</c:formatCode>
                <c:ptCount val="29"/>
                <c:pt idx="0">
                  <c:v>1</c:v>
                </c:pt>
                <c:pt idx="7">
                  <c:v>1</c:v>
                </c:pt>
                <c:pt idx="8">
                  <c:v>1</c:v>
                </c:pt>
                <c:pt idx="9">
                  <c:v>1</c:v>
                </c:pt>
                <c:pt idx="10">
                  <c:v>1</c:v>
                </c:pt>
                <c:pt idx="12">
                  <c:v>2</c:v>
                </c:pt>
                <c:pt idx="13">
                  <c:v>2</c:v>
                </c:pt>
                <c:pt idx="14">
                  <c:v>1</c:v>
                </c:pt>
                <c:pt idx="16">
                  <c:v>1</c:v>
                </c:pt>
                <c:pt idx="18">
                  <c:v>1</c:v>
                </c:pt>
                <c:pt idx="22">
                  <c:v>2</c:v>
                </c:pt>
                <c:pt idx="23">
                  <c:v>3</c:v>
                </c:pt>
                <c:pt idx="24">
                  <c:v>2</c:v>
                </c:pt>
                <c:pt idx="25">
                  <c:v>3</c:v>
                </c:pt>
                <c:pt idx="26">
                  <c:v>1</c:v>
                </c:pt>
                <c:pt idx="27">
                  <c:v>1</c:v>
                </c:pt>
                <c:pt idx="28">
                  <c:v>4</c:v>
                </c:pt>
              </c:numCache>
            </c:numRef>
          </c:val>
          <c:extLst>
            <c:ext xmlns:c16="http://schemas.microsoft.com/office/drawing/2014/chart" uri="{C3380CC4-5D6E-409C-BE32-E72D297353CC}">
              <c16:uniqueId val="{00000000-F947-42EE-98EE-FA7A31890C8B}"/>
            </c:ext>
          </c:extLst>
        </c:ser>
        <c:ser>
          <c:idx val="1"/>
          <c:order val="1"/>
          <c:tx>
            <c:strRef>
              <c:f>'Selected Studies'!$H$64</c:f>
              <c:strCache>
                <c:ptCount val="1"/>
                <c:pt idx="0">
                  <c:v>Conference</c:v>
                </c:pt>
              </c:strCache>
            </c:strRef>
          </c:tx>
          <c:spPr>
            <a:solidFill>
              <a:srgbClr val="B2DF8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'Selected Studies'!$F$65:$F$93</c:f>
              <c:numCache>
                <c:formatCode>General</c:formatCode>
                <c:ptCount val="29"/>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pt idx="27">
                  <c:v>2020</c:v>
                </c:pt>
                <c:pt idx="28">
                  <c:v>2021</c:v>
                </c:pt>
              </c:numCache>
            </c:numRef>
          </c:cat>
          <c:val>
            <c:numRef>
              <c:f>'Selected Studies'!$H$65:$H$93</c:f>
              <c:numCache>
                <c:formatCode>General</c:formatCode>
                <c:ptCount val="29"/>
                <c:pt idx="22">
                  <c:v>1</c:v>
                </c:pt>
                <c:pt idx="26">
                  <c:v>2</c:v>
                </c:pt>
                <c:pt idx="27">
                  <c:v>1</c:v>
                </c:pt>
                <c:pt idx="28">
                  <c:v>2</c:v>
                </c:pt>
              </c:numCache>
            </c:numRef>
          </c:val>
          <c:extLst>
            <c:ext xmlns:c16="http://schemas.microsoft.com/office/drawing/2014/chart" uri="{C3380CC4-5D6E-409C-BE32-E72D297353CC}">
              <c16:uniqueId val="{00000001-F947-42EE-98EE-FA7A31890C8B}"/>
            </c:ext>
          </c:extLst>
        </c:ser>
        <c:ser>
          <c:idx val="2"/>
          <c:order val="2"/>
          <c:tx>
            <c:strRef>
              <c:f>'Selected Studies'!$I$64</c:f>
              <c:strCache>
                <c:ptCount val="1"/>
                <c:pt idx="0">
                  <c:v>Thesis</c:v>
                </c:pt>
              </c:strCache>
            </c:strRef>
          </c:tx>
          <c:spPr>
            <a:solidFill>
              <a:srgbClr val="1F78B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'Selected Studies'!$F$65:$F$93</c:f>
              <c:numCache>
                <c:formatCode>General</c:formatCode>
                <c:ptCount val="29"/>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pt idx="27">
                  <c:v>2020</c:v>
                </c:pt>
                <c:pt idx="28">
                  <c:v>2021</c:v>
                </c:pt>
              </c:numCache>
            </c:numRef>
          </c:cat>
          <c:val>
            <c:numRef>
              <c:f>'Selected Studies'!$I$65:$I$93</c:f>
              <c:numCache>
                <c:formatCode>General</c:formatCode>
                <c:ptCount val="29"/>
                <c:pt idx="27">
                  <c:v>1</c:v>
                </c:pt>
              </c:numCache>
            </c:numRef>
          </c:val>
          <c:extLst>
            <c:ext xmlns:c16="http://schemas.microsoft.com/office/drawing/2014/chart" uri="{C3380CC4-5D6E-409C-BE32-E72D297353CC}">
              <c16:uniqueId val="{00000002-F947-42EE-98EE-FA7A31890C8B}"/>
            </c:ext>
          </c:extLst>
        </c:ser>
        <c:ser>
          <c:idx val="3"/>
          <c:order val="3"/>
          <c:tx>
            <c:strRef>
              <c:f>'Selected Studies'!$J$64</c:f>
              <c:strCache>
                <c:ptCount val="1"/>
                <c:pt idx="0">
                  <c:v>Poster</c:v>
                </c:pt>
              </c:strCache>
            </c:strRef>
          </c:tx>
          <c:spPr>
            <a:solidFill>
              <a:srgbClr val="A6CEE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'Selected Studies'!$F$65:$F$93</c:f>
              <c:numCache>
                <c:formatCode>General</c:formatCode>
                <c:ptCount val="29"/>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pt idx="27">
                  <c:v>2020</c:v>
                </c:pt>
                <c:pt idx="28">
                  <c:v>2021</c:v>
                </c:pt>
              </c:numCache>
            </c:numRef>
          </c:cat>
          <c:val>
            <c:numRef>
              <c:f>'Selected Studies'!$J$65:$J$93</c:f>
              <c:numCache>
                <c:formatCode>General</c:formatCode>
                <c:ptCount val="29"/>
                <c:pt idx="24">
                  <c:v>1</c:v>
                </c:pt>
              </c:numCache>
            </c:numRef>
          </c:val>
          <c:extLst>
            <c:ext xmlns:c16="http://schemas.microsoft.com/office/drawing/2014/chart" uri="{C3380CC4-5D6E-409C-BE32-E72D297353CC}">
              <c16:uniqueId val="{00000003-F947-42EE-98EE-FA7A31890C8B}"/>
            </c:ext>
          </c:extLst>
        </c:ser>
        <c:dLbls>
          <c:showLegendKey val="0"/>
          <c:showVal val="0"/>
          <c:showCatName val="0"/>
          <c:showSerName val="0"/>
          <c:showPercent val="0"/>
          <c:showBubbleSize val="0"/>
        </c:dLbls>
        <c:gapWidth val="25"/>
        <c:overlap val="100"/>
        <c:axId val="217799728"/>
        <c:axId val="217800144"/>
      </c:barChart>
      <c:catAx>
        <c:axId val="21779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217800144"/>
        <c:crosses val="autoZero"/>
        <c:auto val="1"/>
        <c:lblAlgn val="ctr"/>
        <c:lblOffset val="100"/>
        <c:noMultiLvlLbl val="0"/>
      </c:catAx>
      <c:valAx>
        <c:axId val="217800144"/>
        <c:scaling>
          <c:orientation val="minMax"/>
          <c:max val="6"/>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217799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'Selected Studies'!$R$2</c:f>
              <c:strCache>
                <c:ptCount val="1"/>
                <c:pt idx="0">
                  <c:v>Totals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'Selected Studies'!$Q$3:$Q$22</c:f>
              <c:strCache>
                <c:ptCount val="20"/>
                <c:pt idx="0">
                  <c:v>Validation Research</c:v>
                </c:pt>
                <c:pt idx="1">
                  <c:v>Evaluation Research</c:v>
                </c:pt>
                <c:pt idx="2">
                  <c:v>Solution Proposal</c:v>
                </c:pt>
                <c:pt idx="3">
                  <c:v>Philosophical Papers</c:v>
                </c:pt>
                <c:pt idx="4">
                  <c:v>Opinion Papers</c:v>
                </c:pt>
                <c:pt idx="5">
                  <c:v>Experience Papers</c:v>
                </c:pt>
                <c:pt idx="6">
                  <c:v>Literature Review</c:v>
                </c:pt>
                <c:pt idx="7">
                  <c:v>Primary Research</c:v>
                </c:pt>
                <c:pt idx="8">
                  <c:v>Survey (quanti.)</c:v>
                </c:pt>
                <c:pt idx="9">
                  <c:v>Experimental (quanti.)</c:v>
                </c:pt>
                <c:pt idx="10">
                  <c:v>Narrative (quali.)</c:v>
                </c:pt>
                <c:pt idx="11">
                  <c:v>Phenomenological (quali.)</c:v>
                </c:pt>
                <c:pt idx="12">
                  <c:v>Grounded Theory (quali.)</c:v>
                </c:pt>
                <c:pt idx="13">
                  <c:v>Ethnography (quali.)</c:v>
                </c:pt>
                <c:pt idx="14">
                  <c:v>Case Studies (quali.)</c:v>
                </c:pt>
                <c:pt idx="15">
                  <c:v>Convergent (mixed)</c:v>
                </c:pt>
                <c:pt idx="16">
                  <c:v>Explan. Seq. (mixed)</c:v>
                </c:pt>
                <c:pt idx="17">
                  <c:v>Explor. Seq. (mixed)</c:v>
                </c:pt>
                <c:pt idx="18">
                  <c:v>Complex Designs (mixed)</c:v>
                </c:pt>
                <c:pt idx="19">
                  <c:v>Other (quali.)</c:v>
                </c:pt>
              </c:strCache>
            </c:strRef>
          </c:cat>
          <c:val>
            <c:numRef>
              <c:f>'Selected Studies'!$R$3:$R$22</c:f>
              <c:numCache>
                <c:formatCode>General</c:formatCode>
                <c:ptCount val="20"/>
                <c:pt idx="0">
                  <c:v>0</c:v>
                </c:pt>
                <c:pt idx="1">
                  <c:v>8</c:v>
                </c:pt>
                <c:pt idx="2">
                  <c:v>15</c:v>
                </c:pt>
                <c:pt idx="3">
                  <c:v>20</c:v>
                </c:pt>
                <c:pt idx="4">
                  <c:v>5</c:v>
                </c:pt>
                <c:pt idx="5">
                  <c:v>1</c:v>
                </c:pt>
                <c:pt idx="6">
                  <c:v>8</c:v>
                </c:pt>
                <c:pt idx="7">
                  <c:v>18</c:v>
                </c:pt>
                <c:pt idx="8">
                  <c:v>9</c:v>
                </c:pt>
                <c:pt idx="9">
                  <c:v>0</c:v>
                </c:pt>
                <c:pt idx="10">
                  <c:v>0</c:v>
                </c:pt>
                <c:pt idx="11">
                  <c:v>0</c:v>
                </c:pt>
                <c:pt idx="12">
                  <c:v>2</c:v>
                </c:pt>
                <c:pt idx="13">
                  <c:v>1</c:v>
                </c:pt>
                <c:pt idx="14">
                  <c:v>1</c:v>
                </c:pt>
                <c:pt idx="15">
                  <c:v>0</c:v>
                </c:pt>
                <c:pt idx="16">
                  <c:v>0</c:v>
                </c:pt>
                <c:pt idx="17">
                  <c:v>0</c:v>
                </c:pt>
                <c:pt idx="18">
                  <c:v>0</c:v>
                </c:pt>
                <c:pt idx="19">
                  <c:v>6</c:v>
                </c:pt>
              </c:numCache>
            </c:numRef>
          </c:val>
          <c:extLst>
            <c:ext xmlns:c16="http://schemas.microsoft.com/office/drawing/2014/chart" uri="{C3380CC4-5D6E-409C-BE32-E72D297353CC}">
              <c16:uniqueId val="{00000000-E284-4BAF-8061-252A75320622}"/>
            </c:ext>
          </c:extLst>
        </c:ser>
        <c:dLbls>
          <c:showLegendKey val="0"/>
          <c:showVal val="0"/>
          <c:showCatName val="0"/>
          <c:showSerName val="0"/>
          <c:showPercent val="0"/>
          <c:showBubbleSize val="0"/>
        </c:dLbls>
        <c:gapWidth val="100"/>
        <c:axId val="119834624"/>
        <c:axId val="119829632"/>
      </c:barChart>
      <c:catAx>
        <c:axId val="11983462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19829632"/>
        <c:crosses val="autoZero"/>
        <c:auto val="1"/>
        <c:lblAlgn val="ctr"/>
        <c:lblOffset val="100"/>
        <c:noMultiLvlLbl val="0"/>
      </c:catAx>
      <c:valAx>
        <c:axId val="119829632"/>
        <c:scaling>
          <c:orientation val="minMax"/>
          <c:max val="20"/>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19834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'Selected Studies'!$R$24</c:f>
              <c:strCache>
                <c:ptCount val="1"/>
                <c:pt idx="0">
                  <c:v>Totals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'Selected Studies'!$Q$25:$Q$31</c:f>
              <c:strCache>
                <c:ptCount val="7"/>
                <c:pt idx="0">
                  <c:v>Model</c:v>
                </c:pt>
                <c:pt idx="1">
                  <c:v>Theory</c:v>
                </c:pt>
                <c:pt idx="2">
                  <c:v>Framework</c:v>
                </c:pt>
                <c:pt idx="3">
                  <c:v>Guideline</c:v>
                </c:pt>
                <c:pt idx="4">
                  <c:v>Lessons Learned</c:v>
                </c:pt>
                <c:pt idx="5">
                  <c:v>Advice</c:v>
                </c:pt>
                <c:pt idx="6">
                  <c:v>Tool</c:v>
                </c:pt>
              </c:strCache>
            </c:strRef>
          </c:cat>
          <c:val>
            <c:numRef>
              <c:f>'Selected Studies'!$R$25:$R$31</c:f>
              <c:numCache>
                <c:formatCode>General</c:formatCode>
                <c:ptCount val="7"/>
                <c:pt idx="0">
                  <c:v>15</c:v>
                </c:pt>
                <c:pt idx="1">
                  <c:v>3</c:v>
                </c:pt>
                <c:pt idx="2">
                  <c:v>10</c:v>
                </c:pt>
                <c:pt idx="3">
                  <c:v>14</c:v>
                </c:pt>
                <c:pt idx="4">
                  <c:v>2</c:v>
                </c:pt>
                <c:pt idx="5">
                  <c:v>7</c:v>
                </c:pt>
                <c:pt idx="6">
                  <c:v>1</c:v>
                </c:pt>
              </c:numCache>
            </c:numRef>
          </c:val>
          <c:extLst>
            <c:ext xmlns:c16="http://schemas.microsoft.com/office/drawing/2014/chart" uri="{C3380CC4-5D6E-409C-BE32-E72D297353CC}">
              <c16:uniqueId val="{00000000-8EE7-400F-8481-04BBACD9262C}"/>
            </c:ext>
          </c:extLst>
        </c:ser>
        <c:dLbls>
          <c:showLegendKey val="0"/>
          <c:showVal val="0"/>
          <c:showCatName val="0"/>
          <c:showSerName val="0"/>
          <c:showPercent val="0"/>
          <c:showBubbleSize val="0"/>
        </c:dLbls>
        <c:gapWidth val="100"/>
        <c:axId val="122366128"/>
        <c:axId val="122365296"/>
      </c:barChart>
      <c:catAx>
        <c:axId val="12236612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22365296"/>
        <c:crosses val="autoZero"/>
        <c:auto val="1"/>
        <c:lblAlgn val="ctr"/>
        <c:lblOffset val="100"/>
        <c:noMultiLvlLbl val="0"/>
      </c:catAx>
      <c:valAx>
        <c:axId val="122365296"/>
        <c:scaling>
          <c:orientation val="minMax"/>
          <c:max val="16"/>
          <c:min val="0"/>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2236612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'Selected Studies'!$R$2</c:f>
              <c:strCache>
                <c:ptCount val="1"/>
                <c:pt idx="0">
                  <c:v>Totals</c:v>
                </c:pt>
              </c:strCache>
            </c:strRef>
          </c:tx>
          <c:spPr>
            <a:solidFill>
              <a:schemeClr val="accent1"/>
            </a:solidFill>
            <a:ln>
              <a:noFill/>
            </a:ln>
            <a:effectLst/>
          </c:spPr>
          <c:invertIfNegative val="0"/>
          <c:dPt>
            <c:idx val="7"/>
            <c:invertIfNegative val="0"/>
            <c:bubble3D val="0"/>
            <c:spPr>
              <a:solidFill>
                <a:srgbClr val="7030A0"/>
              </a:solidFill>
              <a:ln>
                <a:noFill/>
              </a:ln>
              <a:effectLst/>
            </c:spPr>
            <c:extLst>
              <c:ext xmlns:c16="http://schemas.microsoft.com/office/drawing/2014/chart" uri="{C3380CC4-5D6E-409C-BE32-E72D297353CC}">
                <c16:uniqueId val="{0000000C-344B-4342-8C29-CAA34DE43382}"/>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'Selected Studies'!$Q$3:$Q$10</c:f>
              <c:strCache>
                <c:ptCount val="8"/>
                <c:pt idx="0">
                  <c:v>Validation Research</c:v>
                </c:pt>
                <c:pt idx="1">
                  <c:v>Evaluation Research</c:v>
                </c:pt>
                <c:pt idx="2">
                  <c:v>Solution Proposal</c:v>
                </c:pt>
                <c:pt idx="3">
                  <c:v>Philosophical Papers</c:v>
                </c:pt>
                <c:pt idx="4">
                  <c:v>Opinion Papers</c:v>
                </c:pt>
                <c:pt idx="5">
                  <c:v>Experience Papers</c:v>
                </c:pt>
                <c:pt idx="6">
                  <c:v>Literature Review</c:v>
                </c:pt>
                <c:pt idx="7">
                  <c:v>Primary Research</c:v>
                </c:pt>
              </c:strCache>
            </c:strRef>
          </c:cat>
          <c:val>
            <c:numRef>
              <c:f>'Selected Studies'!$R$3:$R$10</c:f>
              <c:numCache>
                <c:formatCode>General</c:formatCode>
                <c:ptCount val="8"/>
                <c:pt idx="0">
                  <c:v>0</c:v>
                </c:pt>
                <c:pt idx="1">
                  <c:v>8</c:v>
                </c:pt>
                <c:pt idx="2">
                  <c:v>15</c:v>
                </c:pt>
                <c:pt idx="3">
                  <c:v>20</c:v>
                </c:pt>
                <c:pt idx="4">
                  <c:v>5</c:v>
                </c:pt>
                <c:pt idx="5">
                  <c:v>1</c:v>
                </c:pt>
                <c:pt idx="6">
                  <c:v>8</c:v>
                </c:pt>
                <c:pt idx="7">
                  <c:v>18</c:v>
                </c:pt>
              </c:numCache>
            </c:numRef>
          </c:val>
          <c:extLst>
            <c:ext xmlns:c16="http://schemas.microsoft.com/office/drawing/2014/chart" uri="{C3380CC4-5D6E-409C-BE32-E72D297353CC}">
              <c16:uniqueId val="{00000000-344B-4342-8C29-CAA34DE43382}"/>
            </c:ext>
          </c:extLst>
        </c:ser>
        <c:dLbls>
          <c:showLegendKey val="0"/>
          <c:showVal val="0"/>
          <c:showCatName val="0"/>
          <c:showSerName val="0"/>
          <c:showPercent val="0"/>
          <c:showBubbleSize val="0"/>
        </c:dLbls>
        <c:gapWidth val="100"/>
        <c:axId val="119834624"/>
        <c:axId val="119829632"/>
      </c:barChart>
      <c:catAx>
        <c:axId val="11983462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19829632"/>
        <c:crosses val="autoZero"/>
        <c:auto val="1"/>
        <c:lblAlgn val="ctr"/>
        <c:lblOffset val="100"/>
        <c:noMultiLvlLbl val="0"/>
      </c:catAx>
      <c:valAx>
        <c:axId val="119829632"/>
        <c:scaling>
          <c:orientation val="minMax"/>
          <c:max val="20"/>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19834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manualLayout>
          <c:layoutTarget val="inner"/>
          <c:xMode val="edge"/>
          <c:yMode val="edge"/>
          <c:x val="0.54209940103640886"/>
          <c:y val="0.13339538627959044"/>
          <c:w val="0.40204589810889024"/>
          <c:h val="0.80803166377365765"/>
        </c:manualLayout>
      </c:layout>
      <c:barChart>
        <c:barDir val="bar"/>
        <c:grouping val="clustered"/>
        <c:varyColors val="0"/>
        <c:ser>
          <c:idx val="0"/>
          <c:order val="0"/>
          <c:tx>
            <c:strRef>
              <c:f>'Selected Studies'!$R$2</c:f>
              <c:strCache>
                <c:ptCount val="1"/>
                <c:pt idx="0">
                  <c:v>Totals</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'Selected Studies'!$Q$11:$Q$22</c:f>
              <c:strCache>
                <c:ptCount val="12"/>
                <c:pt idx="0">
                  <c:v>Survey (quanti.)</c:v>
                </c:pt>
                <c:pt idx="1">
                  <c:v>Experimental (quanti.)</c:v>
                </c:pt>
                <c:pt idx="2">
                  <c:v>Narrative (quali.)</c:v>
                </c:pt>
                <c:pt idx="3">
                  <c:v>Phenomenological (quali.)</c:v>
                </c:pt>
                <c:pt idx="4">
                  <c:v>Grounded Theory (quali.)</c:v>
                </c:pt>
                <c:pt idx="5">
                  <c:v>Ethnography (quali.)</c:v>
                </c:pt>
                <c:pt idx="6">
                  <c:v>Case Studies (quali.)</c:v>
                </c:pt>
                <c:pt idx="7">
                  <c:v>Convergent (mixed)</c:v>
                </c:pt>
                <c:pt idx="8">
                  <c:v>Explan. Seq. (mixed)</c:v>
                </c:pt>
                <c:pt idx="9">
                  <c:v>Explor. Seq. (mixed)</c:v>
                </c:pt>
                <c:pt idx="10">
                  <c:v>Complex Designs (mixed)</c:v>
                </c:pt>
                <c:pt idx="11">
                  <c:v>Other (quali.)</c:v>
                </c:pt>
              </c:strCache>
            </c:strRef>
          </c:cat>
          <c:val>
            <c:numRef>
              <c:f>'Selected Studies'!$R$11:$R$22</c:f>
              <c:numCache>
                <c:formatCode>General</c:formatCode>
                <c:ptCount val="12"/>
                <c:pt idx="0">
                  <c:v>9</c:v>
                </c:pt>
                <c:pt idx="1">
                  <c:v>0</c:v>
                </c:pt>
                <c:pt idx="2">
                  <c:v>0</c:v>
                </c:pt>
                <c:pt idx="3">
                  <c:v>0</c:v>
                </c:pt>
                <c:pt idx="4">
                  <c:v>2</c:v>
                </c:pt>
                <c:pt idx="5">
                  <c:v>1</c:v>
                </c:pt>
                <c:pt idx="6">
                  <c:v>1</c:v>
                </c:pt>
                <c:pt idx="7">
                  <c:v>0</c:v>
                </c:pt>
                <c:pt idx="8">
                  <c:v>0</c:v>
                </c:pt>
                <c:pt idx="9">
                  <c:v>0</c:v>
                </c:pt>
                <c:pt idx="10">
                  <c:v>0</c:v>
                </c:pt>
                <c:pt idx="11">
                  <c:v>6</c:v>
                </c:pt>
              </c:numCache>
            </c:numRef>
          </c:val>
          <c:extLst>
            <c:ext xmlns:c16="http://schemas.microsoft.com/office/drawing/2014/chart" uri="{C3380CC4-5D6E-409C-BE32-E72D297353CC}">
              <c16:uniqueId val="{00000000-4A6A-41A6-8726-4955C8EFBA9E}"/>
            </c:ext>
          </c:extLst>
        </c:ser>
        <c:dLbls>
          <c:showLegendKey val="0"/>
          <c:showVal val="0"/>
          <c:showCatName val="0"/>
          <c:showSerName val="0"/>
          <c:showPercent val="0"/>
          <c:showBubbleSize val="0"/>
        </c:dLbls>
        <c:gapWidth val="100"/>
        <c:axId val="119834624"/>
        <c:axId val="119829632"/>
      </c:barChart>
      <c:catAx>
        <c:axId val="11983462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19829632"/>
        <c:crosses val="autoZero"/>
        <c:auto val="1"/>
        <c:lblAlgn val="ctr"/>
        <c:lblOffset val="100"/>
        <c:noMultiLvlLbl val="0"/>
      </c:catAx>
      <c:valAx>
        <c:axId val="119829632"/>
        <c:scaling>
          <c:orientation val="minMax"/>
          <c:max val="15"/>
          <c:min val="0"/>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19834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'Selected Studies'!$R$34</c:f>
              <c:strCache>
                <c:ptCount val="1"/>
                <c:pt idx="0">
                  <c:v>Totals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'Selected Studies'!$Q$35:$Q$40</c:f>
              <c:strCache>
                <c:ptCount val="6"/>
                <c:pt idx="0">
                  <c:v>Not specific</c:v>
                </c:pt>
                <c:pt idx="1">
                  <c:v>Financial/Banking/Credit Card</c:v>
                </c:pt>
                <c:pt idx="2">
                  <c:v>Healthcare</c:v>
                </c:pt>
                <c:pt idx="3">
                  <c:v>Consumer</c:v>
                </c:pt>
                <c:pt idx="4">
                  <c:v>Health Insurance</c:v>
                </c:pt>
                <c:pt idx="5">
                  <c:v>Education</c:v>
                </c:pt>
              </c:strCache>
            </c:strRef>
          </c:cat>
          <c:val>
            <c:numRef>
              <c:f>'Selected Studies'!$R$35:$R$40</c:f>
              <c:numCache>
                <c:formatCode>General</c:formatCode>
                <c:ptCount val="6"/>
                <c:pt idx="0">
                  <c:v>28</c:v>
                </c:pt>
                <c:pt idx="1">
                  <c:v>5</c:v>
                </c:pt>
                <c:pt idx="2">
                  <c:v>4</c:v>
                </c:pt>
                <c:pt idx="3">
                  <c:v>1</c:v>
                </c:pt>
                <c:pt idx="4">
                  <c:v>1</c:v>
                </c:pt>
                <c:pt idx="5">
                  <c:v>1</c:v>
                </c:pt>
              </c:numCache>
            </c:numRef>
          </c:val>
          <c:extLst>
            <c:ext xmlns:c16="http://schemas.microsoft.com/office/drawing/2014/chart" uri="{C3380CC4-5D6E-409C-BE32-E72D297353CC}">
              <c16:uniqueId val="{00000000-D33D-44E3-9F13-148D8510AF5F}"/>
            </c:ext>
          </c:extLst>
        </c:ser>
        <c:dLbls>
          <c:showLegendKey val="0"/>
          <c:showVal val="0"/>
          <c:showCatName val="0"/>
          <c:showSerName val="0"/>
          <c:showPercent val="0"/>
          <c:showBubbleSize val="0"/>
        </c:dLbls>
        <c:gapWidth val="100"/>
        <c:axId val="1619453887"/>
        <c:axId val="1619455135"/>
      </c:barChart>
      <c:catAx>
        <c:axId val="161945388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619455135"/>
        <c:crosses val="autoZero"/>
        <c:auto val="1"/>
        <c:lblAlgn val="ctr"/>
        <c:lblOffset val="100"/>
        <c:noMultiLvlLbl val="0"/>
      </c:catAx>
      <c:valAx>
        <c:axId val="1619455135"/>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619453887"/>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'Selected Studies'!$R$47</c:f>
              <c:strCache>
                <c:ptCount val="1"/>
                <c:pt idx="0">
                  <c:v>Totals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'Selected Studies'!$Q$48:$Q$56</c:f>
              <c:strCache>
                <c:ptCount val="9"/>
                <c:pt idx="0">
                  <c:v>EU GDPR</c:v>
                </c:pt>
                <c:pt idx="1">
                  <c:v>US HIPAA</c:v>
                </c:pt>
                <c:pt idx="2">
                  <c:v>US FIPPs</c:v>
                </c:pt>
                <c:pt idx="3">
                  <c:v>US FCRA</c:v>
                </c:pt>
                <c:pt idx="4">
                  <c:v>US FERPA</c:v>
                </c:pt>
                <c:pt idx="5">
                  <c:v>ZA POPIA</c:v>
                </c:pt>
                <c:pt idx="6">
                  <c:v>US CCPA</c:v>
                </c:pt>
                <c:pt idx="7">
                  <c:v>US GLBA</c:v>
                </c:pt>
                <c:pt idx="8">
                  <c:v>Other</c:v>
                </c:pt>
              </c:strCache>
            </c:strRef>
          </c:cat>
          <c:val>
            <c:numRef>
              <c:f>'Selected Studies'!$R$48:$R$56</c:f>
              <c:numCache>
                <c:formatCode>General</c:formatCode>
                <c:ptCount val="9"/>
                <c:pt idx="0">
                  <c:v>11</c:v>
                </c:pt>
                <c:pt idx="1">
                  <c:v>7</c:v>
                </c:pt>
                <c:pt idx="2">
                  <c:v>7</c:v>
                </c:pt>
                <c:pt idx="3">
                  <c:v>3</c:v>
                </c:pt>
                <c:pt idx="4">
                  <c:v>3</c:v>
                </c:pt>
                <c:pt idx="5">
                  <c:v>3</c:v>
                </c:pt>
                <c:pt idx="6">
                  <c:v>3</c:v>
                </c:pt>
                <c:pt idx="7">
                  <c:v>3</c:v>
                </c:pt>
                <c:pt idx="8">
                  <c:v>30</c:v>
                </c:pt>
              </c:numCache>
            </c:numRef>
          </c:val>
          <c:extLst>
            <c:ext xmlns:c16="http://schemas.microsoft.com/office/drawing/2014/chart" uri="{C3380CC4-5D6E-409C-BE32-E72D297353CC}">
              <c16:uniqueId val="{00000000-D52C-46F3-9CEC-64D1CE8125A1}"/>
            </c:ext>
          </c:extLst>
        </c:ser>
        <c:dLbls>
          <c:showLegendKey val="0"/>
          <c:showVal val="0"/>
          <c:showCatName val="0"/>
          <c:showSerName val="0"/>
          <c:showPercent val="0"/>
          <c:showBubbleSize val="0"/>
        </c:dLbls>
        <c:gapWidth val="100"/>
        <c:axId val="1521143951"/>
        <c:axId val="1521144367"/>
      </c:barChart>
      <c:catAx>
        <c:axId val="152114395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521144367"/>
        <c:crosses val="autoZero"/>
        <c:auto val="1"/>
        <c:lblAlgn val="ctr"/>
        <c:lblOffset val="100"/>
        <c:noMultiLvlLbl val="0"/>
      </c:catAx>
      <c:valAx>
        <c:axId val="1521144367"/>
        <c:scaling>
          <c:orientation val="minMax"/>
          <c:max val="30"/>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521143951"/>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346934</xdr:colOff>
      <xdr:row>50</xdr:row>
      <xdr:rowOff>22860</xdr:rowOff>
    </xdr:from>
    <xdr:to>
      <xdr:col>7</xdr:col>
      <xdr:colOff>583154</xdr:colOff>
      <xdr:row>60</xdr:row>
      <xdr:rowOff>30480</xdr:rowOff>
    </xdr:to>
    <xdr:graphicFrame macro="">
      <xdr:nvGraphicFramePr>
        <xdr:cNvPr id="6" name="Chart 5">
          <a:extLst>
            <a:ext uri="{FF2B5EF4-FFF2-40B4-BE49-F238E27FC236}">
              <a16:creationId xmlns:a16="http://schemas.microsoft.com/office/drawing/2014/main" id="{9C98FC5F-1FC8-414F-8788-2BEC91B395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480060</xdr:colOff>
      <xdr:row>42</xdr:row>
      <xdr:rowOff>15240</xdr:rowOff>
    </xdr:from>
    <xdr:to>
      <xdr:col>15</xdr:col>
      <xdr:colOff>114300</xdr:colOff>
      <xdr:row>52</xdr:row>
      <xdr:rowOff>137160</xdr:rowOff>
    </xdr:to>
    <xdr:graphicFrame macro="">
      <xdr:nvGraphicFramePr>
        <xdr:cNvPr id="9" name="Chart 8">
          <a:extLst>
            <a:ext uri="{FF2B5EF4-FFF2-40B4-BE49-F238E27FC236}">
              <a16:creationId xmlns:a16="http://schemas.microsoft.com/office/drawing/2014/main" id="{43252715-9942-40D1-898A-A816A7606B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259080</xdr:colOff>
      <xdr:row>62</xdr:row>
      <xdr:rowOff>114300</xdr:rowOff>
    </xdr:from>
    <xdr:to>
      <xdr:col>14</xdr:col>
      <xdr:colOff>571500</xdr:colOff>
      <xdr:row>76</xdr:row>
      <xdr:rowOff>34290</xdr:rowOff>
    </xdr:to>
    <xdr:graphicFrame macro="">
      <xdr:nvGraphicFramePr>
        <xdr:cNvPr id="2" name="Chart 1">
          <a:extLst>
            <a:ext uri="{FF2B5EF4-FFF2-40B4-BE49-F238E27FC236}">
              <a16:creationId xmlns:a16="http://schemas.microsoft.com/office/drawing/2014/main" id="{D2584893-D3E3-458C-862C-FDEB8E1A55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228600</xdr:colOff>
      <xdr:row>0</xdr:row>
      <xdr:rowOff>156210</xdr:rowOff>
    </xdr:from>
    <xdr:to>
      <xdr:col>23</xdr:col>
      <xdr:colOff>320040</xdr:colOff>
      <xdr:row>20</xdr:row>
      <xdr:rowOff>175260</xdr:rowOff>
    </xdr:to>
    <xdr:graphicFrame macro="">
      <xdr:nvGraphicFramePr>
        <xdr:cNvPr id="3" name="Chart 2">
          <a:extLst>
            <a:ext uri="{FF2B5EF4-FFF2-40B4-BE49-F238E27FC236}">
              <a16:creationId xmlns:a16="http://schemas.microsoft.com/office/drawing/2014/main" id="{8F6CFA5A-DADF-4A95-B60A-EF690E7B45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243840</xdr:colOff>
      <xdr:row>23</xdr:row>
      <xdr:rowOff>3810</xdr:rowOff>
    </xdr:from>
    <xdr:to>
      <xdr:col>23</xdr:col>
      <xdr:colOff>304800</xdr:colOff>
      <xdr:row>32</xdr:row>
      <xdr:rowOff>45720</xdr:rowOff>
    </xdr:to>
    <xdr:graphicFrame macro="">
      <xdr:nvGraphicFramePr>
        <xdr:cNvPr id="4" name="Chart 3">
          <a:extLst>
            <a:ext uri="{FF2B5EF4-FFF2-40B4-BE49-F238E27FC236}">
              <a16:creationId xmlns:a16="http://schemas.microsoft.com/office/drawing/2014/main" id="{53D502A8-1C50-4026-AF79-ABB5F2BD0D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472440</xdr:colOff>
      <xdr:row>0</xdr:row>
      <xdr:rowOff>106680</xdr:rowOff>
    </xdr:from>
    <xdr:to>
      <xdr:col>28</xdr:col>
      <xdr:colOff>411480</xdr:colOff>
      <xdr:row>9</xdr:row>
      <xdr:rowOff>182880</xdr:rowOff>
    </xdr:to>
    <xdr:graphicFrame macro="">
      <xdr:nvGraphicFramePr>
        <xdr:cNvPr id="7" name="Chart 6">
          <a:extLst>
            <a:ext uri="{FF2B5EF4-FFF2-40B4-BE49-F238E27FC236}">
              <a16:creationId xmlns:a16="http://schemas.microsoft.com/office/drawing/2014/main" id="{94EC8FCE-0F7C-4D74-B688-5C3FB70BDD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23</xdr:col>
      <xdr:colOff>556260</xdr:colOff>
      <xdr:row>10</xdr:row>
      <xdr:rowOff>144780</xdr:rowOff>
    </xdr:from>
    <xdr:to>
      <xdr:col>28</xdr:col>
      <xdr:colOff>480060</xdr:colOff>
      <xdr:row>23</xdr:row>
      <xdr:rowOff>68580</xdr:rowOff>
    </xdr:to>
    <xdr:graphicFrame macro="">
      <xdr:nvGraphicFramePr>
        <xdr:cNvPr id="8" name="Chart 7">
          <a:extLst>
            <a:ext uri="{FF2B5EF4-FFF2-40B4-BE49-F238E27FC236}">
              <a16:creationId xmlns:a16="http://schemas.microsoft.com/office/drawing/2014/main" id="{013DBAF0-82A7-495E-B34D-C9E923A3A0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243840</xdr:colOff>
      <xdr:row>33</xdr:row>
      <xdr:rowOff>38100</xdr:rowOff>
    </xdr:from>
    <xdr:to>
      <xdr:col>23</xdr:col>
      <xdr:colOff>312420</xdr:colOff>
      <xdr:row>41</xdr:row>
      <xdr:rowOff>91440</xdr:rowOff>
    </xdr:to>
    <xdr:graphicFrame macro="">
      <xdr:nvGraphicFramePr>
        <xdr:cNvPr id="5" name="Chart 4">
          <a:extLst>
            <a:ext uri="{FF2B5EF4-FFF2-40B4-BE49-F238E27FC236}">
              <a16:creationId xmlns:a16="http://schemas.microsoft.com/office/drawing/2014/main" id="{6FBBFECA-3E89-471E-8622-9C1E335717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327660</xdr:colOff>
      <xdr:row>46</xdr:row>
      <xdr:rowOff>0</xdr:rowOff>
    </xdr:from>
    <xdr:to>
      <xdr:col>23</xdr:col>
      <xdr:colOff>342900</xdr:colOff>
      <xdr:row>56</xdr:row>
      <xdr:rowOff>68580</xdr:rowOff>
    </xdr:to>
    <xdr:graphicFrame macro="">
      <xdr:nvGraphicFramePr>
        <xdr:cNvPr id="10" name="Chart 9">
          <a:extLst>
            <a:ext uri="{FF2B5EF4-FFF2-40B4-BE49-F238E27FC236}">
              <a16:creationId xmlns:a16="http://schemas.microsoft.com/office/drawing/2014/main" id="{BEAABA7C-9F44-4118-AD5C-8ED272FBE9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Leonardo Iwaya" id="{8F67F681-CC29-41B0-ACA8-6A23B922C4D1}" userId="f373c573e83bddf0"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8" dT="2021-10-26T17:05:07.55" personId="{8F67F681-CC29-41B0-ACA8-6A23B922C4D1}" id="{B92D0526-3EB5-40A2-A50F-59888334A6E1}">
    <text>It doesn't address organizational culture/climate/values</text>
  </threadedComment>
  <threadedComment ref="B30" dT="2021-10-26T17:06:12.68" personId="{8F67F681-CC29-41B0-ACA8-6A23B922C4D1}" id="{7D6C5E86-3D80-4FDD-B7E1-D23A536B3A59}">
    <text>It doesn't address privacy that much. Just mentions it in the related work.</text>
  </threadedComment>
  <threadedComment ref="B31" dT="2021-10-26T18:11:36.77" personId="{8F67F681-CC29-41B0-ACA8-6A23B922C4D1}" id="{4CCC1553-24CE-4230-A0EB-D936DC342F0D}">
    <text>It doesn't address Organizationa Culture/Climate. Main focus is on employees' privacy perceptions.</text>
  </threadedComment>
  <threadedComment ref="B32" dT="2021-10-26T17:06:46.77" personId="{8F67F681-CC29-41B0-ACA8-6A23B922C4D1}" id="{82BE841C-C2C5-4CE6-A963-44C30B43B8F0}">
    <text>The emphasis is on societal surveillance, not much on organizational culture/climate/values.</text>
  </threadedComment>
</ThreadedComments>
</file>

<file path=xl/threadedComments/threadedComment2.xml><?xml version="1.0" encoding="utf-8"?>
<ThreadedComments xmlns="http://schemas.microsoft.com/office/spreadsheetml/2018/threadedcomments" xmlns:x="http://schemas.openxmlformats.org/spreadsheetml/2006/main">
  <threadedComment ref="B8" dT="2021-11-17T17:42:34.29" personId="{8F67F681-CC29-41B0-ACA8-6A23B922C4D1}" id="{32289C99-0A98-463F-B5B1-16E2A33FADC9}">
    <text>I'm removing because the relevancy is minimal, and it would be just be a piece of grey literature. It also cannot be classified as research work (i.e., no research question, methodology, results, etc).</text>
  </threadedComment>
  <threadedComment ref="B14" dT="2021-11-17T17:41:41.95" personId="{8F67F681-CC29-41B0-ACA8-6A23B922C4D1}" id="{187FBA57-4F43-4736-B25F-ACDF9E2D8A1B}">
    <text>I couldn't access the fulltext of this Book.</text>
  </threadedComment>
  <threadedComment ref="B14" dT="2021-11-30T16:46:08.18" personId="{8F67F681-CC29-41B0-ACA8-6A23B922C4D1}" id="{11E4CD2A-215F-411C-A5F4-D3CF4BF626D5}" parentId="{187FBA57-4F43-4736-B25F-ACDF9E2D8A1B}">
    <text>Notice that the reference found is just for Chapter 1. Authors did not cite the whole book.</text>
  </threadedComment>
</ThreadedComments>
</file>

<file path=xl/threadedComments/threadedComment3.xml><?xml version="1.0" encoding="utf-8"?>
<ThreadedComments xmlns="http://schemas.microsoft.com/office/spreadsheetml/2018/threadedcomments" xmlns:x="http://schemas.openxmlformats.org/spreadsheetml/2006/main">
  <threadedComment ref="M5" dT="2021-11-18T14:15:15.45" personId="{8F67F681-CC29-41B0-ACA8-6A23B922C4D1}" id="{F0E495A9-7FC2-41E3-9E54-8FD93C212FF3}">
    <text>Propositions as Guideline</text>
  </threadedComment>
  <threadedComment ref="M12" dT="2021-12-03T18:24:26.56" personId="{8F67F681-CC29-41B0-ACA8-6A23B922C4D1}" id="{436B7372-2895-4C3C-9521-97E8EFD54FAC}">
    <text>Propositions as Guideline</text>
  </threadedComment>
  <threadedComment ref="M31" dT="2021-11-18T13:55:30.09" personId="{8F67F681-CC29-41B0-ACA8-6A23B922C4D1}" id="{A7A06EB9-A484-418E-91B0-12222F399AF6}">
    <text>Propositions as Guideline</text>
  </threadedComment>
  <threadedComment ref="M34" dT="2021-11-17T19:41:56.33" personId="{8F67F681-CC29-41B0-ACA8-6A23B922C4D1}" id="{1B79A5F5-28F4-4B18-AD49-F8F074F5FD9A}">
    <text>I'm considering the Propositions on the theory as guideline for future research.</text>
  </threadedComment>
  <threadedComment ref="Q35" dT="2022-01-07T19:13:20.14" personId="{8F67F681-CC29-41B0-ACA8-6A23B922C4D1}" id="{D69779DF-9A0C-46AC-ACE9-1E40707BA0DF}">
    <text>Most studies didn't focus on any specific organisation types. Many of the studies also interviewed or surveys developers, managers, lawyers (etc) from various domains.</text>
  </threadedComment>
  <threadedComment ref="M37" dT="2021-11-18T13:58:23.51" personId="{8F67F681-CC29-41B0-ACA8-6A23B922C4D1}" id="{5EC31936-A683-405A-B445-32128CB74B8B}">
    <text>Propositions as Guideline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4.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40"/>
  <sheetViews>
    <sheetView workbookViewId="0">
      <selection activeCell="F7" sqref="F7"/>
    </sheetView>
  </sheetViews>
  <sheetFormatPr defaultColWidth="9.140625" defaultRowHeight="14.45"/>
  <cols>
    <col min="1" max="1" width="8.85546875" customWidth="1"/>
    <col min="2" max="2" width="21.7109375" customWidth="1"/>
    <col min="3" max="3" width="70.42578125" customWidth="1"/>
    <col min="4" max="4" width="9.140625" bestFit="1" customWidth="1"/>
    <col min="5" max="6" width="0" hidden="1" customWidth="1"/>
    <col min="7" max="7" width="87.5703125" bestFit="1" customWidth="1"/>
    <col min="8" max="18" width="8.42578125" customWidth="1"/>
    <col min="19" max="19" width="6.28515625" customWidth="1"/>
  </cols>
  <sheetData>
    <row r="1" spans="1:7" s="1" customFormat="1" ht="15" customHeight="1">
      <c r="A1" s="1" t="s">
        <v>0</v>
      </c>
      <c r="B1" s="1" t="s">
        <v>1</v>
      </c>
      <c r="C1" s="1" t="s">
        <v>2</v>
      </c>
      <c r="D1" s="1" t="s">
        <v>3</v>
      </c>
      <c r="E1" s="1" t="s">
        <v>4</v>
      </c>
      <c r="F1" s="1" t="s">
        <v>5</v>
      </c>
      <c r="G1" s="1" t="s">
        <v>6</v>
      </c>
    </row>
    <row r="2" spans="1:7" ht="15" customHeight="1">
      <c r="A2" s="2" t="s">
        <v>7</v>
      </c>
      <c r="B2" s="2" t="s">
        <v>8</v>
      </c>
      <c r="C2" s="2" t="s">
        <v>9</v>
      </c>
      <c r="D2" s="2">
        <v>2000</v>
      </c>
      <c r="E2" s="2"/>
      <c r="F2" s="2"/>
      <c r="G2" s="2" t="s">
        <v>10</v>
      </c>
    </row>
    <row r="3" spans="1:7" ht="15" customHeight="1">
      <c r="A3" s="2" t="s">
        <v>11</v>
      </c>
      <c r="B3" s="2" t="s">
        <v>12</v>
      </c>
      <c r="C3" s="2" t="s">
        <v>13</v>
      </c>
      <c r="D3" s="2">
        <v>2002</v>
      </c>
      <c r="E3" s="2"/>
      <c r="F3" s="2"/>
      <c r="G3" s="2" t="s">
        <v>14</v>
      </c>
    </row>
    <row r="4" spans="1:7" ht="15" customHeight="1">
      <c r="A4" s="2" t="s">
        <v>15</v>
      </c>
      <c r="B4" s="2" t="s">
        <v>16</v>
      </c>
      <c r="C4" s="2" t="s">
        <v>17</v>
      </c>
      <c r="D4" s="2">
        <v>2003</v>
      </c>
      <c r="E4" s="2"/>
      <c r="F4" s="2"/>
      <c r="G4" s="2" t="s">
        <v>18</v>
      </c>
    </row>
    <row r="5" spans="1:7" ht="15" customHeight="1">
      <c r="A5" s="2" t="s">
        <v>19</v>
      </c>
      <c r="B5" s="2" t="s">
        <v>20</v>
      </c>
      <c r="C5" s="2" t="s">
        <v>21</v>
      </c>
      <c r="D5" s="2">
        <v>2005</v>
      </c>
      <c r="E5" s="2"/>
      <c r="F5" s="2"/>
      <c r="G5" s="2" t="s">
        <v>22</v>
      </c>
    </row>
    <row r="6" spans="1:7" ht="15" customHeight="1">
      <c r="A6" s="2" t="s">
        <v>23</v>
      </c>
      <c r="B6" s="2" t="s">
        <v>24</v>
      </c>
      <c r="C6" s="2" t="s">
        <v>25</v>
      </c>
      <c r="D6" s="2">
        <v>2006</v>
      </c>
      <c r="E6" s="2"/>
      <c r="F6" s="2"/>
      <c r="G6" s="2" t="s">
        <v>26</v>
      </c>
    </row>
    <row r="7" spans="1:7" ht="15" customHeight="1">
      <c r="A7" s="2" t="s">
        <v>27</v>
      </c>
      <c r="B7" s="2" t="s">
        <v>28</v>
      </c>
      <c r="C7" s="2" t="s">
        <v>29</v>
      </c>
      <c r="D7" s="2">
        <v>2007</v>
      </c>
      <c r="E7" s="2"/>
      <c r="F7" s="2"/>
      <c r="G7" s="2" t="s">
        <v>30</v>
      </c>
    </row>
    <row r="8" spans="1:7" ht="15" customHeight="1">
      <c r="A8" s="2" t="s">
        <v>31</v>
      </c>
      <c r="B8" s="2" t="s">
        <v>32</v>
      </c>
      <c r="C8" s="2" t="s">
        <v>33</v>
      </c>
      <c r="D8" s="2">
        <v>2015</v>
      </c>
      <c r="E8" s="2"/>
      <c r="F8" s="2"/>
      <c r="G8" s="2" t="s">
        <v>34</v>
      </c>
    </row>
    <row r="9" spans="1:7" ht="15" customHeight="1">
      <c r="A9" s="2" t="s">
        <v>35</v>
      </c>
      <c r="B9" s="2" t="s">
        <v>36</v>
      </c>
      <c r="C9" s="2" t="s">
        <v>37</v>
      </c>
      <c r="D9" s="2">
        <v>2015</v>
      </c>
      <c r="E9" s="2"/>
      <c r="F9" s="2"/>
      <c r="G9" s="2" t="s">
        <v>38</v>
      </c>
    </row>
    <row r="10" spans="1:7" ht="15" customHeight="1">
      <c r="A10" s="2" t="s">
        <v>39</v>
      </c>
      <c r="B10" s="2" t="s">
        <v>40</v>
      </c>
      <c r="C10" s="2" t="s">
        <v>41</v>
      </c>
      <c r="D10" s="2">
        <v>2016</v>
      </c>
      <c r="E10" s="2"/>
      <c r="F10" s="2"/>
      <c r="G10" s="2" t="s">
        <v>42</v>
      </c>
    </row>
    <row r="11" spans="1:7" ht="15" customHeight="1">
      <c r="A11" s="2" t="s">
        <v>43</v>
      </c>
      <c r="B11" s="2" t="s">
        <v>44</v>
      </c>
      <c r="C11" s="2" t="s">
        <v>45</v>
      </c>
      <c r="D11" s="2">
        <v>2016</v>
      </c>
      <c r="E11" s="2"/>
      <c r="F11" s="2"/>
      <c r="G11" s="2" t="s">
        <v>46</v>
      </c>
    </row>
    <row r="12" spans="1:7" ht="15" customHeight="1">
      <c r="A12" s="2" t="s">
        <v>47</v>
      </c>
      <c r="B12" s="2" t="s">
        <v>48</v>
      </c>
      <c r="C12" s="2" t="s">
        <v>49</v>
      </c>
      <c r="D12" s="2">
        <v>2016</v>
      </c>
      <c r="E12" s="2"/>
      <c r="F12" s="2"/>
      <c r="G12" s="2" t="s">
        <v>50</v>
      </c>
    </row>
    <row r="13" spans="1:7" ht="15" customHeight="1">
      <c r="A13" s="2" t="s">
        <v>51</v>
      </c>
      <c r="B13" s="2" t="s">
        <v>52</v>
      </c>
      <c r="C13" s="2" t="s">
        <v>53</v>
      </c>
      <c r="D13" s="2">
        <v>2017</v>
      </c>
      <c r="E13" s="2"/>
      <c r="F13" s="2"/>
      <c r="G13" s="2" t="s">
        <v>54</v>
      </c>
    </row>
    <row r="14" spans="1:7" ht="15" customHeight="1">
      <c r="A14" s="2" t="s">
        <v>55</v>
      </c>
      <c r="B14" s="2" t="s">
        <v>56</v>
      </c>
      <c r="C14" s="2" t="s">
        <v>57</v>
      </c>
      <c r="D14" s="2">
        <v>2017</v>
      </c>
      <c r="E14" s="2"/>
      <c r="F14" s="2"/>
      <c r="G14" s="2" t="s">
        <v>58</v>
      </c>
    </row>
    <row r="15" spans="1:7" ht="15" customHeight="1">
      <c r="A15" s="2" t="s">
        <v>59</v>
      </c>
      <c r="B15" s="2" t="s">
        <v>60</v>
      </c>
      <c r="C15" s="2" t="s">
        <v>61</v>
      </c>
      <c r="D15" s="2">
        <v>2018</v>
      </c>
      <c r="E15" s="2"/>
      <c r="F15" s="2"/>
      <c r="G15" s="2" t="s">
        <v>62</v>
      </c>
    </row>
    <row r="16" spans="1:7" ht="15" customHeight="1">
      <c r="A16" s="2" t="s">
        <v>63</v>
      </c>
      <c r="B16" s="2" t="s">
        <v>64</v>
      </c>
      <c r="C16" s="2" t="s">
        <v>65</v>
      </c>
      <c r="D16" s="2">
        <v>2019</v>
      </c>
      <c r="E16" s="2"/>
      <c r="F16" s="2"/>
      <c r="G16" s="2" t="s">
        <v>66</v>
      </c>
    </row>
    <row r="17" spans="1:7" ht="15" customHeight="1">
      <c r="A17" s="2" t="s">
        <v>67</v>
      </c>
      <c r="B17" s="2" t="s">
        <v>68</v>
      </c>
      <c r="C17" s="2" t="s">
        <v>69</v>
      </c>
      <c r="D17" s="2">
        <v>2019</v>
      </c>
      <c r="E17" s="2"/>
      <c r="F17" s="2"/>
      <c r="G17" s="2" t="s">
        <v>70</v>
      </c>
    </row>
    <row r="18" spans="1:7" ht="15" customHeight="1">
      <c r="A18" s="2" t="s">
        <v>71</v>
      </c>
      <c r="B18" s="2" t="s">
        <v>72</v>
      </c>
      <c r="C18" s="2" t="s">
        <v>73</v>
      </c>
      <c r="D18" s="2">
        <v>2020</v>
      </c>
      <c r="E18" s="2"/>
      <c r="F18" s="2"/>
      <c r="G18" s="2" t="s">
        <v>74</v>
      </c>
    </row>
    <row r="19" spans="1:7" ht="15" customHeight="1">
      <c r="A19" s="2" t="s">
        <v>75</v>
      </c>
      <c r="B19" s="2" t="s">
        <v>76</v>
      </c>
      <c r="C19" s="2" t="s">
        <v>77</v>
      </c>
      <c r="D19" s="2">
        <v>2021</v>
      </c>
      <c r="E19" s="2"/>
      <c r="F19" s="2"/>
      <c r="G19" s="2" t="s">
        <v>78</v>
      </c>
    </row>
    <row r="20" spans="1:7" ht="15" customHeight="1">
      <c r="A20" s="2" t="s">
        <v>79</v>
      </c>
      <c r="B20" s="2" t="s">
        <v>80</v>
      </c>
      <c r="C20" s="2" t="s">
        <v>81</v>
      </c>
      <c r="D20" s="2">
        <v>2021</v>
      </c>
      <c r="E20" s="2"/>
      <c r="F20" s="2"/>
      <c r="G20" s="2" t="s">
        <v>82</v>
      </c>
    </row>
    <row r="21" spans="1:7" ht="15" customHeight="1">
      <c r="A21" s="2" t="s">
        <v>83</v>
      </c>
      <c r="B21" s="2" t="s">
        <v>84</v>
      </c>
      <c r="C21" s="2" t="s">
        <v>85</v>
      </c>
      <c r="D21" s="2">
        <v>2021</v>
      </c>
      <c r="E21" s="2"/>
      <c r="F21" s="2"/>
      <c r="G21" s="2" t="s">
        <v>86</v>
      </c>
    </row>
    <row r="23" spans="1:7">
      <c r="A23" s="45" t="s">
        <v>87</v>
      </c>
      <c r="B23" s="45"/>
      <c r="C23" s="45"/>
      <c r="D23" s="45"/>
      <c r="E23" s="45"/>
      <c r="F23" s="45"/>
      <c r="G23" s="45"/>
    </row>
    <row r="24" spans="1:7" ht="15" customHeight="1">
      <c r="A24" s="3" t="s">
        <v>88</v>
      </c>
      <c r="B24" s="3" t="s">
        <v>89</v>
      </c>
      <c r="C24" s="3" t="s">
        <v>90</v>
      </c>
      <c r="D24" s="3">
        <v>2003</v>
      </c>
      <c r="E24" s="3"/>
      <c r="F24" s="3"/>
      <c r="G24" s="3" t="s">
        <v>91</v>
      </c>
    </row>
    <row r="25" spans="1:7" ht="15" customHeight="1">
      <c r="A25" s="3" t="s">
        <v>92</v>
      </c>
      <c r="B25" s="3" t="s">
        <v>93</v>
      </c>
      <c r="C25" s="3" t="s">
        <v>94</v>
      </c>
      <c r="D25" s="3">
        <v>2005</v>
      </c>
      <c r="E25" s="3"/>
      <c r="F25" s="3"/>
      <c r="G25" s="3" t="s">
        <v>95</v>
      </c>
    </row>
    <row r="26" spans="1:7" ht="15" customHeight="1">
      <c r="A26" s="3" t="s">
        <v>96</v>
      </c>
      <c r="B26" s="3" t="s">
        <v>97</v>
      </c>
      <c r="C26" s="3" t="s">
        <v>98</v>
      </c>
      <c r="D26" s="3">
        <v>2008</v>
      </c>
      <c r="E26" s="3"/>
      <c r="F26" s="3"/>
      <c r="G26" s="3" t="s">
        <v>99</v>
      </c>
    </row>
    <row r="27" spans="1:7" ht="15" customHeight="1">
      <c r="A27" s="3" t="s">
        <v>100</v>
      </c>
      <c r="B27" s="3" t="s">
        <v>101</v>
      </c>
      <c r="C27" s="3" t="s">
        <v>102</v>
      </c>
      <c r="D27" s="3">
        <v>2017</v>
      </c>
      <c r="E27" s="3"/>
      <c r="F27" s="3"/>
      <c r="G27" s="3" t="s">
        <v>103</v>
      </c>
    </row>
    <row r="28" spans="1:7" ht="15" customHeight="1">
      <c r="A28" s="3" t="s">
        <v>104</v>
      </c>
      <c r="B28" s="3" t="s">
        <v>105</v>
      </c>
      <c r="C28" s="3" t="s">
        <v>106</v>
      </c>
      <c r="D28" s="3">
        <v>2018</v>
      </c>
      <c r="E28" s="3"/>
      <c r="F28" s="3"/>
      <c r="G28" s="3" t="s">
        <v>107</v>
      </c>
    </row>
    <row r="29" spans="1:7" ht="15" customHeight="1">
      <c r="A29" s="3" t="s">
        <v>108</v>
      </c>
      <c r="B29" s="3" t="s">
        <v>109</v>
      </c>
      <c r="C29" s="3" t="s">
        <v>110</v>
      </c>
      <c r="D29" s="3">
        <v>2019</v>
      </c>
      <c r="E29" s="3"/>
      <c r="F29" s="3"/>
      <c r="G29" s="3" t="s">
        <v>111</v>
      </c>
    </row>
    <row r="31" spans="1:7">
      <c r="A31" s="45" t="s">
        <v>112</v>
      </c>
      <c r="B31" s="45"/>
      <c r="C31" s="45"/>
      <c r="D31" s="45"/>
      <c r="E31" s="45"/>
      <c r="F31" s="45"/>
      <c r="G31" s="45"/>
    </row>
    <row r="32" spans="1:7" ht="15" customHeight="1">
      <c r="A32" s="4" t="s">
        <v>113</v>
      </c>
      <c r="B32" s="4" t="s">
        <v>114</v>
      </c>
      <c r="C32" s="4" t="s">
        <v>115</v>
      </c>
      <c r="D32" s="4">
        <v>2005</v>
      </c>
      <c r="E32" s="4"/>
      <c r="F32" s="4"/>
      <c r="G32" s="4" t="s">
        <v>116</v>
      </c>
    </row>
    <row r="33" spans="1:7" ht="15" customHeight="1">
      <c r="A33" s="4" t="s">
        <v>117</v>
      </c>
      <c r="B33" s="4" t="s">
        <v>118</v>
      </c>
      <c r="C33" s="4" t="s">
        <v>119</v>
      </c>
      <c r="D33" s="4">
        <v>2018</v>
      </c>
      <c r="E33" s="4"/>
      <c r="F33" s="4"/>
      <c r="G33" s="4" t="s">
        <v>120</v>
      </c>
    </row>
    <row r="34" spans="1:7" ht="15" customHeight="1">
      <c r="A34" s="4" t="s">
        <v>121</v>
      </c>
      <c r="B34" s="4" t="s">
        <v>122</v>
      </c>
      <c r="C34" s="4" t="s">
        <v>123</v>
      </c>
      <c r="D34" s="4">
        <v>2019</v>
      </c>
      <c r="E34" s="4"/>
      <c r="F34" s="4"/>
      <c r="G34" s="4" t="s">
        <v>124</v>
      </c>
    </row>
    <row r="35" spans="1:7" ht="15" customHeight="1">
      <c r="A35" s="4" t="s">
        <v>125</v>
      </c>
      <c r="B35" s="4" t="s">
        <v>126</v>
      </c>
      <c r="C35" s="4" t="s">
        <v>127</v>
      </c>
      <c r="D35" s="4">
        <v>2020</v>
      </c>
      <c r="E35" s="4"/>
      <c r="F35" s="4"/>
      <c r="G35" s="4" t="s">
        <v>128</v>
      </c>
    </row>
    <row r="36" spans="1:7" ht="15" customHeight="1">
      <c r="A36" s="4" t="s">
        <v>129</v>
      </c>
      <c r="B36" s="4" t="s">
        <v>130</v>
      </c>
      <c r="C36" s="4" t="s">
        <v>131</v>
      </c>
      <c r="D36" s="4">
        <v>2020</v>
      </c>
      <c r="E36" s="4"/>
      <c r="F36" s="4"/>
      <c r="G36" s="4" t="s">
        <v>132</v>
      </c>
    </row>
    <row r="37" spans="1:7" ht="15" customHeight="1">
      <c r="A37" s="4" t="s">
        <v>133</v>
      </c>
      <c r="B37" s="4" t="s">
        <v>134</v>
      </c>
      <c r="C37" s="4" t="s">
        <v>135</v>
      </c>
      <c r="D37" s="4">
        <v>2021</v>
      </c>
      <c r="E37" s="4"/>
      <c r="F37" s="4"/>
      <c r="G37" s="4" t="s">
        <v>136</v>
      </c>
    </row>
    <row r="39" spans="1:7">
      <c r="A39" s="1" t="s">
        <v>137</v>
      </c>
    </row>
    <row r="40" spans="1:7" ht="15" customHeight="1">
      <c r="A40" s="4" t="s">
        <v>138</v>
      </c>
      <c r="B40" s="4" t="s">
        <v>139</v>
      </c>
      <c r="C40" s="4" t="s">
        <v>140</v>
      </c>
      <c r="D40" s="4">
        <v>2018</v>
      </c>
      <c r="E40" s="4"/>
      <c r="F40" s="4"/>
      <c r="G40" s="4" t="s">
        <v>141</v>
      </c>
    </row>
  </sheetData>
  <sortState xmlns:xlrd2="http://schemas.microsoft.com/office/spreadsheetml/2017/richdata2" ref="A2:S21">
    <sortCondition ref="D1:D21"/>
  </sortState>
  <mergeCells count="2">
    <mergeCell ref="A23:G23"/>
    <mergeCell ref="A31:G31"/>
  </mergeCells>
  <pageMargins left="0.7" right="0.7" top="0.75" bottom="0.75" header="0.3" footer="0.3"/>
  <pageSetup paperSize="9"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9198A-EE54-41EA-AE6D-2A673EFFD0DB}">
  <dimension ref="A1:T23"/>
  <sheetViews>
    <sheetView workbookViewId="0">
      <selection activeCell="F21" sqref="F21"/>
    </sheetView>
  </sheetViews>
  <sheetFormatPr defaultRowHeight="14.45"/>
  <cols>
    <col min="1" max="1" width="4.7109375" customWidth="1"/>
    <col min="2" max="2" width="20.28515625" customWidth="1"/>
    <col min="3" max="3" width="29" customWidth="1"/>
    <col min="4" max="4" width="5" bestFit="1" customWidth="1"/>
    <col min="5" max="5" width="10.28515625" customWidth="1"/>
    <col min="6" max="6" width="8.140625" customWidth="1"/>
    <col min="7" max="7" width="3.140625" customWidth="1"/>
  </cols>
  <sheetData>
    <row r="1" spans="1:20">
      <c r="H1" s="45" t="s">
        <v>657</v>
      </c>
      <c r="I1" s="45"/>
      <c r="J1" s="45"/>
      <c r="K1" s="45"/>
      <c r="L1" s="45"/>
      <c r="M1" s="45"/>
      <c r="N1" s="45"/>
      <c r="O1" s="45"/>
      <c r="P1" s="45"/>
      <c r="Q1" s="45"/>
      <c r="R1" s="45"/>
      <c r="S1" s="45"/>
    </row>
    <row r="2" spans="1:20" ht="201">
      <c r="A2" s="45" t="s">
        <v>658</v>
      </c>
      <c r="B2" s="45"/>
      <c r="C2" s="45"/>
      <c r="D2" s="45"/>
      <c r="E2" s="45"/>
      <c r="F2" s="45"/>
      <c r="H2" s="36" t="s">
        <v>659</v>
      </c>
      <c r="I2" s="36" t="s">
        <v>660</v>
      </c>
      <c r="J2" s="36" t="s">
        <v>661</v>
      </c>
      <c r="K2" s="36" t="s">
        <v>662</v>
      </c>
      <c r="L2" s="36" t="s">
        <v>663</v>
      </c>
      <c r="M2" s="36" t="s">
        <v>664</v>
      </c>
      <c r="N2" s="36" t="s">
        <v>665</v>
      </c>
      <c r="O2" s="36" t="s">
        <v>666</v>
      </c>
      <c r="P2" s="36" t="s">
        <v>667</v>
      </c>
      <c r="Q2" s="36" t="s">
        <v>668</v>
      </c>
      <c r="R2" s="36" t="s">
        <v>669</v>
      </c>
      <c r="S2" s="36" t="s">
        <v>670</v>
      </c>
    </row>
    <row r="3" spans="1:20">
      <c r="A3" t="s">
        <v>230</v>
      </c>
      <c r="B3" t="s">
        <v>24</v>
      </c>
      <c r="C3" t="s">
        <v>25</v>
      </c>
      <c r="D3">
        <v>2006</v>
      </c>
      <c r="E3" t="s">
        <v>233</v>
      </c>
      <c r="F3" t="s">
        <v>234</v>
      </c>
      <c r="G3" s="23" t="s">
        <v>200</v>
      </c>
      <c r="H3" s="23" t="s">
        <v>671</v>
      </c>
      <c r="I3" s="23" t="s">
        <v>671</v>
      </c>
      <c r="J3" s="23" t="s">
        <v>671</v>
      </c>
      <c r="K3" s="23" t="s">
        <v>671</v>
      </c>
      <c r="L3" s="23" t="s">
        <v>672</v>
      </c>
      <c r="M3" s="23" t="s">
        <v>672</v>
      </c>
      <c r="N3" s="23" t="s">
        <v>671</v>
      </c>
      <c r="O3" s="23" t="s">
        <v>671</v>
      </c>
      <c r="P3" s="23" t="s">
        <v>671</v>
      </c>
      <c r="Q3" s="23" t="s">
        <v>672</v>
      </c>
      <c r="R3" s="39" t="s">
        <v>671</v>
      </c>
      <c r="S3" s="23" t="s">
        <v>672</v>
      </c>
    </row>
    <row r="4" spans="1:20">
      <c r="A4" t="s">
        <v>250</v>
      </c>
      <c r="B4" t="s">
        <v>36</v>
      </c>
      <c r="C4" t="s">
        <v>37</v>
      </c>
      <c r="D4">
        <v>2015</v>
      </c>
      <c r="E4" t="s">
        <v>233</v>
      </c>
      <c r="F4" t="s">
        <v>234</v>
      </c>
      <c r="G4" s="23" t="s">
        <v>200</v>
      </c>
      <c r="H4" s="23" t="s">
        <v>671</v>
      </c>
      <c r="I4" s="23" t="s">
        <v>671</v>
      </c>
      <c r="J4" s="23" t="s">
        <v>671</v>
      </c>
      <c r="K4" s="23" t="s">
        <v>671</v>
      </c>
      <c r="L4" s="23" t="s">
        <v>672</v>
      </c>
      <c r="M4" s="23" t="s">
        <v>672</v>
      </c>
      <c r="N4" s="23" t="s">
        <v>672</v>
      </c>
      <c r="O4" s="23" t="s">
        <v>671</v>
      </c>
      <c r="P4" s="23" t="s">
        <v>671</v>
      </c>
      <c r="Q4" s="23" t="s">
        <v>672</v>
      </c>
      <c r="R4" s="39" t="s">
        <v>671</v>
      </c>
      <c r="S4" s="23" t="s">
        <v>672</v>
      </c>
    </row>
    <row r="5" spans="1:20">
      <c r="A5" t="s">
        <v>256</v>
      </c>
      <c r="B5" t="s">
        <v>40</v>
      </c>
      <c r="C5" t="s">
        <v>41</v>
      </c>
      <c r="D5">
        <v>2016</v>
      </c>
      <c r="E5" t="s">
        <v>233</v>
      </c>
      <c r="F5" t="s">
        <v>234</v>
      </c>
      <c r="G5" s="23" t="s">
        <v>200</v>
      </c>
      <c r="H5" s="23" t="s">
        <v>671</v>
      </c>
      <c r="I5" s="23" t="s">
        <v>671</v>
      </c>
      <c r="J5" s="23" t="s">
        <v>671</v>
      </c>
      <c r="K5" s="23" t="s">
        <v>671</v>
      </c>
      <c r="L5" s="23" t="s">
        <v>672</v>
      </c>
      <c r="M5" s="23" t="s">
        <v>672</v>
      </c>
      <c r="N5" s="23" t="s">
        <v>672</v>
      </c>
      <c r="O5" s="23" t="s">
        <v>671</v>
      </c>
      <c r="P5" s="23" t="s">
        <v>671</v>
      </c>
      <c r="Q5" s="23" t="s">
        <v>672</v>
      </c>
      <c r="R5" s="39" t="s">
        <v>671</v>
      </c>
      <c r="S5" s="23" t="s">
        <v>672</v>
      </c>
    </row>
    <row r="6" spans="1:20">
      <c r="A6" t="s">
        <v>272</v>
      </c>
      <c r="B6" t="s">
        <v>52</v>
      </c>
      <c r="C6" t="s">
        <v>53</v>
      </c>
      <c r="D6">
        <v>2017</v>
      </c>
      <c r="E6" t="s">
        <v>278</v>
      </c>
      <c r="F6" t="s">
        <v>279</v>
      </c>
      <c r="G6" s="23" t="s">
        <v>200</v>
      </c>
      <c r="H6" s="23" t="s">
        <v>671</v>
      </c>
      <c r="I6" s="23" t="s">
        <v>671</v>
      </c>
      <c r="J6" s="23" t="s">
        <v>671</v>
      </c>
      <c r="K6" s="23" t="s">
        <v>671</v>
      </c>
      <c r="L6" s="23" t="s">
        <v>672</v>
      </c>
      <c r="M6" s="23" t="s">
        <v>672</v>
      </c>
      <c r="N6" s="23" t="s">
        <v>672</v>
      </c>
      <c r="O6" s="23" t="s">
        <v>672</v>
      </c>
      <c r="P6" s="23" t="s">
        <v>671</v>
      </c>
      <c r="Q6" s="23" t="s">
        <v>672</v>
      </c>
      <c r="R6" s="39" t="s">
        <v>671</v>
      </c>
      <c r="S6" s="23" t="s">
        <v>672</v>
      </c>
    </row>
    <row r="7" spans="1:20">
      <c r="A7" s="37" t="s">
        <v>301</v>
      </c>
      <c r="B7" s="37" t="s">
        <v>302</v>
      </c>
      <c r="C7" s="37" t="s">
        <v>69</v>
      </c>
      <c r="D7" s="37">
        <v>2019</v>
      </c>
      <c r="E7" s="37" t="s">
        <v>305</v>
      </c>
      <c r="F7" s="37" t="s">
        <v>234</v>
      </c>
      <c r="G7" s="38" t="s">
        <v>200</v>
      </c>
      <c r="H7" s="23" t="s">
        <v>671</v>
      </c>
      <c r="I7" s="23" t="s">
        <v>671</v>
      </c>
      <c r="J7" s="23" t="s">
        <v>671</v>
      </c>
      <c r="K7" s="23" t="s">
        <v>671</v>
      </c>
      <c r="L7" s="23" t="s">
        <v>672</v>
      </c>
      <c r="M7" s="23" t="s">
        <v>672</v>
      </c>
      <c r="N7" s="23" t="s">
        <v>672</v>
      </c>
      <c r="O7" s="23" t="s">
        <v>671</v>
      </c>
      <c r="P7" s="23" t="s">
        <v>671</v>
      </c>
      <c r="Q7" s="23" t="s">
        <v>672</v>
      </c>
      <c r="R7" s="39" t="s">
        <v>671</v>
      </c>
      <c r="S7" s="23" t="s">
        <v>672</v>
      </c>
      <c r="T7" s="23" t="s">
        <v>673</v>
      </c>
    </row>
    <row r="8" spans="1:20">
      <c r="A8" t="s">
        <v>326</v>
      </c>
      <c r="B8" t="s">
        <v>84</v>
      </c>
      <c r="C8" t="s">
        <v>85</v>
      </c>
      <c r="D8">
        <v>2021</v>
      </c>
      <c r="E8" t="s">
        <v>233</v>
      </c>
      <c r="F8" t="s">
        <v>330</v>
      </c>
      <c r="G8" s="23" t="s">
        <v>200</v>
      </c>
      <c r="H8" s="23" t="s">
        <v>671</v>
      </c>
      <c r="I8" s="23" t="s">
        <v>671</v>
      </c>
      <c r="J8" s="23" t="s">
        <v>671</v>
      </c>
      <c r="K8" s="23" t="s">
        <v>671</v>
      </c>
      <c r="L8" s="23" t="s">
        <v>672</v>
      </c>
      <c r="M8" s="23" t="s">
        <v>672</v>
      </c>
      <c r="N8" s="23" t="s">
        <v>672</v>
      </c>
      <c r="O8" s="23" t="s">
        <v>671</v>
      </c>
      <c r="P8" s="23" t="s">
        <v>671</v>
      </c>
      <c r="Q8" s="23" t="s">
        <v>672</v>
      </c>
      <c r="R8" s="23" t="s">
        <v>671</v>
      </c>
      <c r="S8" s="23" t="s">
        <v>672</v>
      </c>
    </row>
    <row r="9" spans="1:20">
      <c r="A9" t="s">
        <v>357</v>
      </c>
      <c r="B9" t="s">
        <v>358</v>
      </c>
      <c r="C9" t="s">
        <v>359</v>
      </c>
      <c r="D9">
        <v>2019</v>
      </c>
      <c r="E9" t="s">
        <v>233</v>
      </c>
      <c r="F9" t="s">
        <v>227</v>
      </c>
      <c r="G9" s="23" t="s">
        <v>200</v>
      </c>
      <c r="H9" s="23" t="s">
        <v>671</v>
      </c>
      <c r="I9" s="23" t="s">
        <v>671</v>
      </c>
      <c r="J9" s="23" t="s">
        <v>671</v>
      </c>
      <c r="K9" s="23" t="s">
        <v>671</v>
      </c>
      <c r="L9" s="23" t="s">
        <v>672</v>
      </c>
      <c r="M9" s="23" t="s">
        <v>672</v>
      </c>
      <c r="N9" s="23" t="s">
        <v>672</v>
      </c>
      <c r="O9" s="23" t="s">
        <v>671</v>
      </c>
      <c r="P9" s="23" t="s">
        <v>671</v>
      </c>
      <c r="Q9" s="23" t="s">
        <v>672</v>
      </c>
      <c r="R9" s="23" t="s">
        <v>671</v>
      </c>
      <c r="S9" s="23" t="s">
        <v>672</v>
      </c>
    </row>
    <row r="10" spans="1:20">
      <c r="A10" t="s">
        <v>388</v>
      </c>
      <c r="B10" t="s">
        <v>295</v>
      </c>
      <c r="C10" t="s">
        <v>389</v>
      </c>
      <c r="D10">
        <v>2021</v>
      </c>
      <c r="E10" t="s">
        <v>392</v>
      </c>
      <c r="F10" t="s">
        <v>368</v>
      </c>
      <c r="G10" s="23" t="s">
        <v>200</v>
      </c>
      <c r="H10" s="23" t="s">
        <v>671</v>
      </c>
      <c r="I10" s="23" t="s">
        <v>671</v>
      </c>
      <c r="J10" s="23" t="s">
        <v>671</v>
      </c>
      <c r="K10" s="23" t="s">
        <v>671</v>
      </c>
      <c r="L10" s="23" t="s">
        <v>671</v>
      </c>
      <c r="M10" s="23" t="s">
        <v>672</v>
      </c>
      <c r="N10" s="23" t="s">
        <v>671</v>
      </c>
      <c r="O10" s="23" t="s">
        <v>671</v>
      </c>
      <c r="P10" s="23" t="s">
        <v>671</v>
      </c>
      <c r="Q10" s="23" t="s">
        <v>671</v>
      </c>
      <c r="R10" s="23" t="s">
        <v>671</v>
      </c>
      <c r="S10" s="23" t="s">
        <v>672</v>
      </c>
    </row>
    <row r="11" spans="1:20">
      <c r="A11" t="s">
        <v>409</v>
      </c>
      <c r="B11" t="s">
        <v>410</v>
      </c>
      <c r="C11" t="s">
        <v>411</v>
      </c>
      <c r="D11">
        <v>2015</v>
      </c>
      <c r="E11" t="s">
        <v>233</v>
      </c>
      <c r="F11" t="s">
        <v>414</v>
      </c>
      <c r="G11" s="23" t="s">
        <v>200</v>
      </c>
      <c r="H11" s="23" t="s">
        <v>671</v>
      </c>
      <c r="I11" s="23" t="s">
        <v>671</v>
      </c>
      <c r="J11" s="23" t="s">
        <v>671</v>
      </c>
      <c r="K11" s="23" t="s">
        <v>671</v>
      </c>
      <c r="L11" s="23" t="s">
        <v>671</v>
      </c>
      <c r="M11" s="23" t="s">
        <v>671</v>
      </c>
      <c r="N11" s="23" t="s">
        <v>671</v>
      </c>
      <c r="O11" s="23" t="s">
        <v>671</v>
      </c>
      <c r="P11" s="23" t="s">
        <v>671</v>
      </c>
      <c r="Q11" s="23" t="s">
        <v>672</v>
      </c>
      <c r="R11" s="23" t="s">
        <v>671</v>
      </c>
      <c r="S11" s="23" t="s">
        <v>672</v>
      </c>
    </row>
    <row r="13" spans="1:20">
      <c r="H13" s="45" t="s">
        <v>674</v>
      </c>
      <c r="I13" s="45"/>
      <c r="J13" s="45"/>
      <c r="K13" s="45"/>
      <c r="L13" s="45"/>
      <c r="M13" s="45"/>
      <c r="N13" s="45"/>
      <c r="O13" s="45"/>
      <c r="P13" s="45"/>
      <c r="Q13" s="45"/>
    </row>
    <row r="14" spans="1:20" ht="219.6">
      <c r="A14" s="45" t="s">
        <v>675</v>
      </c>
      <c r="B14" s="45"/>
      <c r="C14" s="45"/>
      <c r="D14" s="45"/>
      <c r="E14" s="45"/>
      <c r="F14" s="45"/>
      <c r="H14" s="36" t="s">
        <v>659</v>
      </c>
      <c r="I14" s="36" t="s">
        <v>660</v>
      </c>
      <c r="J14" s="36" t="s">
        <v>676</v>
      </c>
      <c r="K14" s="36" t="s">
        <v>677</v>
      </c>
      <c r="L14" s="36" t="s">
        <v>678</v>
      </c>
      <c r="M14" s="36" t="s">
        <v>679</v>
      </c>
      <c r="N14" s="36" t="s">
        <v>680</v>
      </c>
      <c r="O14" s="36" t="s">
        <v>681</v>
      </c>
      <c r="P14" s="36" t="s">
        <v>682</v>
      </c>
      <c r="Q14" s="36" t="s">
        <v>683</v>
      </c>
    </row>
    <row r="15" spans="1:20">
      <c r="A15" t="s">
        <v>288</v>
      </c>
      <c r="B15" t="s">
        <v>60</v>
      </c>
      <c r="C15" t="s">
        <v>61</v>
      </c>
      <c r="D15">
        <v>2018</v>
      </c>
      <c r="E15" t="s">
        <v>291</v>
      </c>
      <c r="F15" t="s">
        <v>234</v>
      </c>
      <c r="G15" s="23" t="s">
        <v>200</v>
      </c>
      <c r="H15" s="23" t="s">
        <v>671</v>
      </c>
      <c r="I15" s="23" t="s">
        <v>671</v>
      </c>
      <c r="J15" s="23" t="s">
        <v>671</v>
      </c>
      <c r="K15" s="23" t="s">
        <v>671</v>
      </c>
      <c r="L15" s="23" t="s">
        <v>672</v>
      </c>
      <c r="M15" s="23" t="s">
        <v>672</v>
      </c>
      <c r="N15" s="23" t="s">
        <v>672</v>
      </c>
      <c r="O15" s="23" t="s">
        <v>671</v>
      </c>
      <c r="P15" s="23" t="s">
        <v>671</v>
      </c>
      <c r="Q15" s="23" t="s">
        <v>672</v>
      </c>
    </row>
    <row r="16" spans="1:20">
      <c r="A16" t="s">
        <v>313</v>
      </c>
      <c r="B16" t="s">
        <v>314</v>
      </c>
      <c r="C16" t="s">
        <v>77</v>
      </c>
      <c r="D16">
        <v>2021</v>
      </c>
      <c r="E16" t="s">
        <v>317</v>
      </c>
      <c r="F16" t="s">
        <v>208</v>
      </c>
      <c r="G16" s="23" t="s">
        <v>200</v>
      </c>
      <c r="H16" s="23" t="s">
        <v>671</v>
      </c>
      <c r="I16" s="23" t="s">
        <v>671</v>
      </c>
      <c r="J16" s="23" t="s">
        <v>671</v>
      </c>
      <c r="K16" s="23" t="s">
        <v>671</v>
      </c>
      <c r="L16" s="23" t="s">
        <v>672</v>
      </c>
      <c r="M16" s="23" t="s">
        <v>671</v>
      </c>
      <c r="N16" s="23" t="s">
        <v>671</v>
      </c>
      <c r="O16" s="23" t="s">
        <v>671</v>
      </c>
      <c r="P16" s="23" t="s">
        <v>671</v>
      </c>
      <c r="Q16" s="23" t="s">
        <v>672</v>
      </c>
    </row>
    <row r="17" spans="1:18">
      <c r="A17" t="s">
        <v>320</v>
      </c>
      <c r="B17" t="s">
        <v>80</v>
      </c>
      <c r="C17" t="s">
        <v>81</v>
      </c>
      <c r="D17">
        <v>2021</v>
      </c>
      <c r="E17" t="s">
        <v>324</v>
      </c>
      <c r="F17" t="s">
        <v>217</v>
      </c>
      <c r="G17" s="23" t="s">
        <v>200</v>
      </c>
      <c r="H17" s="23" t="s">
        <v>672</v>
      </c>
      <c r="I17" s="23" t="s">
        <v>672</v>
      </c>
      <c r="J17" s="23" t="s">
        <v>671</v>
      </c>
      <c r="K17" s="23" t="s">
        <v>671</v>
      </c>
      <c r="L17" s="23" t="s">
        <v>672</v>
      </c>
      <c r="M17" s="23" t="s">
        <v>672</v>
      </c>
      <c r="N17" s="23" t="s">
        <v>672</v>
      </c>
      <c r="O17" s="23" t="s">
        <v>671</v>
      </c>
      <c r="P17" s="23" t="s">
        <v>672</v>
      </c>
      <c r="Q17" s="23" t="s">
        <v>672</v>
      </c>
    </row>
    <row r="18" spans="1:18">
      <c r="A18" t="s">
        <v>349</v>
      </c>
      <c r="B18" t="s">
        <v>350</v>
      </c>
      <c r="C18" t="s">
        <v>351</v>
      </c>
      <c r="D18">
        <v>2017</v>
      </c>
      <c r="E18" t="s">
        <v>684</v>
      </c>
      <c r="F18" t="s">
        <v>249</v>
      </c>
      <c r="G18" s="23" t="s">
        <v>200</v>
      </c>
      <c r="H18" s="23" t="s">
        <v>671</v>
      </c>
      <c r="I18" s="23" t="s">
        <v>671</v>
      </c>
      <c r="J18" s="23" t="s">
        <v>671</v>
      </c>
      <c r="K18" s="23" t="s">
        <v>671</v>
      </c>
      <c r="L18" s="23" t="s">
        <v>672</v>
      </c>
      <c r="M18" s="23" t="s">
        <v>671</v>
      </c>
      <c r="N18" s="23" t="s">
        <v>671</v>
      </c>
      <c r="O18" s="23" t="s">
        <v>671</v>
      </c>
      <c r="P18" s="23" t="s">
        <v>671</v>
      </c>
      <c r="Q18" s="23" t="s">
        <v>672</v>
      </c>
    </row>
    <row r="19" spans="1:18">
      <c r="A19" t="s">
        <v>363</v>
      </c>
      <c r="B19" t="s">
        <v>364</v>
      </c>
      <c r="C19" t="s">
        <v>365</v>
      </c>
      <c r="D19">
        <v>2020</v>
      </c>
      <c r="E19" t="s">
        <v>317</v>
      </c>
      <c r="F19" t="s">
        <v>368</v>
      </c>
      <c r="G19" s="23" t="s">
        <v>200</v>
      </c>
      <c r="H19" s="23" t="s">
        <v>671</v>
      </c>
      <c r="I19" s="23" t="s">
        <v>672</v>
      </c>
      <c r="J19" s="23" t="s">
        <v>671</v>
      </c>
      <c r="K19" s="23" t="s">
        <v>671</v>
      </c>
      <c r="L19" s="23" t="s">
        <v>672</v>
      </c>
      <c r="M19" s="23" t="s">
        <v>672</v>
      </c>
      <c r="N19" s="23" t="s">
        <v>672</v>
      </c>
      <c r="O19" s="23" t="s">
        <v>671</v>
      </c>
      <c r="P19" s="23" t="s">
        <v>671</v>
      </c>
      <c r="Q19" s="23" t="s">
        <v>672</v>
      </c>
    </row>
    <row r="20" spans="1:18">
      <c r="A20" t="s">
        <v>376</v>
      </c>
      <c r="B20" t="s">
        <v>377</v>
      </c>
      <c r="C20" t="s">
        <v>378</v>
      </c>
      <c r="D20">
        <v>2021</v>
      </c>
      <c r="E20" t="s">
        <v>324</v>
      </c>
      <c r="F20" t="s">
        <v>249</v>
      </c>
      <c r="G20" s="23" t="s">
        <v>200</v>
      </c>
      <c r="H20" s="23" t="s">
        <v>671</v>
      </c>
      <c r="I20" s="23" t="s">
        <v>671</v>
      </c>
      <c r="J20" s="23" t="s">
        <v>671</v>
      </c>
      <c r="K20" s="23" t="s">
        <v>671</v>
      </c>
      <c r="L20" s="23" t="s">
        <v>672</v>
      </c>
      <c r="M20" s="23" t="s">
        <v>671</v>
      </c>
      <c r="N20" s="23" t="s">
        <v>671</v>
      </c>
      <c r="O20" s="23" t="s">
        <v>671</v>
      </c>
      <c r="P20" s="23" t="s">
        <v>671</v>
      </c>
      <c r="Q20" s="23" t="s">
        <v>672</v>
      </c>
    </row>
    <row r="21" spans="1:18">
      <c r="A21" t="s">
        <v>417</v>
      </c>
      <c r="B21" t="s">
        <v>418</v>
      </c>
      <c r="C21" t="s">
        <v>419</v>
      </c>
      <c r="D21">
        <v>2018</v>
      </c>
      <c r="E21" t="s">
        <v>685</v>
      </c>
      <c r="F21" t="s">
        <v>423</v>
      </c>
      <c r="G21" s="23" t="s">
        <v>200</v>
      </c>
      <c r="H21" s="23" t="s">
        <v>686</v>
      </c>
      <c r="I21" s="23" t="s">
        <v>671</v>
      </c>
      <c r="J21" s="23" t="s">
        <v>671</v>
      </c>
      <c r="K21" s="23" t="s">
        <v>671</v>
      </c>
      <c r="L21" s="23" t="s">
        <v>672</v>
      </c>
      <c r="M21" s="23" t="s">
        <v>671</v>
      </c>
      <c r="N21" s="23" t="s">
        <v>671</v>
      </c>
      <c r="O21" s="23" t="s">
        <v>671</v>
      </c>
      <c r="P21" s="23" t="s">
        <v>671</v>
      </c>
      <c r="Q21" s="23" t="s">
        <v>672</v>
      </c>
    </row>
    <row r="22" spans="1:18">
      <c r="A22" s="37" t="s">
        <v>425</v>
      </c>
      <c r="B22" s="37" t="s">
        <v>426</v>
      </c>
      <c r="C22" s="37" t="s">
        <v>427</v>
      </c>
      <c r="D22" s="37">
        <v>1993</v>
      </c>
      <c r="E22" s="37" t="s">
        <v>687</v>
      </c>
      <c r="F22" s="37" t="s">
        <v>197</v>
      </c>
      <c r="G22" s="37" t="s">
        <v>200</v>
      </c>
      <c r="H22" s="23" t="s">
        <v>671</v>
      </c>
      <c r="I22" s="23" t="s">
        <v>671</v>
      </c>
      <c r="J22" s="23" t="s">
        <v>671</v>
      </c>
      <c r="K22" s="23" t="s">
        <v>671</v>
      </c>
      <c r="L22" s="23" t="s">
        <v>672</v>
      </c>
      <c r="M22" s="23" t="s">
        <v>672</v>
      </c>
      <c r="N22" s="23" t="s">
        <v>672</v>
      </c>
      <c r="O22" s="23" t="s">
        <v>672</v>
      </c>
      <c r="P22" s="23" t="s">
        <v>671</v>
      </c>
      <c r="Q22" s="23" t="s">
        <v>672</v>
      </c>
      <c r="R22" t="s">
        <v>688</v>
      </c>
    </row>
    <row r="23" spans="1:18">
      <c r="A23" t="s">
        <v>432</v>
      </c>
      <c r="B23" t="s">
        <v>433</v>
      </c>
      <c r="C23" t="s">
        <v>434</v>
      </c>
      <c r="D23">
        <v>2018</v>
      </c>
      <c r="E23" t="s">
        <v>438</v>
      </c>
      <c r="F23" t="s">
        <v>249</v>
      </c>
      <c r="G23" s="23" t="s">
        <v>200</v>
      </c>
      <c r="H23" s="23" t="s">
        <v>672</v>
      </c>
      <c r="I23" s="23" t="s">
        <v>672</v>
      </c>
      <c r="J23" s="23" t="s">
        <v>672</v>
      </c>
      <c r="K23" s="23" t="s">
        <v>672</v>
      </c>
      <c r="L23" s="23" t="s">
        <v>672</v>
      </c>
      <c r="M23" s="23" t="s">
        <v>672</v>
      </c>
      <c r="N23" s="23" t="s">
        <v>672</v>
      </c>
      <c r="O23" s="23" t="s">
        <v>672</v>
      </c>
      <c r="P23" s="23" t="s">
        <v>671</v>
      </c>
      <c r="Q23" s="23" t="s">
        <v>672</v>
      </c>
    </row>
  </sheetData>
  <mergeCells count="4">
    <mergeCell ref="A2:F2"/>
    <mergeCell ref="A14:F14"/>
    <mergeCell ref="H1:S1"/>
    <mergeCell ref="H13:Q13"/>
  </mergeCell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FDB0D5-97F6-4083-AE4B-3B2F7ED0C943}">
  <dimension ref="A1:D42"/>
  <sheetViews>
    <sheetView workbookViewId="0">
      <selection activeCell="A29" sqref="A29"/>
    </sheetView>
  </sheetViews>
  <sheetFormatPr defaultRowHeight="14.45"/>
  <cols>
    <col min="1" max="1" width="21.140625" customWidth="1"/>
    <col min="2" max="2" width="14.7109375" customWidth="1"/>
    <col min="3" max="3" width="241.85546875" customWidth="1"/>
  </cols>
  <sheetData>
    <row r="1" spans="1:4">
      <c r="A1" s="1" t="s">
        <v>0</v>
      </c>
      <c r="B1" s="1" t="s">
        <v>1</v>
      </c>
      <c r="C1" s="1" t="s">
        <v>2</v>
      </c>
      <c r="D1" s="5" t="s">
        <v>142</v>
      </c>
    </row>
    <row r="2" spans="1:4">
      <c r="A2" s="2" t="s">
        <v>7</v>
      </c>
      <c r="B2" s="2" t="s">
        <v>8</v>
      </c>
      <c r="C2" s="2" t="s">
        <v>9</v>
      </c>
      <c r="D2" s="6">
        <v>0</v>
      </c>
    </row>
    <row r="3" spans="1:4">
      <c r="A3" s="2" t="s">
        <v>11</v>
      </c>
      <c r="B3" s="2" t="s">
        <v>12</v>
      </c>
      <c r="C3" s="2" t="s">
        <v>13</v>
      </c>
      <c r="D3" s="6">
        <v>0</v>
      </c>
    </row>
    <row r="4" spans="1:4">
      <c r="A4" s="2" t="s">
        <v>15</v>
      </c>
      <c r="B4" s="2" t="s">
        <v>16</v>
      </c>
      <c r="C4" s="2" t="s">
        <v>17</v>
      </c>
      <c r="D4" s="6">
        <v>0</v>
      </c>
    </row>
    <row r="5" spans="1:4">
      <c r="A5" s="2" t="s">
        <v>19</v>
      </c>
      <c r="B5" s="2" t="s">
        <v>20</v>
      </c>
      <c r="C5" s="2" t="s">
        <v>21</v>
      </c>
      <c r="D5" s="5">
        <v>1</v>
      </c>
    </row>
    <row r="6" spans="1:4">
      <c r="A6" s="2" t="s">
        <v>23</v>
      </c>
      <c r="B6" s="2" t="s">
        <v>24</v>
      </c>
      <c r="C6" s="2" t="s">
        <v>25</v>
      </c>
      <c r="D6" s="5">
        <v>6</v>
      </c>
    </row>
    <row r="7" spans="1:4">
      <c r="A7" s="2" t="s">
        <v>27</v>
      </c>
      <c r="B7" s="2" t="s">
        <v>28</v>
      </c>
      <c r="C7" s="2" t="s">
        <v>29</v>
      </c>
      <c r="D7" s="6">
        <v>0</v>
      </c>
    </row>
    <row r="8" spans="1:4">
      <c r="A8" s="2" t="s">
        <v>31</v>
      </c>
      <c r="B8" s="2" t="s">
        <v>32</v>
      </c>
      <c r="C8" s="2" t="s">
        <v>33</v>
      </c>
      <c r="D8" s="6">
        <v>0</v>
      </c>
    </row>
    <row r="9" spans="1:4">
      <c r="A9" s="2" t="s">
        <v>35</v>
      </c>
      <c r="B9" s="2" t="s">
        <v>36</v>
      </c>
      <c r="C9" s="2" t="s">
        <v>37</v>
      </c>
      <c r="D9" s="5">
        <v>3</v>
      </c>
    </row>
    <row r="10" spans="1:4">
      <c r="A10" s="2" t="s">
        <v>39</v>
      </c>
      <c r="B10" s="2" t="s">
        <v>40</v>
      </c>
      <c r="C10" s="2" t="s">
        <v>41</v>
      </c>
      <c r="D10" s="6">
        <v>0</v>
      </c>
    </row>
    <row r="11" spans="1:4">
      <c r="A11" s="2" t="s">
        <v>43</v>
      </c>
      <c r="B11" s="2" t="s">
        <v>44</v>
      </c>
      <c r="C11" s="2" t="s">
        <v>45</v>
      </c>
      <c r="D11" s="6">
        <v>0</v>
      </c>
    </row>
    <row r="12" spans="1:4">
      <c r="A12" s="2" t="s">
        <v>47</v>
      </c>
      <c r="B12" s="2" t="s">
        <v>48</v>
      </c>
      <c r="C12" s="2" t="s">
        <v>49</v>
      </c>
      <c r="D12" s="6">
        <v>0</v>
      </c>
    </row>
    <row r="13" spans="1:4">
      <c r="A13" s="2" t="s">
        <v>51</v>
      </c>
      <c r="B13" s="2" t="s">
        <v>52</v>
      </c>
      <c r="C13" s="2" t="s">
        <v>53</v>
      </c>
      <c r="D13" s="5">
        <v>1</v>
      </c>
    </row>
    <row r="14" spans="1:4">
      <c r="A14" s="2" t="s">
        <v>55</v>
      </c>
      <c r="B14" s="2" t="s">
        <v>56</v>
      </c>
      <c r="C14" s="2" t="s">
        <v>57</v>
      </c>
      <c r="D14" s="6">
        <v>0</v>
      </c>
    </row>
    <row r="15" spans="1:4">
      <c r="A15" s="2" t="s">
        <v>59</v>
      </c>
      <c r="B15" s="2" t="s">
        <v>60</v>
      </c>
      <c r="C15" s="2" t="s">
        <v>61</v>
      </c>
      <c r="D15" s="5">
        <v>1</v>
      </c>
    </row>
    <row r="16" spans="1:4">
      <c r="A16" s="2" t="s">
        <v>63</v>
      </c>
      <c r="B16" s="2" t="s">
        <v>64</v>
      </c>
      <c r="C16" s="2" t="s">
        <v>65</v>
      </c>
      <c r="D16" s="5">
        <v>1</v>
      </c>
    </row>
    <row r="17" spans="1:4">
      <c r="A17" s="2" t="s">
        <v>67</v>
      </c>
      <c r="B17" s="2" t="s">
        <v>68</v>
      </c>
      <c r="C17" s="2" t="s">
        <v>69</v>
      </c>
      <c r="D17" s="6">
        <v>0</v>
      </c>
    </row>
    <row r="18" spans="1:4">
      <c r="A18" s="2" t="s">
        <v>71</v>
      </c>
      <c r="B18" s="2" t="s">
        <v>72</v>
      </c>
      <c r="C18" s="2" t="s">
        <v>73</v>
      </c>
      <c r="D18" s="6">
        <v>0</v>
      </c>
    </row>
    <row r="19" spans="1:4">
      <c r="A19" s="2" t="s">
        <v>75</v>
      </c>
      <c r="B19" s="2" t="s">
        <v>76</v>
      </c>
      <c r="C19" s="2" t="s">
        <v>77</v>
      </c>
      <c r="D19" s="6">
        <v>0</v>
      </c>
    </row>
    <row r="20" spans="1:4">
      <c r="A20" s="2" t="s">
        <v>79</v>
      </c>
      <c r="B20" s="2" t="s">
        <v>80</v>
      </c>
      <c r="C20" s="2" t="s">
        <v>81</v>
      </c>
      <c r="D20" s="6">
        <v>0</v>
      </c>
    </row>
    <row r="21" spans="1:4">
      <c r="A21" s="2" t="s">
        <v>83</v>
      </c>
      <c r="B21" s="2" t="s">
        <v>84</v>
      </c>
      <c r="C21" s="2" t="s">
        <v>85</v>
      </c>
      <c r="D21" s="6">
        <v>0</v>
      </c>
    </row>
    <row r="23" spans="1:4">
      <c r="A23" s="45" t="s">
        <v>143</v>
      </c>
      <c r="B23" s="45"/>
      <c r="C23" s="45"/>
    </row>
    <row r="24" spans="1:4" ht="15">
      <c r="A24" s="44" t="s">
        <v>144</v>
      </c>
      <c r="B24" s="44" t="s">
        <v>145</v>
      </c>
      <c r="C24" s="44"/>
    </row>
    <row r="25" spans="1:4">
      <c r="A25" s="2" t="s">
        <v>19</v>
      </c>
      <c r="B25" s="2" t="s">
        <v>146</v>
      </c>
      <c r="C25" s="2"/>
    </row>
    <row r="27" spans="1:4">
      <c r="A27" s="2" t="s">
        <v>23</v>
      </c>
      <c r="B27" s="2" t="s">
        <v>147</v>
      </c>
      <c r="C27" s="2"/>
    </row>
    <row r="28" spans="1:4">
      <c r="B28" s="4" t="s">
        <v>148</v>
      </c>
      <c r="C28" s="4"/>
    </row>
    <row r="29" spans="1:4">
      <c r="B29" s="2" t="s">
        <v>149</v>
      </c>
      <c r="C29" s="2"/>
    </row>
    <row r="30" spans="1:4">
      <c r="B30" s="4" t="s">
        <v>150</v>
      </c>
      <c r="C30" s="4"/>
    </row>
    <row r="31" spans="1:4">
      <c r="B31" s="4" t="s">
        <v>151</v>
      </c>
      <c r="C31" s="4"/>
    </row>
    <row r="32" spans="1:4">
      <c r="B32" s="4" t="s">
        <v>152</v>
      </c>
      <c r="C32" s="4"/>
    </row>
    <row r="34" spans="1:3">
      <c r="A34" s="2" t="s">
        <v>35</v>
      </c>
      <c r="B34" s="2" t="s">
        <v>153</v>
      </c>
      <c r="C34" s="2"/>
    </row>
    <row r="35" spans="1:3">
      <c r="B35" s="2" t="s">
        <v>154</v>
      </c>
      <c r="C35" s="2"/>
    </row>
    <row r="36" spans="1:3">
      <c r="B36" s="2" t="s">
        <v>155</v>
      </c>
      <c r="C36" s="2"/>
    </row>
    <row r="38" spans="1:3">
      <c r="A38" s="2" t="s">
        <v>51</v>
      </c>
      <c r="B38" s="2" t="s">
        <v>156</v>
      </c>
      <c r="C38" s="2"/>
    </row>
    <row r="40" spans="1:3">
      <c r="A40" s="2" t="s">
        <v>59</v>
      </c>
      <c r="B40" s="2" t="s">
        <v>157</v>
      </c>
      <c r="C40" s="2"/>
    </row>
    <row r="42" spans="1:3">
      <c r="A42" s="2" t="s">
        <v>63</v>
      </c>
      <c r="B42" s="2" t="s">
        <v>158</v>
      </c>
      <c r="C42" s="2"/>
    </row>
  </sheetData>
  <mergeCells count="1">
    <mergeCell ref="A23:C23"/>
  </mergeCells>
  <pageMargins left="0.7" right="0.7" top="0.75" bottom="0.75" header="0.3" footer="0.3"/>
  <pageSetup paperSize="9" orientation="portrait" horizontalDpi="0"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805DA-8214-4345-B312-B0A6B1438462}">
  <dimension ref="A1:B18"/>
  <sheetViews>
    <sheetView workbookViewId="0">
      <selection activeCell="B24" sqref="B24:B25"/>
    </sheetView>
  </sheetViews>
  <sheetFormatPr defaultRowHeight="14.45"/>
  <cols>
    <col min="1" max="1" width="23.28515625" customWidth="1"/>
    <col min="2" max="2" width="236.85546875" customWidth="1"/>
  </cols>
  <sheetData>
    <row r="1" spans="1:2">
      <c r="A1" s="45" t="s">
        <v>159</v>
      </c>
      <c r="B1" s="45"/>
    </row>
    <row r="2" spans="1:2" ht="15">
      <c r="A2" s="44" t="s">
        <v>144</v>
      </c>
      <c r="B2" s="44" t="s">
        <v>145</v>
      </c>
    </row>
    <row r="3" spans="1:2">
      <c r="A3" s="2" t="s">
        <v>19</v>
      </c>
      <c r="B3" s="2" t="s">
        <v>160</v>
      </c>
    </row>
    <row r="5" spans="1:2">
      <c r="A5" s="2" t="s">
        <v>59</v>
      </c>
      <c r="B5" s="2" t="s">
        <v>161</v>
      </c>
    </row>
    <row r="7" spans="1:2">
      <c r="A7" s="2" t="s">
        <v>63</v>
      </c>
      <c r="B7" s="2" t="s">
        <v>162</v>
      </c>
    </row>
    <row r="8" spans="1:2">
      <c r="B8" s="4" t="s">
        <v>163</v>
      </c>
    </row>
    <row r="10" spans="1:2">
      <c r="A10" s="2" t="s">
        <v>83</v>
      </c>
      <c r="B10" s="2" t="s">
        <v>164</v>
      </c>
    </row>
    <row r="11" spans="1:2">
      <c r="B11" s="2" t="s">
        <v>165</v>
      </c>
    </row>
    <row r="13" spans="1:2">
      <c r="A13" s="45" t="s">
        <v>166</v>
      </c>
      <c r="B13" s="45"/>
    </row>
    <row r="14" spans="1:2">
      <c r="A14" s="2" t="s">
        <v>167</v>
      </c>
      <c r="B14" s="3" t="s">
        <v>168</v>
      </c>
    </row>
    <row r="15" spans="1:2">
      <c r="B15" s="2" t="s">
        <v>169</v>
      </c>
    </row>
    <row r="17" spans="1:2">
      <c r="A17" s="45" t="s">
        <v>170</v>
      </c>
      <c r="B17" s="45"/>
    </row>
    <row r="18" spans="1:2">
      <c r="A18" s="2" t="s">
        <v>171</v>
      </c>
      <c r="B18" s="2" t="s">
        <v>172</v>
      </c>
    </row>
  </sheetData>
  <mergeCells count="3">
    <mergeCell ref="A1:B1"/>
    <mergeCell ref="A13:B13"/>
    <mergeCell ref="A17:B17"/>
  </mergeCells>
  <pageMargins left="0.7" right="0.7" top="0.75" bottom="0.75" header="0.3" footer="0.3"/>
  <pageSetup paperSize="9" orientation="portrait" horizontalDpi="0"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87CD2-C1B5-45D6-B2D2-04871B3CDBB6}">
  <dimension ref="A1:C4"/>
  <sheetViews>
    <sheetView workbookViewId="0"/>
  </sheetViews>
  <sheetFormatPr defaultRowHeight="14.45"/>
  <sheetData>
    <row r="1" spans="1:3">
      <c r="A1" t="s">
        <v>173</v>
      </c>
    </row>
    <row r="2" spans="1:3" ht="409.6">
      <c r="B2" t="s">
        <v>174</v>
      </c>
      <c r="C2" s="21" t="s">
        <v>175</v>
      </c>
    </row>
    <row r="3" spans="1:3" ht="409.6">
      <c r="B3" t="s">
        <v>176</v>
      </c>
      <c r="C3" s="21" t="s">
        <v>177</v>
      </c>
    </row>
    <row r="4" spans="1:3">
      <c r="B4" t="s">
        <v>178</v>
      </c>
      <c r="C4" t="s">
        <v>179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55F67-610F-4F10-BC9A-FFA9FFDC07C3}">
  <dimension ref="A1:R93"/>
  <sheetViews>
    <sheetView topLeftCell="B1" zoomScaleNormal="100" workbookViewId="0">
      <selection activeCell="Q62" sqref="Q62:R62"/>
    </sheetView>
  </sheetViews>
  <sheetFormatPr defaultRowHeight="14.45"/>
  <cols>
    <col min="1" max="1" width="5.28515625" bestFit="1" customWidth="1"/>
    <col min="2" max="2" width="6" customWidth="1"/>
    <col min="3" max="3" width="9.5703125" customWidth="1"/>
    <col min="4" max="4" width="19" customWidth="1"/>
    <col min="5" max="5" width="8.140625" customWidth="1"/>
    <col min="6" max="6" width="13.42578125" customWidth="1"/>
    <col min="7" max="7" width="9.7109375" customWidth="1"/>
    <col min="8" max="8" width="10.28515625" customWidth="1"/>
    <col min="9" max="9" width="9.140625" customWidth="1"/>
    <col min="10" max="10" width="8.140625" customWidth="1"/>
    <col min="11" max="11" width="8.7109375" bestFit="1" customWidth="1"/>
    <col min="12" max="12" width="13.42578125" customWidth="1"/>
    <col min="13" max="13" width="16.7109375" customWidth="1"/>
    <col min="14" max="14" width="16.5703125" bestFit="1" customWidth="1"/>
    <col min="15" max="15" width="13.140625" customWidth="1"/>
    <col min="16" max="16" width="4.7109375" customWidth="1"/>
    <col min="17" max="17" width="20.140625" bestFit="1" customWidth="1"/>
    <col min="18" max="18" width="8" bestFit="1" customWidth="1"/>
  </cols>
  <sheetData>
    <row r="1" spans="1:18" s="1" customFormat="1" ht="15" customHeight="1">
      <c r="A1" s="1" t="s">
        <v>180</v>
      </c>
      <c r="B1" s="1" t="s">
        <v>0</v>
      </c>
      <c r="C1" s="1" t="s">
        <v>1</v>
      </c>
      <c r="D1" s="1" t="s">
        <v>2</v>
      </c>
      <c r="E1" s="1" t="s">
        <v>3</v>
      </c>
      <c r="F1" s="1" t="s">
        <v>181</v>
      </c>
      <c r="G1" s="1" t="s">
        <v>182</v>
      </c>
      <c r="H1" s="1" t="s">
        <v>183</v>
      </c>
      <c r="I1" s="1" t="s">
        <v>184</v>
      </c>
      <c r="J1" s="1" t="s">
        <v>185</v>
      </c>
      <c r="K1" s="1" t="s">
        <v>186</v>
      </c>
      <c r="L1" s="1" t="s">
        <v>187</v>
      </c>
      <c r="M1" s="1" t="s">
        <v>188</v>
      </c>
      <c r="N1" s="1" t="s">
        <v>189</v>
      </c>
      <c r="O1" s="1" t="s">
        <v>190</v>
      </c>
    </row>
    <row r="2" spans="1:18" ht="15" customHeight="1">
      <c r="A2" t="s">
        <v>191</v>
      </c>
      <c r="B2" t="s">
        <v>7</v>
      </c>
      <c r="C2" t="s">
        <v>8</v>
      </c>
      <c r="D2" t="s">
        <v>9</v>
      </c>
      <c r="E2">
        <v>2000</v>
      </c>
      <c r="F2" t="s">
        <v>10</v>
      </c>
      <c r="G2" t="s">
        <v>192</v>
      </c>
      <c r="H2" t="s">
        <v>193</v>
      </c>
      <c r="I2" t="s">
        <v>194</v>
      </c>
      <c r="J2" t="s">
        <v>195</v>
      </c>
      <c r="K2">
        <v>15</v>
      </c>
      <c r="L2" t="s">
        <v>196</v>
      </c>
      <c r="M2" t="s">
        <v>197</v>
      </c>
      <c r="N2" t="s">
        <v>198</v>
      </c>
      <c r="O2" t="s">
        <v>199</v>
      </c>
      <c r="P2" t="s">
        <v>200</v>
      </c>
      <c r="Q2" s="9" t="s">
        <v>201</v>
      </c>
      <c r="R2" s="11" t="s">
        <v>202</v>
      </c>
    </row>
    <row r="3" spans="1:18" ht="15" customHeight="1">
      <c r="A3" t="s">
        <v>203</v>
      </c>
      <c r="B3" t="s">
        <v>11</v>
      </c>
      <c r="C3" t="s">
        <v>12</v>
      </c>
      <c r="D3" t="s">
        <v>13</v>
      </c>
      <c r="E3">
        <v>2002</v>
      </c>
      <c r="F3" t="s">
        <v>14</v>
      </c>
      <c r="G3" t="s">
        <v>204</v>
      </c>
      <c r="H3" t="s">
        <v>205</v>
      </c>
      <c r="I3" t="s">
        <v>206</v>
      </c>
      <c r="J3" t="s">
        <v>195</v>
      </c>
      <c r="K3">
        <v>21</v>
      </c>
      <c r="L3" t="s">
        <v>207</v>
      </c>
      <c r="M3" t="s">
        <v>208</v>
      </c>
      <c r="N3" t="s">
        <v>198</v>
      </c>
      <c r="O3" t="s">
        <v>209</v>
      </c>
      <c r="P3" t="s">
        <v>200</v>
      </c>
      <c r="Q3" s="14" t="s">
        <v>210</v>
      </c>
      <c r="R3" s="20">
        <f>COUNTIF(L2:L37, "*Validation Research*")</f>
        <v>0</v>
      </c>
    </row>
    <row r="4" spans="1:18" ht="15" customHeight="1">
      <c r="A4" t="s">
        <v>211</v>
      </c>
      <c r="B4" t="s">
        <v>15</v>
      </c>
      <c r="C4" t="s">
        <v>16</v>
      </c>
      <c r="D4" t="s">
        <v>17</v>
      </c>
      <c r="E4">
        <v>2003</v>
      </c>
      <c r="F4" t="s">
        <v>212</v>
      </c>
      <c r="G4" t="s">
        <v>213</v>
      </c>
      <c r="H4" t="s">
        <v>214</v>
      </c>
      <c r="I4" t="s">
        <v>215</v>
      </c>
      <c r="J4" t="s">
        <v>195</v>
      </c>
      <c r="K4">
        <v>0</v>
      </c>
      <c r="L4" t="s">
        <v>216</v>
      </c>
      <c r="M4" t="s">
        <v>217</v>
      </c>
      <c r="N4" t="s">
        <v>218</v>
      </c>
      <c r="O4" t="s">
        <v>219</v>
      </c>
      <c r="P4" t="s">
        <v>200</v>
      </c>
      <c r="Q4" s="12" t="s">
        <v>220</v>
      </c>
      <c r="R4" s="13">
        <f>COUNTIF(L2:L37, "*Evaluation Research*")</f>
        <v>8</v>
      </c>
    </row>
    <row r="5" spans="1:18" ht="15" customHeight="1">
      <c r="A5" t="s">
        <v>221</v>
      </c>
      <c r="B5" t="s">
        <v>19</v>
      </c>
      <c r="C5" t="s">
        <v>222</v>
      </c>
      <c r="D5" t="s">
        <v>21</v>
      </c>
      <c r="E5">
        <v>2005</v>
      </c>
      <c r="F5" t="s">
        <v>22</v>
      </c>
      <c r="G5" t="s">
        <v>223</v>
      </c>
      <c r="H5" t="s">
        <v>224</v>
      </c>
      <c r="I5" t="s">
        <v>225</v>
      </c>
      <c r="J5" t="s">
        <v>195</v>
      </c>
      <c r="K5">
        <v>22</v>
      </c>
      <c r="L5" t="s">
        <v>226</v>
      </c>
      <c r="M5" t="s">
        <v>227</v>
      </c>
      <c r="N5" t="s">
        <v>228</v>
      </c>
      <c r="O5" t="s">
        <v>199</v>
      </c>
      <c r="P5" t="s">
        <v>200</v>
      </c>
      <c r="Q5" s="12" t="s">
        <v>229</v>
      </c>
      <c r="R5" s="13">
        <f>COUNTIF(L2:L37, "*Solution Proposal*")</f>
        <v>15</v>
      </c>
    </row>
    <row r="6" spans="1:18" ht="15" customHeight="1">
      <c r="A6" t="s">
        <v>230</v>
      </c>
      <c r="B6" t="s">
        <v>23</v>
      </c>
      <c r="C6" t="s">
        <v>24</v>
      </c>
      <c r="D6" t="s">
        <v>25</v>
      </c>
      <c r="E6">
        <v>2006</v>
      </c>
      <c r="F6" t="s">
        <v>26</v>
      </c>
      <c r="G6" t="s">
        <v>231</v>
      </c>
      <c r="H6" t="s">
        <v>232</v>
      </c>
      <c r="I6" t="s">
        <v>206</v>
      </c>
      <c r="J6" t="s">
        <v>195</v>
      </c>
      <c r="K6">
        <v>408</v>
      </c>
      <c r="L6" t="s">
        <v>233</v>
      </c>
      <c r="M6" t="s">
        <v>234</v>
      </c>
      <c r="N6" t="s">
        <v>228</v>
      </c>
      <c r="O6" t="s">
        <v>199</v>
      </c>
      <c r="P6" t="s">
        <v>200</v>
      </c>
      <c r="Q6" s="12" t="s">
        <v>235</v>
      </c>
      <c r="R6" s="13">
        <f>COUNTIF(L2:L37, "*Philosophical Papers*")</f>
        <v>20</v>
      </c>
    </row>
    <row r="7" spans="1:18" ht="15" customHeight="1">
      <c r="A7" t="s">
        <v>236</v>
      </c>
      <c r="B7" t="s">
        <v>27</v>
      </c>
      <c r="C7" t="s">
        <v>237</v>
      </c>
      <c r="D7" t="s">
        <v>29</v>
      </c>
      <c r="E7">
        <v>2007</v>
      </c>
      <c r="F7" t="s">
        <v>30</v>
      </c>
      <c r="G7" t="s">
        <v>238</v>
      </c>
      <c r="H7" t="s">
        <v>239</v>
      </c>
      <c r="I7" t="s">
        <v>240</v>
      </c>
      <c r="J7" t="s">
        <v>195</v>
      </c>
      <c r="K7">
        <v>17</v>
      </c>
      <c r="L7" t="s">
        <v>241</v>
      </c>
      <c r="M7" t="s">
        <v>197</v>
      </c>
      <c r="N7" t="s">
        <v>242</v>
      </c>
      <c r="O7" t="s">
        <v>243</v>
      </c>
      <c r="P7" t="s">
        <v>200</v>
      </c>
      <c r="Q7" s="12" t="s">
        <v>207</v>
      </c>
      <c r="R7" s="13">
        <f>COUNTIF(L2:L37, "*Opinion Papers*")</f>
        <v>5</v>
      </c>
    </row>
    <row r="8" spans="1:18" ht="15" customHeight="1">
      <c r="A8" t="s">
        <v>244</v>
      </c>
      <c r="B8" t="s">
        <v>31</v>
      </c>
      <c r="C8" t="s">
        <v>32</v>
      </c>
      <c r="D8" t="s">
        <v>33</v>
      </c>
      <c r="E8">
        <v>2015</v>
      </c>
      <c r="F8" t="s">
        <v>245</v>
      </c>
      <c r="G8" t="s">
        <v>238</v>
      </c>
      <c r="H8" t="s">
        <v>246</v>
      </c>
      <c r="I8" t="s">
        <v>247</v>
      </c>
      <c r="J8" t="s">
        <v>248</v>
      </c>
      <c r="K8">
        <v>15</v>
      </c>
      <c r="L8" t="s">
        <v>229</v>
      </c>
      <c r="M8" t="s">
        <v>249</v>
      </c>
      <c r="N8" t="s">
        <v>228</v>
      </c>
      <c r="O8" t="s">
        <v>199</v>
      </c>
      <c r="P8" t="s">
        <v>200</v>
      </c>
      <c r="Q8" s="12" t="s">
        <v>241</v>
      </c>
      <c r="R8" s="13">
        <f>COUNTIF(L2:L37, "*Experience Papers*")</f>
        <v>1</v>
      </c>
    </row>
    <row r="9" spans="1:18" ht="15" customHeight="1">
      <c r="A9" t="s">
        <v>250</v>
      </c>
      <c r="B9" t="s">
        <v>35</v>
      </c>
      <c r="C9" t="s">
        <v>36</v>
      </c>
      <c r="D9" t="s">
        <v>37</v>
      </c>
      <c r="E9">
        <v>2015</v>
      </c>
      <c r="F9" t="s">
        <v>38</v>
      </c>
      <c r="G9" t="s">
        <v>251</v>
      </c>
      <c r="H9" t="s">
        <v>252</v>
      </c>
      <c r="I9" t="s">
        <v>253</v>
      </c>
      <c r="J9" t="s">
        <v>195</v>
      </c>
      <c r="K9">
        <v>62</v>
      </c>
      <c r="L9" t="s">
        <v>233</v>
      </c>
      <c r="M9" t="s">
        <v>234</v>
      </c>
      <c r="N9" t="s">
        <v>228</v>
      </c>
      <c r="O9" t="s">
        <v>254</v>
      </c>
      <c r="P9" t="s">
        <v>200</v>
      </c>
      <c r="Q9" s="12" t="s">
        <v>255</v>
      </c>
      <c r="R9" s="13">
        <f>COUNTIF(L2:L37, "*Literature Review*")</f>
        <v>8</v>
      </c>
    </row>
    <row r="10" spans="1:18" ht="15" customHeight="1">
      <c r="A10" t="s">
        <v>256</v>
      </c>
      <c r="B10" t="s">
        <v>39</v>
      </c>
      <c r="C10" t="s">
        <v>40</v>
      </c>
      <c r="D10" t="s">
        <v>41</v>
      </c>
      <c r="E10">
        <v>2016</v>
      </c>
      <c r="F10" t="s">
        <v>42</v>
      </c>
      <c r="G10" t="s">
        <v>257</v>
      </c>
      <c r="H10" t="s">
        <v>258</v>
      </c>
      <c r="I10" t="s">
        <v>253</v>
      </c>
      <c r="J10" t="s">
        <v>195</v>
      </c>
      <c r="K10">
        <v>2</v>
      </c>
      <c r="L10" t="s">
        <v>233</v>
      </c>
      <c r="M10" t="s">
        <v>234</v>
      </c>
      <c r="N10" t="s">
        <v>228</v>
      </c>
      <c r="O10" t="s">
        <v>199</v>
      </c>
      <c r="P10" t="s">
        <v>200</v>
      </c>
      <c r="Q10" s="12" t="s">
        <v>259</v>
      </c>
      <c r="R10" s="13">
        <f>COUNTIF(L2:L37, "*Primary Research*")</f>
        <v>18</v>
      </c>
    </row>
    <row r="11" spans="1:18" ht="15" customHeight="1">
      <c r="A11" t="s">
        <v>260</v>
      </c>
      <c r="B11" t="s">
        <v>43</v>
      </c>
      <c r="C11" t="s">
        <v>44</v>
      </c>
      <c r="D11" t="s">
        <v>45</v>
      </c>
      <c r="E11">
        <v>2016</v>
      </c>
      <c r="F11" t="s">
        <v>261</v>
      </c>
      <c r="G11" t="s">
        <v>192</v>
      </c>
      <c r="H11" t="s">
        <v>262</v>
      </c>
      <c r="I11" t="s">
        <v>263</v>
      </c>
      <c r="J11" t="s">
        <v>195</v>
      </c>
      <c r="K11">
        <v>40</v>
      </c>
      <c r="L11" t="s">
        <v>255</v>
      </c>
      <c r="M11" t="s">
        <v>200</v>
      </c>
      <c r="N11" t="s">
        <v>228</v>
      </c>
      <c r="O11" t="s">
        <v>199</v>
      </c>
      <c r="P11" t="s">
        <v>200</v>
      </c>
      <c r="Q11" s="12" t="s">
        <v>264</v>
      </c>
      <c r="R11" s="13">
        <f>COUNTIF(L2:L37, "*Survey*")</f>
        <v>9</v>
      </c>
    </row>
    <row r="12" spans="1:18" ht="15" customHeight="1">
      <c r="A12" t="s">
        <v>265</v>
      </c>
      <c r="B12" t="s">
        <v>47</v>
      </c>
      <c r="C12" t="s">
        <v>48</v>
      </c>
      <c r="D12" t="s">
        <v>49</v>
      </c>
      <c r="E12">
        <v>2016</v>
      </c>
      <c r="F12" t="s">
        <v>50</v>
      </c>
      <c r="G12" t="s">
        <v>266</v>
      </c>
      <c r="H12" t="s">
        <v>267</v>
      </c>
      <c r="I12" t="s">
        <v>268</v>
      </c>
      <c r="J12" t="s">
        <v>195</v>
      </c>
      <c r="K12">
        <v>71</v>
      </c>
      <c r="L12" t="s">
        <v>229</v>
      </c>
      <c r="M12" t="s">
        <v>227</v>
      </c>
      <c r="N12" t="s">
        <v>269</v>
      </c>
      <c r="O12" t="s">
        <v>270</v>
      </c>
      <c r="P12" t="s">
        <v>200</v>
      </c>
      <c r="Q12" s="14" t="s">
        <v>271</v>
      </c>
      <c r="R12" s="20">
        <f>COUNTIF(L2:L37, "*Experimental*")</f>
        <v>0</v>
      </c>
    </row>
    <row r="13" spans="1:18" ht="15" customHeight="1">
      <c r="A13" t="s">
        <v>272</v>
      </c>
      <c r="B13" t="s">
        <v>51</v>
      </c>
      <c r="C13" t="s">
        <v>52</v>
      </c>
      <c r="D13" t="s">
        <v>53</v>
      </c>
      <c r="E13">
        <v>2017</v>
      </c>
      <c r="F13" t="s">
        <v>273</v>
      </c>
      <c r="G13" t="s">
        <v>274</v>
      </c>
      <c r="H13" t="s">
        <v>275</v>
      </c>
      <c r="I13" t="s">
        <v>276</v>
      </c>
      <c r="J13" t="s">
        <v>277</v>
      </c>
      <c r="K13">
        <v>33</v>
      </c>
      <c r="L13" t="s">
        <v>278</v>
      </c>
      <c r="M13" t="s">
        <v>279</v>
      </c>
      <c r="N13" t="s">
        <v>280</v>
      </c>
      <c r="O13" t="s">
        <v>281</v>
      </c>
      <c r="P13" t="s">
        <v>200</v>
      </c>
      <c r="Q13" s="14" t="s">
        <v>282</v>
      </c>
      <c r="R13" s="20">
        <f>COUNTIF(L2:L37, "*Narrative*")</f>
        <v>0</v>
      </c>
    </row>
    <row r="14" spans="1:18" ht="15" customHeight="1">
      <c r="A14" t="s">
        <v>283</v>
      </c>
      <c r="B14" t="s">
        <v>55</v>
      </c>
      <c r="C14" t="s">
        <v>56</v>
      </c>
      <c r="D14" t="s">
        <v>57</v>
      </c>
      <c r="E14">
        <v>2017</v>
      </c>
      <c r="F14" t="s">
        <v>58</v>
      </c>
      <c r="G14" t="s">
        <v>284</v>
      </c>
      <c r="H14" t="s">
        <v>285</v>
      </c>
      <c r="I14" t="s">
        <v>206</v>
      </c>
      <c r="J14" t="s">
        <v>195</v>
      </c>
      <c r="K14">
        <v>21</v>
      </c>
      <c r="L14" t="s">
        <v>207</v>
      </c>
      <c r="M14" t="s">
        <v>197</v>
      </c>
      <c r="N14" t="s">
        <v>228</v>
      </c>
      <c r="O14" t="s">
        <v>286</v>
      </c>
      <c r="P14" t="s">
        <v>200</v>
      </c>
      <c r="Q14" s="14" t="s">
        <v>287</v>
      </c>
      <c r="R14" s="20">
        <f>COUNTIF(L2:L37, "*Phenomenological*")</f>
        <v>0</v>
      </c>
    </row>
    <row r="15" spans="1:18" ht="15" customHeight="1">
      <c r="A15" t="s">
        <v>288</v>
      </c>
      <c r="B15" t="s">
        <v>59</v>
      </c>
      <c r="C15" t="s">
        <v>60</v>
      </c>
      <c r="D15" t="s">
        <v>61</v>
      </c>
      <c r="E15">
        <v>2018</v>
      </c>
      <c r="F15" t="s">
        <v>62</v>
      </c>
      <c r="G15" t="s">
        <v>289</v>
      </c>
      <c r="H15" t="s">
        <v>290</v>
      </c>
      <c r="I15" t="s">
        <v>276</v>
      </c>
      <c r="J15" t="s">
        <v>195</v>
      </c>
      <c r="K15">
        <v>113</v>
      </c>
      <c r="L15" t="s">
        <v>291</v>
      </c>
      <c r="M15" t="s">
        <v>234</v>
      </c>
      <c r="N15" t="s">
        <v>280</v>
      </c>
      <c r="O15" t="s">
        <v>292</v>
      </c>
      <c r="P15" t="s">
        <v>200</v>
      </c>
      <c r="Q15" s="12" t="s">
        <v>293</v>
      </c>
      <c r="R15" s="13">
        <f>COUNTIF(L2:L37, "*Grounded Theory*")</f>
        <v>2</v>
      </c>
    </row>
    <row r="16" spans="1:18" ht="15" customHeight="1">
      <c r="A16" t="s">
        <v>294</v>
      </c>
      <c r="B16" t="s">
        <v>63</v>
      </c>
      <c r="C16" t="s">
        <v>295</v>
      </c>
      <c r="D16" t="s">
        <v>65</v>
      </c>
      <c r="E16">
        <v>2019</v>
      </c>
      <c r="F16" t="s">
        <v>66</v>
      </c>
      <c r="G16" t="s">
        <v>238</v>
      </c>
      <c r="H16" t="s">
        <v>296</v>
      </c>
      <c r="I16" t="s">
        <v>297</v>
      </c>
      <c r="J16" t="s">
        <v>248</v>
      </c>
      <c r="K16">
        <v>5</v>
      </c>
      <c r="L16" t="s">
        <v>298</v>
      </c>
      <c r="M16" t="s">
        <v>249</v>
      </c>
      <c r="N16" t="s">
        <v>228</v>
      </c>
      <c r="O16" t="s">
        <v>299</v>
      </c>
      <c r="P16" t="s">
        <v>200</v>
      </c>
      <c r="Q16" s="12" t="s">
        <v>300</v>
      </c>
      <c r="R16" s="13">
        <f>COUNTIF(L2:L37, "*Ethnography*")</f>
        <v>1</v>
      </c>
    </row>
    <row r="17" spans="1:18" ht="15" customHeight="1">
      <c r="A17" t="s">
        <v>301</v>
      </c>
      <c r="B17" t="s">
        <v>67</v>
      </c>
      <c r="C17" t="s">
        <v>302</v>
      </c>
      <c r="D17" t="s">
        <v>69</v>
      </c>
      <c r="E17">
        <v>2019</v>
      </c>
      <c r="F17" t="s">
        <v>70</v>
      </c>
      <c r="G17" t="s">
        <v>238</v>
      </c>
      <c r="H17" t="s">
        <v>303</v>
      </c>
      <c r="I17" t="s">
        <v>304</v>
      </c>
      <c r="J17" t="s">
        <v>195</v>
      </c>
      <c r="K17">
        <v>33</v>
      </c>
      <c r="L17" t="s">
        <v>305</v>
      </c>
      <c r="M17" t="s">
        <v>234</v>
      </c>
      <c r="N17" t="s">
        <v>228</v>
      </c>
      <c r="O17" t="s">
        <v>306</v>
      </c>
      <c r="P17" t="s">
        <v>200</v>
      </c>
      <c r="Q17" s="12" t="s">
        <v>307</v>
      </c>
      <c r="R17" s="13">
        <f>COUNTIF(L2:L37, "*Case Studies*")</f>
        <v>1</v>
      </c>
    </row>
    <row r="18" spans="1:18" ht="15" customHeight="1">
      <c r="A18" t="s">
        <v>308</v>
      </c>
      <c r="B18" t="s">
        <v>71</v>
      </c>
      <c r="C18" t="s">
        <v>72</v>
      </c>
      <c r="D18" t="s">
        <v>73</v>
      </c>
      <c r="E18">
        <v>2020</v>
      </c>
      <c r="F18" t="s">
        <v>309</v>
      </c>
      <c r="G18" t="s">
        <v>238</v>
      </c>
      <c r="H18" t="s">
        <v>310</v>
      </c>
      <c r="I18" t="s">
        <v>311</v>
      </c>
      <c r="J18" t="s">
        <v>248</v>
      </c>
      <c r="K18">
        <v>1</v>
      </c>
      <c r="L18" t="s">
        <v>255</v>
      </c>
      <c r="M18" t="s">
        <v>200</v>
      </c>
      <c r="N18" t="s">
        <v>228</v>
      </c>
      <c r="O18" t="s">
        <v>306</v>
      </c>
      <c r="P18" t="s">
        <v>200</v>
      </c>
      <c r="Q18" s="14" t="s">
        <v>312</v>
      </c>
      <c r="R18" s="20">
        <f>COUNTIF(L2:L37, "*Convergent*")</f>
        <v>0</v>
      </c>
    </row>
    <row r="19" spans="1:18" ht="15" customHeight="1">
      <c r="A19" t="s">
        <v>313</v>
      </c>
      <c r="B19" t="s">
        <v>75</v>
      </c>
      <c r="C19" t="s">
        <v>314</v>
      </c>
      <c r="D19" t="s">
        <v>77</v>
      </c>
      <c r="E19">
        <v>2021</v>
      </c>
      <c r="F19" t="s">
        <v>78</v>
      </c>
      <c r="G19" t="s">
        <v>274</v>
      </c>
      <c r="H19" t="s">
        <v>315</v>
      </c>
      <c r="I19" t="s">
        <v>316</v>
      </c>
      <c r="J19" t="s">
        <v>248</v>
      </c>
      <c r="K19">
        <v>6</v>
      </c>
      <c r="L19" t="s">
        <v>317</v>
      </c>
      <c r="M19" t="s">
        <v>208</v>
      </c>
      <c r="N19" t="s">
        <v>280</v>
      </c>
      <c r="O19" t="s">
        <v>318</v>
      </c>
      <c r="P19" t="s">
        <v>200</v>
      </c>
      <c r="Q19" s="14" t="s">
        <v>319</v>
      </c>
      <c r="R19" s="20">
        <f>COUNTIF(L2:L37, "*Explanatory Sequential*")</f>
        <v>0</v>
      </c>
    </row>
    <row r="20" spans="1:18" ht="15" customHeight="1">
      <c r="A20" t="s">
        <v>320</v>
      </c>
      <c r="B20" t="s">
        <v>79</v>
      </c>
      <c r="C20" t="s">
        <v>80</v>
      </c>
      <c r="D20" t="s">
        <v>81</v>
      </c>
      <c r="E20">
        <v>2021</v>
      </c>
      <c r="F20" t="s">
        <v>82</v>
      </c>
      <c r="G20" t="s">
        <v>321</v>
      </c>
      <c r="H20" t="s">
        <v>322</v>
      </c>
      <c r="I20" t="s">
        <v>323</v>
      </c>
      <c r="J20" t="s">
        <v>195</v>
      </c>
      <c r="K20">
        <v>0</v>
      </c>
      <c r="L20" t="s">
        <v>324</v>
      </c>
      <c r="M20" t="s">
        <v>217</v>
      </c>
      <c r="N20" t="s">
        <v>228</v>
      </c>
      <c r="O20" t="s">
        <v>306</v>
      </c>
      <c r="P20" t="s">
        <v>200</v>
      </c>
      <c r="Q20" s="14" t="s">
        <v>325</v>
      </c>
      <c r="R20" s="20">
        <f>COUNTIF(L2:L37, "*Exploratory Sequential*")</f>
        <v>0</v>
      </c>
    </row>
    <row r="21" spans="1:18" ht="15" customHeight="1">
      <c r="A21" t="s">
        <v>326</v>
      </c>
      <c r="B21" t="s">
        <v>83</v>
      </c>
      <c r="C21" t="s">
        <v>84</v>
      </c>
      <c r="D21" t="s">
        <v>85</v>
      </c>
      <c r="E21">
        <v>2021</v>
      </c>
      <c r="F21" t="s">
        <v>86</v>
      </c>
      <c r="G21" t="s">
        <v>327</v>
      </c>
      <c r="H21" t="s">
        <v>328</v>
      </c>
      <c r="I21" t="s">
        <v>329</v>
      </c>
      <c r="J21" t="s">
        <v>195</v>
      </c>
      <c r="K21">
        <v>1</v>
      </c>
      <c r="L21" t="s">
        <v>233</v>
      </c>
      <c r="M21" t="s">
        <v>330</v>
      </c>
      <c r="N21" t="s">
        <v>228</v>
      </c>
      <c r="O21" t="s">
        <v>331</v>
      </c>
      <c r="P21" t="s">
        <v>200</v>
      </c>
      <c r="Q21" s="14" t="s">
        <v>332</v>
      </c>
      <c r="R21" s="20">
        <f>COUNTIF(L2:L37, "*Complex Designs*")</f>
        <v>0</v>
      </c>
    </row>
    <row r="22" spans="1:18">
      <c r="A22" t="s">
        <v>333</v>
      </c>
      <c r="B22" t="s">
        <v>334</v>
      </c>
      <c r="C22" t="s">
        <v>335</v>
      </c>
      <c r="D22" t="s">
        <v>336</v>
      </c>
      <c r="E22">
        <v>2006</v>
      </c>
      <c r="F22" t="s">
        <v>337</v>
      </c>
      <c r="G22" t="s">
        <v>338</v>
      </c>
      <c r="H22" t="s">
        <v>339</v>
      </c>
      <c r="I22" t="s">
        <v>206</v>
      </c>
      <c r="J22" t="s">
        <v>195</v>
      </c>
      <c r="K22">
        <v>23</v>
      </c>
      <c r="L22" t="s">
        <v>298</v>
      </c>
      <c r="M22" t="s">
        <v>340</v>
      </c>
      <c r="N22" t="s">
        <v>228</v>
      </c>
      <c r="O22" t="s">
        <v>199</v>
      </c>
      <c r="P22" t="s">
        <v>200</v>
      </c>
      <c r="Q22" s="15" t="s">
        <v>341</v>
      </c>
      <c r="R22" s="17">
        <f>COUNTIF(L2:L37, "*Other*")</f>
        <v>6</v>
      </c>
    </row>
    <row r="23" spans="1:18">
      <c r="A23" t="s">
        <v>342</v>
      </c>
      <c r="B23" t="s">
        <v>334</v>
      </c>
      <c r="C23" t="s">
        <v>343</v>
      </c>
      <c r="D23" t="s">
        <v>344</v>
      </c>
      <c r="E23">
        <v>2011</v>
      </c>
      <c r="F23" t="s">
        <v>345</v>
      </c>
      <c r="G23" t="s">
        <v>346</v>
      </c>
      <c r="H23" t="s">
        <v>347</v>
      </c>
      <c r="I23" t="s">
        <v>206</v>
      </c>
      <c r="J23" t="s">
        <v>195</v>
      </c>
      <c r="K23">
        <v>1246</v>
      </c>
      <c r="L23" t="s">
        <v>348</v>
      </c>
      <c r="M23" t="s">
        <v>227</v>
      </c>
      <c r="N23" t="s">
        <v>228</v>
      </c>
      <c r="O23" t="s">
        <v>199</v>
      </c>
      <c r="P23" t="s">
        <v>200</v>
      </c>
    </row>
    <row r="24" spans="1:18">
      <c r="A24" t="s">
        <v>349</v>
      </c>
      <c r="B24" t="s">
        <v>334</v>
      </c>
      <c r="C24" t="s">
        <v>350</v>
      </c>
      <c r="D24" t="s">
        <v>351</v>
      </c>
      <c r="E24">
        <v>2017</v>
      </c>
      <c r="F24" t="s">
        <v>352</v>
      </c>
      <c r="G24" t="s">
        <v>213</v>
      </c>
      <c r="H24" t="s">
        <v>353</v>
      </c>
      <c r="I24" t="s">
        <v>206</v>
      </c>
      <c r="J24" t="s">
        <v>195</v>
      </c>
      <c r="K24">
        <v>53</v>
      </c>
      <c r="L24" t="s">
        <v>354</v>
      </c>
      <c r="M24" t="s">
        <v>249</v>
      </c>
      <c r="N24" t="s">
        <v>228</v>
      </c>
      <c r="O24" t="s">
        <v>355</v>
      </c>
      <c r="P24" t="s">
        <v>200</v>
      </c>
      <c r="Q24" s="9" t="s">
        <v>356</v>
      </c>
      <c r="R24" s="11" t="s">
        <v>202</v>
      </c>
    </row>
    <row r="25" spans="1:18">
      <c r="A25" t="s">
        <v>357</v>
      </c>
      <c r="B25" t="s">
        <v>334</v>
      </c>
      <c r="C25" t="s">
        <v>358</v>
      </c>
      <c r="D25" t="s">
        <v>359</v>
      </c>
      <c r="E25">
        <v>2019</v>
      </c>
      <c r="F25" t="s">
        <v>360</v>
      </c>
      <c r="G25" t="s">
        <v>266</v>
      </c>
      <c r="H25" t="s">
        <v>361</v>
      </c>
      <c r="I25" t="s">
        <v>362</v>
      </c>
      <c r="J25" t="s">
        <v>248</v>
      </c>
      <c r="K25">
        <v>2</v>
      </c>
      <c r="L25" t="s">
        <v>233</v>
      </c>
      <c r="M25" t="s">
        <v>227</v>
      </c>
      <c r="N25" t="s">
        <v>228</v>
      </c>
      <c r="O25" t="s">
        <v>318</v>
      </c>
      <c r="P25" t="s">
        <v>200</v>
      </c>
      <c r="Q25" s="12" t="s">
        <v>234</v>
      </c>
      <c r="R25" s="13">
        <f>COUNTIF(M2:M37, "*Model*")</f>
        <v>15</v>
      </c>
    </row>
    <row r="26" spans="1:18">
      <c r="A26" t="s">
        <v>363</v>
      </c>
      <c r="B26" t="s">
        <v>334</v>
      </c>
      <c r="C26" t="s">
        <v>364</v>
      </c>
      <c r="D26" t="s">
        <v>365</v>
      </c>
      <c r="E26">
        <v>2020</v>
      </c>
      <c r="F26" t="s">
        <v>200</v>
      </c>
      <c r="G26" t="s">
        <v>200</v>
      </c>
      <c r="H26" t="s">
        <v>366</v>
      </c>
      <c r="I26" t="s">
        <v>206</v>
      </c>
      <c r="J26" t="s">
        <v>367</v>
      </c>
      <c r="K26">
        <v>0</v>
      </c>
      <c r="L26" t="s">
        <v>317</v>
      </c>
      <c r="M26" t="s">
        <v>368</v>
      </c>
      <c r="N26" t="s">
        <v>228</v>
      </c>
      <c r="O26" t="s">
        <v>369</v>
      </c>
      <c r="P26" t="s">
        <v>200</v>
      </c>
      <c r="Q26" s="12" t="s">
        <v>370</v>
      </c>
      <c r="R26" s="13">
        <f>COUNTIF(M2:M37, "*Theory*")</f>
        <v>3</v>
      </c>
    </row>
    <row r="27" spans="1:18">
      <c r="A27" t="s">
        <v>371</v>
      </c>
      <c r="B27" t="s">
        <v>334</v>
      </c>
      <c r="C27" t="s">
        <v>372</v>
      </c>
      <c r="D27" t="s">
        <v>373</v>
      </c>
      <c r="E27">
        <v>2020</v>
      </c>
      <c r="F27" t="s">
        <v>374</v>
      </c>
      <c r="G27" t="s">
        <v>213</v>
      </c>
      <c r="H27" t="s">
        <v>375</v>
      </c>
      <c r="I27" t="s">
        <v>206</v>
      </c>
      <c r="J27" t="s">
        <v>195</v>
      </c>
      <c r="K27">
        <v>43</v>
      </c>
      <c r="L27" t="s">
        <v>348</v>
      </c>
      <c r="M27" t="s">
        <v>217</v>
      </c>
      <c r="N27" t="s">
        <v>228</v>
      </c>
      <c r="O27" t="s">
        <v>199</v>
      </c>
      <c r="P27" t="s">
        <v>200</v>
      </c>
      <c r="Q27" s="12" t="s">
        <v>249</v>
      </c>
      <c r="R27" s="13">
        <f>COUNTIF(M2:M37, "*Framework*")</f>
        <v>10</v>
      </c>
    </row>
    <row r="28" spans="1:18">
      <c r="A28" t="s">
        <v>376</v>
      </c>
      <c r="B28" t="s">
        <v>334</v>
      </c>
      <c r="C28" t="s">
        <v>377</v>
      </c>
      <c r="D28" t="s">
        <v>378</v>
      </c>
      <c r="E28">
        <v>2021</v>
      </c>
      <c r="F28" t="s">
        <v>62</v>
      </c>
      <c r="G28" t="s">
        <v>289</v>
      </c>
      <c r="H28" t="s">
        <v>379</v>
      </c>
      <c r="I28" t="s">
        <v>276</v>
      </c>
      <c r="J28" t="s">
        <v>195</v>
      </c>
      <c r="K28">
        <v>1</v>
      </c>
      <c r="L28" t="s">
        <v>324</v>
      </c>
      <c r="M28" t="s">
        <v>249</v>
      </c>
      <c r="N28" t="s">
        <v>280</v>
      </c>
      <c r="O28" t="s">
        <v>306</v>
      </c>
      <c r="P28" t="s">
        <v>200</v>
      </c>
      <c r="Q28" s="12" t="s">
        <v>208</v>
      </c>
      <c r="R28" s="13">
        <f>COUNTIF(M2:M37, "*Guideline*")</f>
        <v>14</v>
      </c>
    </row>
    <row r="29" spans="1:18">
      <c r="A29" t="s">
        <v>380</v>
      </c>
      <c r="B29" t="s">
        <v>334</v>
      </c>
      <c r="C29" t="s">
        <v>381</v>
      </c>
      <c r="D29" t="s">
        <v>382</v>
      </c>
      <c r="E29">
        <v>2021</v>
      </c>
      <c r="F29" t="s">
        <v>383</v>
      </c>
      <c r="G29" t="s">
        <v>384</v>
      </c>
      <c r="H29" t="s">
        <v>385</v>
      </c>
      <c r="I29" t="s">
        <v>386</v>
      </c>
      <c r="J29" t="s">
        <v>248</v>
      </c>
      <c r="K29">
        <v>0</v>
      </c>
      <c r="L29" t="s">
        <v>348</v>
      </c>
      <c r="M29" t="s">
        <v>227</v>
      </c>
      <c r="N29" t="s">
        <v>228</v>
      </c>
      <c r="O29" t="s">
        <v>387</v>
      </c>
      <c r="P29" t="s">
        <v>200</v>
      </c>
      <c r="Q29" s="12" t="s">
        <v>279</v>
      </c>
      <c r="R29" s="13">
        <f>COUNTIF(M2:M37, "*Lessons Learned*")</f>
        <v>2</v>
      </c>
    </row>
    <row r="30" spans="1:18">
      <c r="A30" t="s">
        <v>388</v>
      </c>
      <c r="B30" t="s">
        <v>334</v>
      </c>
      <c r="C30" t="s">
        <v>295</v>
      </c>
      <c r="D30" t="s">
        <v>389</v>
      </c>
      <c r="E30">
        <v>2021</v>
      </c>
      <c r="F30" t="s">
        <v>390</v>
      </c>
      <c r="G30" t="s">
        <v>338</v>
      </c>
      <c r="H30" t="s">
        <v>391</v>
      </c>
      <c r="I30" t="s">
        <v>297</v>
      </c>
      <c r="J30" t="s">
        <v>195</v>
      </c>
      <c r="K30">
        <v>0</v>
      </c>
      <c r="L30" t="s">
        <v>392</v>
      </c>
      <c r="M30" t="s">
        <v>368</v>
      </c>
      <c r="N30" t="s">
        <v>393</v>
      </c>
      <c r="O30" t="s">
        <v>394</v>
      </c>
      <c r="P30" t="s">
        <v>200</v>
      </c>
      <c r="Q30" s="12" t="s">
        <v>197</v>
      </c>
      <c r="R30" s="13">
        <f>COUNTIF(M2:M37, "*Advice*")</f>
        <v>7</v>
      </c>
    </row>
    <row r="31" spans="1:18">
      <c r="A31" t="s">
        <v>395</v>
      </c>
      <c r="B31" t="s">
        <v>396</v>
      </c>
      <c r="C31" t="s">
        <v>397</v>
      </c>
      <c r="D31" t="s">
        <v>398</v>
      </c>
      <c r="E31">
        <v>2001</v>
      </c>
      <c r="F31" t="s">
        <v>399</v>
      </c>
      <c r="G31" t="s">
        <v>400</v>
      </c>
      <c r="H31" t="s">
        <v>401</v>
      </c>
      <c r="I31" t="s">
        <v>206</v>
      </c>
      <c r="J31" t="s">
        <v>195</v>
      </c>
      <c r="K31">
        <v>106</v>
      </c>
      <c r="L31" t="s">
        <v>348</v>
      </c>
      <c r="M31" t="s">
        <v>227</v>
      </c>
      <c r="N31" t="s">
        <v>228</v>
      </c>
      <c r="O31" t="s">
        <v>402</v>
      </c>
      <c r="P31" t="s">
        <v>200</v>
      </c>
      <c r="Q31" s="15" t="s">
        <v>403</v>
      </c>
      <c r="R31" s="17">
        <f>COUNTIF(M2:M37, "*Tool*")</f>
        <v>1</v>
      </c>
    </row>
    <row r="32" spans="1:18">
      <c r="A32" t="s">
        <v>404</v>
      </c>
      <c r="B32" t="s">
        <v>396</v>
      </c>
      <c r="C32" t="s">
        <v>405</v>
      </c>
      <c r="D32" t="s">
        <v>406</v>
      </c>
      <c r="E32">
        <v>2009</v>
      </c>
      <c r="F32" t="s">
        <v>345</v>
      </c>
      <c r="G32" t="s">
        <v>346</v>
      </c>
      <c r="H32" t="s">
        <v>407</v>
      </c>
      <c r="I32" t="s">
        <v>206</v>
      </c>
      <c r="J32" t="s">
        <v>195</v>
      </c>
      <c r="K32">
        <v>348</v>
      </c>
      <c r="L32" t="s">
        <v>207</v>
      </c>
      <c r="M32" t="s">
        <v>208</v>
      </c>
      <c r="N32" t="s">
        <v>228</v>
      </c>
      <c r="O32" t="s">
        <v>408</v>
      </c>
      <c r="P32" t="s">
        <v>200</v>
      </c>
    </row>
    <row r="33" spans="1:18">
      <c r="A33" t="s">
        <v>409</v>
      </c>
      <c r="B33" t="s">
        <v>396</v>
      </c>
      <c r="C33" t="s">
        <v>410</v>
      </c>
      <c r="D33" t="s">
        <v>411</v>
      </c>
      <c r="E33">
        <v>2015</v>
      </c>
      <c r="F33" t="s">
        <v>412</v>
      </c>
      <c r="G33" t="s">
        <v>400</v>
      </c>
      <c r="H33" t="s">
        <v>413</v>
      </c>
      <c r="I33" t="s">
        <v>297</v>
      </c>
      <c r="J33" t="s">
        <v>195</v>
      </c>
      <c r="K33">
        <v>96</v>
      </c>
      <c r="L33" t="s">
        <v>233</v>
      </c>
      <c r="M33" t="s">
        <v>414</v>
      </c>
      <c r="N33" t="s">
        <v>415</v>
      </c>
      <c r="O33" t="s">
        <v>416</v>
      </c>
      <c r="P33" t="s">
        <v>200</v>
      </c>
    </row>
    <row r="34" spans="1:18">
      <c r="A34" t="s">
        <v>417</v>
      </c>
      <c r="B34" t="s">
        <v>396</v>
      </c>
      <c r="C34" t="s">
        <v>418</v>
      </c>
      <c r="D34" t="s">
        <v>419</v>
      </c>
      <c r="E34">
        <v>2018</v>
      </c>
      <c r="F34" t="s">
        <v>420</v>
      </c>
      <c r="G34" t="s">
        <v>266</v>
      </c>
      <c r="H34" t="s">
        <v>421</v>
      </c>
      <c r="I34" t="s">
        <v>329</v>
      </c>
      <c r="J34" t="s">
        <v>195</v>
      </c>
      <c r="K34">
        <v>6</v>
      </c>
      <c r="L34" t="s">
        <v>422</v>
      </c>
      <c r="M34" t="s">
        <v>423</v>
      </c>
      <c r="N34" t="s">
        <v>228</v>
      </c>
      <c r="O34" t="s">
        <v>306</v>
      </c>
      <c r="P34" t="s">
        <v>200</v>
      </c>
      <c r="Q34" s="9" t="s">
        <v>424</v>
      </c>
      <c r="R34" s="11" t="s">
        <v>202</v>
      </c>
    </row>
    <row r="35" spans="1:18">
      <c r="A35" t="s">
        <v>425</v>
      </c>
      <c r="B35" t="s">
        <v>396</v>
      </c>
      <c r="C35" t="s">
        <v>426</v>
      </c>
      <c r="D35" t="s">
        <v>427</v>
      </c>
      <c r="E35">
        <v>1993</v>
      </c>
      <c r="F35" t="s">
        <v>428</v>
      </c>
      <c r="G35" t="s">
        <v>274</v>
      </c>
      <c r="H35" t="s">
        <v>429</v>
      </c>
      <c r="I35" t="s">
        <v>206</v>
      </c>
      <c r="J35" t="s">
        <v>195</v>
      </c>
      <c r="K35">
        <v>163</v>
      </c>
      <c r="L35" t="s">
        <v>317</v>
      </c>
      <c r="M35" t="s">
        <v>197</v>
      </c>
      <c r="N35" t="s">
        <v>430</v>
      </c>
      <c r="O35" t="s">
        <v>431</v>
      </c>
      <c r="P35" t="s">
        <v>200</v>
      </c>
      <c r="Q35" s="12" t="s">
        <v>228</v>
      </c>
      <c r="R35" s="13">
        <f>COUNTIF(N2:N37, "*Not specific*")</f>
        <v>28</v>
      </c>
    </row>
    <row r="36" spans="1:18">
      <c r="A36" t="s">
        <v>432</v>
      </c>
      <c r="B36" t="s">
        <v>396</v>
      </c>
      <c r="C36" t="s">
        <v>433</v>
      </c>
      <c r="D36" t="s">
        <v>434</v>
      </c>
      <c r="E36">
        <v>2018</v>
      </c>
      <c r="F36" t="s">
        <v>435</v>
      </c>
      <c r="G36" t="s">
        <v>436</v>
      </c>
      <c r="H36" t="s">
        <v>437</v>
      </c>
      <c r="I36" t="s">
        <v>206</v>
      </c>
      <c r="J36" t="s">
        <v>195</v>
      </c>
      <c r="K36">
        <v>51</v>
      </c>
      <c r="L36" t="s">
        <v>438</v>
      </c>
      <c r="M36" t="s">
        <v>249</v>
      </c>
      <c r="N36" t="s">
        <v>439</v>
      </c>
      <c r="O36" t="s">
        <v>440</v>
      </c>
      <c r="P36" t="s">
        <v>200</v>
      </c>
      <c r="Q36" s="12" t="s">
        <v>441</v>
      </c>
      <c r="R36" s="13">
        <f>COUNTIF(N2:N37, "*Financial*")+COUNTIF(N2:N37, "*Banking*")+COUNTIF(N2:N37, "*Credit Card*")</f>
        <v>5</v>
      </c>
    </row>
    <row r="37" spans="1:18">
      <c r="A37" t="s">
        <v>442</v>
      </c>
      <c r="B37" t="s">
        <v>396</v>
      </c>
      <c r="C37" t="s">
        <v>443</v>
      </c>
      <c r="D37" t="s">
        <v>444</v>
      </c>
      <c r="E37">
        <v>2005</v>
      </c>
      <c r="F37" t="s">
        <v>50</v>
      </c>
      <c r="G37" t="s">
        <v>266</v>
      </c>
      <c r="H37" t="s">
        <v>445</v>
      </c>
      <c r="I37" t="s">
        <v>240</v>
      </c>
      <c r="J37" t="s">
        <v>195</v>
      </c>
      <c r="K37">
        <v>108</v>
      </c>
      <c r="L37" t="s">
        <v>348</v>
      </c>
      <c r="M37" t="s">
        <v>446</v>
      </c>
      <c r="N37" t="s">
        <v>228</v>
      </c>
      <c r="O37" t="s">
        <v>431</v>
      </c>
      <c r="P37" t="s">
        <v>200</v>
      </c>
      <c r="Q37" s="12" t="s">
        <v>198</v>
      </c>
      <c r="R37" s="13">
        <f>COUNTIF(N2:N37, "*Healthcare*")</f>
        <v>4</v>
      </c>
    </row>
    <row r="38" spans="1:18">
      <c r="Q38" s="12" t="s">
        <v>447</v>
      </c>
      <c r="R38" s="13">
        <f>COUNTIF(N2:N37, "*Consumer*")</f>
        <v>1</v>
      </c>
    </row>
    <row r="39" spans="1:18">
      <c r="B39" s="1"/>
      <c r="Q39" s="12" t="s">
        <v>448</v>
      </c>
      <c r="R39" s="13">
        <f>COUNTIF(N2:N37, "*Health Insurance*")</f>
        <v>1</v>
      </c>
    </row>
    <row r="40" spans="1:18">
      <c r="B40" s="3"/>
      <c r="C40" s="3"/>
      <c r="D40" s="3"/>
      <c r="E40" s="3"/>
      <c r="F40" s="3"/>
      <c r="G40" s="3"/>
      <c r="H40" s="3"/>
      <c r="I40" s="3"/>
      <c r="J40" s="3"/>
      <c r="K40" s="3"/>
      <c r="L40" s="3"/>
      <c r="M40" s="3"/>
      <c r="N40" s="3"/>
      <c r="O40" s="3"/>
      <c r="Q40" s="15" t="s">
        <v>449</v>
      </c>
      <c r="R40" s="17">
        <f>COUNTIF(N2:N37, "*Education*")</f>
        <v>1</v>
      </c>
    </row>
    <row r="41" spans="1:18">
      <c r="Q41" s="40" t="s">
        <v>450</v>
      </c>
      <c r="R41" s="41">
        <f>+COUNTIF(N2:N37, "*Public*")</f>
        <v>2</v>
      </c>
    </row>
    <row r="42" spans="1:18">
      <c r="Q42" s="14" t="s">
        <v>451</v>
      </c>
      <c r="R42" s="20">
        <f>COUNTIF(N2:N37, "*Private*")</f>
        <v>5</v>
      </c>
    </row>
    <row r="43" spans="1:18">
      <c r="C43" s="18" t="s">
        <v>452</v>
      </c>
      <c r="D43" s="19" t="s">
        <v>453</v>
      </c>
      <c r="E43" s="8"/>
      <c r="F43" s="18" t="s">
        <v>454</v>
      </c>
      <c r="G43" s="19" t="s">
        <v>455</v>
      </c>
      <c r="H43" s="8"/>
      <c r="I43" s="18" t="s">
        <v>456</v>
      </c>
      <c r="J43" s="19" t="s">
        <v>455</v>
      </c>
      <c r="K43" s="7"/>
      <c r="Q43" s="14" t="s">
        <v>457</v>
      </c>
      <c r="R43" s="20">
        <f>COUNTIF(N2:N37, "*Software Developers*")</f>
        <v>5</v>
      </c>
    </row>
    <row r="44" spans="1:18">
      <c r="C44" s="12">
        <v>1993</v>
      </c>
      <c r="D44" s="13">
        <f>COUNTIF(E2:E37,1993)</f>
        <v>1</v>
      </c>
      <c r="F44" s="12" t="s">
        <v>195</v>
      </c>
      <c r="G44" s="13">
        <f>COUNTIF(J2:J37, "Article")</f>
        <v>28</v>
      </c>
      <c r="I44" s="12" t="s">
        <v>458</v>
      </c>
      <c r="J44" s="13">
        <f>COUNTIF(I2:I37,"*USA*")</f>
        <v>20</v>
      </c>
      <c r="Q44" s="42" t="s">
        <v>459</v>
      </c>
      <c r="R44" s="43">
        <f>COUNTIF(N2:N37, "*Lawyers*")</f>
        <v>1</v>
      </c>
    </row>
    <row r="45" spans="1:18">
      <c r="C45" s="14">
        <v>1994</v>
      </c>
      <c r="D45" s="20">
        <f>COUNTIF(E2:E37,1994)</f>
        <v>0</v>
      </c>
      <c r="F45" s="12" t="s">
        <v>460</v>
      </c>
      <c r="G45" s="13">
        <f>COUNTIF(J2:J37, "Conference")</f>
        <v>6</v>
      </c>
      <c r="I45" s="12" t="s">
        <v>240</v>
      </c>
      <c r="J45" s="13">
        <f>COUNTIF(I2:I37,"*Canada*")</f>
        <v>3</v>
      </c>
    </row>
    <row r="46" spans="1:18">
      <c r="C46" s="14">
        <v>1995</v>
      </c>
      <c r="D46" s="20">
        <f>COUNTIF(E2:E37,1995)</f>
        <v>0</v>
      </c>
      <c r="F46" s="12" t="s">
        <v>367</v>
      </c>
      <c r="G46" s="13">
        <f>COUNTIF(J2:J37, "Thesis")</f>
        <v>1</v>
      </c>
      <c r="I46" s="12" t="s">
        <v>276</v>
      </c>
      <c r="J46" s="13">
        <f>COUNTIF(I2:I37,"*Israel*")</f>
        <v>3</v>
      </c>
    </row>
    <row r="47" spans="1:18">
      <c r="C47" s="14">
        <v>1996</v>
      </c>
      <c r="D47" s="20">
        <f>COUNTIF(E2:E37,1996)</f>
        <v>0</v>
      </c>
      <c r="F47" s="15" t="s">
        <v>277</v>
      </c>
      <c r="G47" s="17">
        <f>COUNTIF(J2:J37, "Poster")</f>
        <v>1</v>
      </c>
      <c r="I47" s="12" t="s">
        <v>297</v>
      </c>
      <c r="J47" s="13">
        <f>COUNTIF(I2:I37,"*South Africa*")</f>
        <v>3</v>
      </c>
      <c r="Q47" s="9" t="s">
        <v>461</v>
      </c>
      <c r="R47" s="11" t="s">
        <v>202</v>
      </c>
    </row>
    <row r="48" spans="1:18">
      <c r="C48" s="14">
        <v>1997</v>
      </c>
      <c r="D48" s="20">
        <f>COUNTIF(E2:E37,1997)</f>
        <v>0</v>
      </c>
      <c r="I48" s="12" t="s">
        <v>253</v>
      </c>
      <c r="J48" s="13">
        <f>COUNTIF(I2:I37,"*Taiwan*")</f>
        <v>3</v>
      </c>
      <c r="Q48" s="12" t="s">
        <v>462</v>
      </c>
      <c r="R48" s="13">
        <f>COUNTIF(O2:O37, "*General Data Protection*")</f>
        <v>11</v>
      </c>
    </row>
    <row r="49" spans="3:18">
      <c r="C49" s="14">
        <v>1998</v>
      </c>
      <c r="D49" s="20">
        <f>COUNTIF(E2:E37,1998)</f>
        <v>0</v>
      </c>
      <c r="I49" s="12" t="s">
        <v>215</v>
      </c>
      <c r="J49" s="13">
        <f>COUNTIF(I2:I37,"*Australia*")</f>
        <v>2</v>
      </c>
      <c r="Q49" s="12" t="s">
        <v>463</v>
      </c>
      <c r="R49" s="13">
        <f>COUNTIF(O2:O37, "*Health Insurance Portability*")</f>
        <v>7</v>
      </c>
    </row>
    <row r="50" spans="3:18">
      <c r="C50" s="14">
        <v>1999</v>
      </c>
      <c r="D50" s="20">
        <f>COUNTIF(E2:E37,1999)</f>
        <v>0</v>
      </c>
      <c r="I50" s="12" t="s">
        <v>464</v>
      </c>
      <c r="J50" s="13">
        <f>COUNTIF(I2:I37,"*India*")</f>
        <v>2</v>
      </c>
      <c r="Q50" s="12" t="s">
        <v>465</v>
      </c>
      <c r="R50" s="13">
        <f>COUNTIF(O2:O37, "*Fair Information*")</f>
        <v>7</v>
      </c>
    </row>
    <row r="51" spans="3:18">
      <c r="C51" s="12">
        <v>2000</v>
      </c>
      <c r="D51" s="13">
        <f>COUNTIF(E2:E37,2000)</f>
        <v>1</v>
      </c>
      <c r="I51" s="12" t="s">
        <v>466</v>
      </c>
      <c r="J51" s="13">
        <f>COUNTIF(I2:I37,"*Austria*")</f>
        <v>1</v>
      </c>
      <c r="Q51" s="12" t="s">
        <v>467</v>
      </c>
      <c r="R51" s="13">
        <f>COUNTIF(O2:O37, "*Fair Credit Reporting*")</f>
        <v>3</v>
      </c>
    </row>
    <row r="52" spans="3:18">
      <c r="C52" s="12">
        <v>2001</v>
      </c>
      <c r="D52" s="13">
        <f>COUNTIF(E2:E37,2001)</f>
        <v>1</v>
      </c>
      <c r="I52" s="12" t="s">
        <v>468</v>
      </c>
      <c r="J52" s="13">
        <f>COUNTIF(I2:I37,"*Ethiopia*")</f>
        <v>1</v>
      </c>
      <c r="Q52" s="12" t="s">
        <v>469</v>
      </c>
      <c r="R52" s="13">
        <f>COUNTIF(O2:O37, "*Family Educational Rights and Privacy*")</f>
        <v>3</v>
      </c>
    </row>
    <row r="53" spans="3:18">
      <c r="C53" s="12">
        <v>2002</v>
      </c>
      <c r="D53" s="13">
        <f>COUNTIF(E2:E37,2002)</f>
        <v>1</v>
      </c>
      <c r="I53" s="12" t="s">
        <v>470</v>
      </c>
      <c r="J53" s="13">
        <f>COUNTIF(I2:I37,"*Hong Kong*")</f>
        <v>1</v>
      </c>
      <c r="Q53" s="12" t="s">
        <v>471</v>
      </c>
      <c r="R53" s="13">
        <f>COUNTIF(O2:O37, "*Protection of Personal Information Act*")</f>
        <v>3</v>
      </c>
    </row>
    <row r="54" spans="3:18">
      <c r="C54" s="12">
        <v>2003</v>
      </c>
      <c r="D54" s="13">
        <f>COUNTIF(E2:E37,2003)</f>
        <v>1</v>
      </c>
      <c r="I54" s="12" t="s">
        <v>247</v>
      </c>
      <c r="J54" s="13">
        <f>COUNTIF(I2:I37,"*Indonesia*")</f>
        <v>1</v>
      </c>
      <c r="Q54" s="12" t="s">
        <v>472</v>
      </c>
      <c r="R54" s="13">
        <f>COUNTIF(O2:O37, "*California Consumer Privacy*")</f>
        <v>3</v>
      </c>
    </row>
    <row r="55" spans="3:18">
      <c r="C55" s="14">
        <v>2004</v>
      </c>
      <c r="D55" s="20">
        <f>COUNTIF(E2:E37,2004)</f>
        <v>0</v>
      </c>
      <c r="I55" s="12" t="s">
        <v>473</v>
      </c>
      <c r="J55" s="13">
        <f>COUNTIF(I2:I37,"*Ireland*")</f>
        <v>1</v>
      </c>
      <c r="Q55" s="15" t="s">
        <v>474</v>
      </c>
      <c r="R55" s="17">
        <f>COUNTIF(O2:O37, "*Gramm-Leach-Bliley*")</f>
        <v>3</v>
      </c>
    </row>
    <row r="56" spans="3:18">
      <c r="C56" s="12">
        <v>2005</v>
      </c>
      <c r="D56" s="13">
        <f>COUNTIF(E2:E37,2005)</f>
        <v>2</v>
      </c>
      <c r="I56" s="12" t="s">
        <v>475</v>
      </c>
      <c r="J56" s="13">
        <f>COUNTIF(I2:I37,"*Malaysia*")</f>
        <v>1</v>
      </c>
      <c r="Q56" s="12" t="s">
        <v>476</v>
      </c>
      <c r="R56">
        <v>30</v>
      </c>
    </row>
    <row r="57" spans="3:18">
      <c r="C57" s="12">
        <v>2006</v>
      </c>
      <c r="D57" s="13">
        <f>COUNTIF(E2:E37,2006)</f>
        <v>2</v>
      </c>
      <c r="I57" s="12" t="s">
        <v>477</v>
      </c>
      <c r="J57" s="13">
        <f>COUNTIF(I2:I37,"*New Zealand*")</f>
        <v>1</v>
      </c>
      <c r="Q57" s="40" t="s">
        <v>478</v>
      </c>
      <c r="R57" s="41">
        <f>COUNTIF(O2:O37, "*Payment Card*")</f>
        <v>2</v>
      </c>
    </row>
    <row r="58" spans="3:18">
      <c r="C58" s="12">
        <v>2007</v>
      </c>
      <c r="D58" s="13">
        <f>COUNTIF(E2:E37,2007)</f>
        <v>1</v>
      </c>
      <c r="I58" s="12" t="s">
        <v>323</v>
      </c>
      <c r="J58" s="13">
        <f>COUNTIF(I2:I37,"*Spain*")</f>
        <v>1</v>
      </c>
      <c r="Q58" s="14" t="s">
        <v>479</v>
      </c>
      <c r="R58" s="20">
        <f>COUNTIF(O2:O37, "*Federal Trade Commission*")</f>
        <v>2</v>
      </c>
    </row>
    <row r="59" spans="3:18">
      <c r="C59" s="14">
        <v>2008</v>
      </c>
      <c r="D59" s="20">
        <f>COUNTIF(E2:E37,2008)</f>
        <v>0</v>
      </c>
      <c r="I59" s="12" t="s">
        <v>480</v>
      </c>
      <c r="J59" s="13">
        <f>COUNTIF(I2:I37,"*Sweden*")</f>
        <v>1</v>
      </c>
      <c r="Q59" s="14" t="s">
        <v>481</v>
      </c>
      <c r="R59" s="20">
        <f>COUNTIF(O2:O37, "*Directive*")</f>
        <v>2</v>
      </c>
    </row>
    <row r="60" spans="3:18">
      <c r="C60" s="12">
        <v>2009</v>
      </c>
      <c r="D60" s="13">
        <f>COUNTIF(E2:E37,2009)</f>
        <v>1</v>
      </c>
      <c r="I60" s="12" t="s">
        <v>482</v>
      </c>
      <c r="J60" s="13">
        <f>COUNTIF(I2:I37,"*Switzerland*")</f>
        <v>1</v>
      </c>
      <c r="Q60" s="14" t="s">
        <v>483</v>
      </c>
      <c r="R60" s="20">
        <f>COUNTIF(O2:O37, "*Electronic Communications*")</f>
        <v>2</v>
      </c>
    </row>
    <row r="61" spans="3:18">
      <c r="C61" s="14">
        <v>2010</v>
      </c>
      <c r="D61" s="20">
        <f>COUNTIF(E2:E37,2010)</f>
        <v>0</v>
      </c>
      <c r="I61" s="15" t="s">
        <v>484</v>
      </c>
      <c r="J61" s="17">
        <f>COUNTIF(I2:I37,"*UK*")</f>
        <v>1</v>
      </c>
      <c r="Q61" s="42" t="s">
        <v>485</v>
      </c>
      <c r="R61" s="43">
        <f>COUNTIF(O2:O37, "*Children’s Online Privacy Protection*")</f>
        <v>2</v>
      </c>
    </row>
    <row r="62" spans="3:18">
      <c r="C62" s="12">
        <v>2011</v>
      </c>
      <c r="D62" s="13">
        <f>COUNTIF(E2:E37,2011)</f>
        <v>1</v>
      </c>
      <c r="Q62" s="46" t="s">
        <v>486</v>
      </c>
      <c r="R62" s="47"/>
    </row>
    <row r="63" spans="3:18">
      <c r="C63" s="14">
        <v>2012</v>
      </c>
      <c r="D63" s="20">
        <f>COUNTIF(E2:E37,2012)</f>
        <v>0</v>
      </c>
    </row>
    <row r="64" spans="3:18">
      <c r="C64" s="14">
        <v>2013</v>
      </c>
      <c r="D64" s="20">
        <f>COUNTIF(E2:E37,2013)</f>
        <v>0</v>
      </c>
      <c r="F64" s="9" t="s">
        <v>487</v>
      </c>
      <c r="G64" s="10" t="s">
        <v>195</v>
      </c>
      <c r="H64" s="10" t="s">
        <v>248</v>
      </c>
      <c r="I64" s="10" t="s">
        <v>367</v>
      </c>
      <c r="J64" s="11" t="s">
        <v>277</v>
      </c>
    </row>
    <row r="65" spans="3:10">
      <c r="C65" s="14">
        <v>2014</v>
      </c>
      <c r="D65" s="20">
        <f>COUNTIF(E2:E37,2014)</f>
        <v>0</v>
      </c>
      <c r="F65" s="12">
        <v>1993</v>
      </c>
      <c r="G65">
        <v>1</v>
      </c>
      <c r="J65" s="13"/>
    </row>
    <row r="66" spans="3:10">
      <c r="C66" s="12">
        <v>2015</v>
      </c>
      <c r="D66" s="13">
        <f>COUNTIF(E2:E37,2015)</f>
        <v>3</v>
      </c>
      <c r="F66" s="14">
        <v>1994</v>
      </c>
      <c r="J66" s="13"/>
    </row>
    <row r="67" spans="3:10">
      <c r="C67" s="12">
        <v>2016</v>
      </c>
      <c r="D67" s="13">
        <f>COUNTIF(E2:E37,2016)</f>
        <v>3</v>
      </c>
      <c r="F67" s="14">
        <v>1995</v>
      </c>
      <c r="J67" s="13"/>
    </row>
    <row r="68" spans="3:10">
      <c r="C68" s="12">
        <v>2017</v>
      </c>
      <c r="D68" s="13">
        <f>COUNTIF(E2:E37,2017)</f>
        <v>3</v>
      </c>
      <c r="F68" s="14">
        <v>1996</v>
      </c>
      <c r="J68" s="13"/>
    </row>
    <row r="69" spans="3:10">
      <c r="C69" s="12">
        <v>2018</v>
      </c>
      <c r="D69" s="13">
        <f>COUNTIF(E2:E37,2018)</f>
        <v>3</v>
      </c>
      <c r="F69" s="14">
        <v>1997</v>
      </c>
      <c r="J69" s="13"/>
    </row>
    <row r="70" spans="3:10">
      <c r="C70" s="12">
        <v>2019</v>
      </c>
      <c r="D70" s="13">
        <f>COUNTIF(E2:E37,2019)</f>
        <v>3</v>
      </c>
      <c r="F70" s="14">
        <v>1998</v>
      </c>
      <c r="J70" s="13"/>
    </row>
    <row r="71" spans="3:10">
      <c r="C71" s="12">
        <v>2020</v>
      </c>
      <c r="D71" s="13">
        <f>COUNTIF(E2:E37,2020)</f>
        <v>3</v>
      </c>
      <c r="F71" s="14">
        <v>1999</v>
      </c>
      <c r="J71" s="13"/>
    </row>
    <row r="72" spans="3:10">
      <c r="C72" s="15">
        <v>2021</v>
      </c>
      <c r="D72" s="17">
        <f>COUNTIF(E2:E37,2021)</f>
        <v>6</v>
      </c>
      <c r="F72" s="12">
        <v>2000</v>
      </c>
      <c r="G72">
        <v>1</v>
      </c>
      <c r="J72" s="13"/>
    </row>
    <row r="73" spans="3:10">
      <c r="F73" s="12">
        <v>2001</v>
      </c>
      <c r="G73">
        <v>1</v>
      </c>
      <c r="J73" s="13"/>
    </row>
    <row r="74" spans="3:10">
      <c r="F74" s="12">
        <v>2002</v>
      </c>
      <c r="G74">
        <v>1</v>
      </c>
      <c r="J74" s="13"/>
    </row>
    <row r="75" spans="3:10">
      <c r="F75" s="12">
        <v>2003</v>
      </c>
      <c r="G75">
        <v>1</v>
      </c>
      <c r="J75" s="13"/>
    </row>
    <row r="76" spans="3:10">
      <c r="F76" s="14">
        <v>2004</v>
      </c>
      <c r="J76" s="13"/>
    </row>
    <row r="77" spans="3:10">
      <c r="F77" s="12">
        <v>2005</v>
      </c>
      <c r="G77">
        <v>2</v>
      </c>
      <c r="J77" s="13"/>
    </row>
    <row r="78" spans="3:10">
      <c r="F78" s="12">
        <v>2006</v>
      </c>
      <c r="G78">
        <v>2</v>
      </c>
      <c r="J78" s="13"/>
    </row>
    <row r="79" spans="3:10">
      <c r="F79" s="12">
        <v>2007</v>
      </c>
      <c r="G79">
        <v>1</v>
      </c>
      <c r="J79" s="13"/>
    </row>
    <row r="80" spans="3:10">
      <c r="F80" s="14">
        <v>2008</v>
      </c>
      <c r="J80" s="13"/>
    </row>
    <row r="81" spans="6:10">
      <c r="F81" s="12">
        <v>2009</v>
      </c>
      <c r="G81">
        <v>1</v>
      </c>
      <c r="J81" s="13"/>
    </row>
    <row r="82" spans="6:10">
      <c r="F82" s="14">
        <v>2010</v>
      </c>
      <c r="J82" s="13"/>
    </row>
    <row r="83" spans="6:10">
      <c r="F83" s="12">
        <v>2011</v>
      </c>
      <c r="G83">
        <v>1</v>
      </c>
      <c r="J83" s="13"/>
    </row>
    <row r="84" spans="6:10">
      <c r="F84" s="12">
        <v>2012</v>
      </c>
      <c r="J84" s="13"/>
    </row>
    <row r="85" spans="6:10">
      <c r="F85" s="14">
        <v>2013</v>
      </c>
      <c r="J85" s="13"/>
    </row>
    <row r="86" spans="6:10">
      <c r="F86" s="14">
        <v>2014</v>
      </c>
      <c r="J86" s="13"/>
    </row>
    <row r="87" spans="6:10">
      <c r="F87" s="12">
        <v>2015</v>
      </c>
      <c r="G87">
        <v>2</v>
      </c>
      <c r="H87">
        <v>1</v>
      </c>
      <c r="J87" s="13"/>
    </row>
    <row r="88" spans="6:10">
      <c r="F88" s="12">
        <v>2016</v>
      </c>
      <c r="G88">
        <v>3</v>
      </c>
      <c r="J88" s="13"/>
    </row>
    <row r="89" spans="6:10">
      <c r="F89" s="12">
        <v>2017</v>
      </c>
      <c r="G89">
        <v>2</v>
      </c>
      <c r="J89" s="13">
        <v>1</v>
      </c>
    </row>
    <row r="90" spans="6:10">
      <c r="F90" s="12">
        <v>2018</v>
      </c>
      <c r="G90">
        <v>3</v>
      </c>
      <c r="J90" s="13"/>
    </row>
    <row r="91" spans="6:10">
      <c r="F91" s="12">
        <v>2019</v>
      </c>
      <c r="G91">
        <v>1</v>
      </c>
      <c r="H91">
        <v>2</v>
      </c>
      <c r="J91" s="13"/>
    </row>
    <row r="92" spans="6:10">
      <c r="F92" s="12">
        <v>2020</v>
      </c>
      <c r="G92">
        <v>1</v>
      </c>
      <c r="H92">
        <v>1</v>
      </c>
      <c r="I92">
        <v>1</v>
      </c>
      <c r="J92" s="13"/>
    </row>
    <row r="93" spans="6:10">
      <c r="F93" s="15">
        <v>2021</v>
      </c>
      <c r="G93" s="16">
        <v>4</v>
      </c>
      <c r="H93" s="16">
        <v>2</v>
      </c>
      <c r="I93" s="16"/>
      <c r="J93" s="17"/>
    </row>
  </sheetData>
  <sortState xmlns:xlrd2="http://schemas.microsoft.com/office/spreadsheetml/2017/richdata2" ref="L54:L66">
    <sortCondition ref="L54:L66"/>
  </sortState>
  <mergeCells count="1">
    <mergeCell ref="Q62:R62"/>
  </mergeCells>
  <phoneticPr fontId="20" type="noConversion"/>
  <pageMargins left="0.7" right="0.7" top="0.75" bottom="0.75" header="0.3" footer="0.3"/>
  <pageSetup paperSize="9" orientation="portrait" horizontalDpi="0" verticalDpi="0"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90939-4986-49AD-8AAC-6BF54C85E6CF}">
  <dimension ref="A1:U37"/>
  <sheetViews>
    <sheetView topLeftCell="B1" workbookViewId="0">
      <selection activeCell="C2" sqref="C2"/>
    </sheetView>
  </sheetViews>
  <sheetFormatPr defaultRowHeight="14.45"/>
  <cols>
    <col min="1" max="1" width="16.7109375" customWidth="1"/>
    <col min="2" max="2" width="3.5703125" customWidth="1"/>
    <col min="3" max="3" width="16.7109375" customWidth="1"/>
    <col min="4" max="4" width="15.7109375" bestFit="1" customWidth="1"/>
    <col min="5" max="5" width="14.42578125" bestFit="1" customWidth="1"/>
    <col min="6" max="6" width="12.140625" bestFit="1" customWidth="1"/>
    <col min="7" max="7" width="15.28515625" bestFit="1" customWidth="1"/>
    <col min="8" max="8" width="16" bestFit="1" customWidth="1"/>
    <col min="9" max="9" width="18.140625" bestFit="1" customWidth="1"/>
    <col min="10" max="10" width="3.5703125" customWidth="1"/>
    <col min="11" max="11" width="10.7109375" bestFit="1" customWidth="1"/>
    <col min="12" max="12" width="4.140625" customWidth="1"/>
    <col min="13" max="13" width="14.5703125" customWidth="1"/>
    <col min="14" max="14" width="3.5703125" customWidth="1"/>
    <col min="15" max="15" width="16" bestFit="1" customWidth="1"/>
    <col min="16" max="16" width="18.140625" bestFit="1" customWidth="1"/>
    <col min="17" max="17" width="15.42578125" customWidth="1"/>
  </cols>
  <sheetData>
    <row r="1" spans="1:21" ht="15">
      <c r="A1" s="1" t="s">
        <v>1</v>
      </c>
      <c r="B1" t="s">
        <v>200</v>
      </c>
      <c r="C1" s="1" t="s">
        <v>488</v>
      </c>
      <c r="K1" s="33" t="s">
        <v>489</v>
      </c>
      <c r="M1" s="33" t="s">
        <v>490</v>
      </c>
      <c r="O1" s="48" t="s">
        <v>491</v>
      </c>
      <c r="P1" s="49"/>
      <c r="Q1" s="50"/>
      <c r="S1" s="22">
        <v>1</v>
      </c>
      <c r="T1" s="22">
        <v>2</v>
      </c>
      <c r="U1" s="22">
        <v>3</v>
      </c>
    </row>
    <row r="2" spans="1:21">
      <c r="A2" t="s">
        <v>8</v>
      </c>
      <c r="B2" t="s">
        <v>200</v>
      </c>
      <c r="C2" t="s">
        <v>492</v>
      </c>
      <c r="D2" t="s">
        <v>493</v>
      </c>
      <c r="E2" t="s">
        <v>494</v>
      </c>
      <c r="K2" s="34" t="s">
        <v>495</v>
      </c>
      <c r="M2" s="34" t="s">
        <v>496</v>
      </c>
      <c r="O2" s="12" t="s">
        <v>497</v>
      </c>
      <c r="P2" t="s">
        <v>498</v>
      </c>
      <c r="Q2" s="13" t="s">
        <v>499</v>
      </c>
      <c r="S2" s="23">
        <v>68</v>
      </c>
      <c r="T2" s="23">
        <v>12</v>
      </c>
      <c r="U2" s="23">
        <v>3</v>
      </c>
    </row>
    <row r="3" spans="1:21">
      <c r="A3" t="s">
        <v>12</v>
      </c>
      <c r="B3" t="s">
        <v>200</v>
      </c>
      <c r="C3" t="s">
        <v>500</v>
      </c>
      <c r="D3" t="s">
        <v>501</v>
      </c>
      <c r="K3" s="34" t="s">
        <v>495</v>
      </c>
      <c r="M3" s="34" t="s">
        <v>502</v>
      </c>
      <c r="O3" s="12" t="s">
        <v>397</v>
      </c>
      <c r="P3" t="s">
        <v>364</v>
      </c>
      <c r="Q3" s="13" t="s">
        <v>494</v>
      </c>
    </row>
    <row r="4" spans="1:21">
      <c r="A4" t="s">
        <v>16</v>
      </c>
      <c r="B4" t="s">
        <v>200</v>
      </c>
      <c r="C4" t="s">
        <v>16</v>
      </c>
      <c r="K4" s="34" t="s">
        <v>495</v>
      </c>
      <c r="M4" s="34" t="s">
        <v>503</v>
      </c>
      <c r="O4" s="12" t="s">
        <v>504</v>
      </c>
      <c r="P4" t="s">
        <v>505</v>
      </c>
      <c r="Q4" s="13" t="s">
        <v>426</v>
      </c>
    </row>
    <row r="5" spans="1:21">
      <c r="A5" t="s">
        <v>222</v>
      </c>
      <c r="B5" t="s">
        <v>200</v>
      </c>
      <c r="C5" t="s">
        <v>506</v>
      </c>
      <c r="D5" t="s">
        <v>507</v>
      </c>
      <c r="K5" s="34" t="s">
        <v>508</v>
      </c>
      <c r="M5" s="34" t="s">
        <v>503</v>
      </c>
      <c r="O5" s="12" t="s">
        <v>493</v>
      </c>
      <c r="P5" t="s">
        <v>509</v>
      </c>
      <c r="Q5" s="13" t="s">
        <v>510</v>
      </c>
    </row>
    <row r="6" spans="1:21">
      <c r="A6" t="s">
        <v>24</v>
      </c>
      <c r="B6" t="s">
        <v>200</v>
      </c>
      <c r="C6" t="s">
        <v>496</v>
      </c>
      <c r="D6" t="s">
        <v>511</v>
      </c>
      <c r="E6" t="s">
        <v>512</v>
      </c>
      <c r="F6" t="s">
        <v>513</v>
      </c>
      <c r="K6" s="34" t="s">
        <v>508</v>
      </c>
      <c r="M6" s="34" t="s">
        <v>514</v>
      </c>
      <c r="O6" s="12" t="s">
        <v>515</v>
      </c>
      <c r="P6" t="s">
        <v>516</v>
      </c>
      <c r="Q6" s="13" t="s">
        <v>517</v>
      </c>
    </row>
    <row r="7" spans="1:21">
      <c r="A7" t="s">
        <v>237</v>
      </c>
      <c r="B7" t="s">
        <v>200</v>
      </c>
      <c r="C7" t="s">
        <v>237</v>
      </c>
      <c r="K7" s="34" t="s">
        <v>508</v>
      </c>
      <c r="M7" s="34" t="s">
        <v>514</v>
      </c>
      <c r="O7" s="12" t="s">
        <v>511</v>
      </c>
      <c r="P7" t="s">
        <v>518</v>
      </c>
      <c r="Q7" s="13" t="s">
        <v>519</v>
      </c>
    </row>
    <row r="8" spans="1:21">
      <c r="A8" t="s">
        <v>32</v>
      </c>
      <c r="B8" t="s">
        <v>200</v>
      </c>
      <c r="C8" t="s">
        <v>520</v>
      </c>
      <c r="D8" t="s">
        <v>521</v>
      </c>
      <c r="E8" t="s">
        <v>522</v>
      </c>
      <c r="F8" t="s">
        <v>497</v>
      </c>
      <c r="K8" s="34" t="s">
        <v>523</v>
      </c>
      <c r="M8" s="34" t="s">
        <v>524</v>
      </c>
      <c r="O8" s="12" t="s">
        <v>525</v>
      </c>
      <c r="P8" t="s">
        <v>526</v>
      </c>
      <c r="Q8" s="13" t="s">
        <v>512</v>
      </c>
    </row>
    <row r="9" spans="1:21">
      <c r="A9" t="s">
        <v>36</v>
      </c>
      <c r="B9" t="s">
        <v>200</v>
      </c>
      <c r="C9" t="s">
        <v>527</v>
      </c>
      <c r="D9" t="s">
        <v>528</v>
      </c>
      <c r="E9" t="s">
        <v>529</v>
      </c>
      <c r="K9" s="34" t="s">
        <v>523</v>
      </c>
      <c r="M9" s="34" t="s">
        <v>524</v>
      </c>
      <c r="O9" s="12" t="s">
        <v>530</v>
      </c>
      <c r="P9" t="s">
        <v>529</v>
      </c>
      <c r="Q9" s="13" t="s">
        <v>531</v>
      </c>
    </row>
    <row r="10" spans="1:21">
      <c r="A10" t="s">
        <v>40</v>
      </c>
      <c r="B10" t="s">
        <v>200</v>
      </c>
      <c r="C10" t="s">
        <v>527</v>
      </c>
      <c r="D10" t="s">
        <v>528</v>
      </c>
      <c r="K10" s="35" t="s">
        <v>523</v>
      </c>
      <c r="M10" s="34" t="s">
        <v>527</v>
      </c>
      <c r="O10" s="12" t="s">
        <v>532</v>
      </c>
      <c r="P10" t="s">
        <v>533</v>
      </c>
      <c r="Q10" s="13" t="s">
        <v>534</v>
      </c>
    </row>
    <row r="11" spans="1:21">
      <c r="A11" t="s">
        <v>44</v>
      </c>
      <c r="B11" t="s">
        <v>200</v>
      </c>
      <c r="C11" t="s">
        <v>535</v>
      </c>
      <c r="D11" t="s">
        <v>509</v>
      </c>
      <c r="E11" t="s">
        <v>536</v>
      </c>
      <c r="F11" t="s">
        <v>537</v>
      </c>
      <c r="G11" t="s">
        <v>538</v>
      </c>
      <c r="H11" t="s">
        <v>539</v>
      </c>
      <c r="I11" t="s">
        <v>540</v>
      </c>
      <c r="M11" s="34" t="s">
        <v>527</v>
      </c>
      <c r="O11" s="12" t="s">
        <v>539</v>
      </c>
      <c r="P11" t="s">
        <v>541</v>
      </c>
      <c r="Q11" s="13" t="s">
        <v>501</v>
      </c>
    </row>
    <row r="12" spans="1:21">
      <c r="A12" t="s">
        <v>48</v>
      </c>
      <c r="B12" t="s">
        <v>200</v>
      </c>
      <c r="C12" t="s">
        <v>542</v>
      </c>
      <c r="D12" t="s">
        <v>533</v>
      </c>
      <c r="E12" t="s">
        <v>525</v>
      </c>
      <c r="M12" s="34" t="s">
        <v>543</v>
      </c>
      <c r="O12" s="12" t="s">
        <v>544</v>
      </c>
      <c r="P12" t="s">
        <v>536</v>
      </c>
      <c r="Q12" s="13" t="s">
        <v>433</v>
      </c>
    </row>
    <row r="13" spans="1:21">
      <c r="A13" t="s">
        <v>52</v>
      </c>
      <c r="B13" t="s">
        <v>200</v>
      </c>
      <c r="C13" t="s">
        <v>514</v>
      </c>
      <c r="D13" t="s">
        <v>545</v>
      </c>
      <c r="E13" t="s">
        <v>508</v>
      </c>
      <c r="F13" t="s">
        <v>524</v>
      </c>
      <c r="M13" s="34" t="s">
        <v>543</v>
      </c>
      <c r="O13" s="12" t="s">
        <v>546</v>
      </c>
      <c r="P13" t="s">
        <v>547</v>
      </c>
      <c r="Q13" s="13" t="s">
        <v>542</v>
      </c>
    </row>
    <row r="14" spans="1:21">
      <c r="A14" t="s">
        <v>56</v>
      </c>
      <c r="B14" t="s">
        <v>200</v>
      </c>
      <c r="C14" t="s">
        <v>56</v>
      </c>
      <c r="M14" s="34" t="s">
        <v>528</v>
      </c>
      <c r="O14" s="12" t="s">
        <v>548</v>
      </c>
      <c r="P14" t="s">
        <v>549</v>
      </c>
      <c r="Q14" s="13" t="s">
        <v>550</v>
      </c>
    </row>
    <row r="15" spans="1:21">
      <c r="A15" t="s">
        <v>60</v>
      </c>
      <c r="B15" t="s">
        <v>200</v>
      </c>
      <c r="C15" t="s">
        <v>508</v>
      </c>
      <c r="D15" t="s">
        <v>498</v>
      </c>
      <c r="E15" t="s">
        <v>514</v>
      </c>
      <c r="F15" t="s">
        <v>545</v>
      </c>
      <c r="G15" t="s">
        <v>524</v>
      </c>
      <c r="H15" t="s">
        <v>551</v>
      </c>
      <c r="I15" t="s">
        <v>515</v>
      </c>
      <c r="M15" s="34" t="s">
        <v>528</v>
      </c>
      <c r="O15" s="12" t="s">
        <v>500</v>
      </c>
      <c r="P15" t="s">
        <v>513</v>
      </c>
      <c r="Q15" s="13" t="s">
        <v>552</v>
      </c>
    </row>
    <row r="16" spans="1:21">
      <c r="A16" t="s">
        <v>295</v>
      </c>
      <c r="B16" t="s">
        <v>200</v>
      </c>
      <c r="C16" t="s">
        <v>553</v>
      </c>
      <c r="D16" t="s">
        <v>495</v>
      </c>
      <c r="E16" t="s">
        <v>523</v>
      </c>
      <c r="M16" s="34" t="s">
        <v>554</v>
      </c>
      <c r="O16" s="12" t="s">
        <v>555</v>
      </c>
      <c r="P16" t="s">
        <v>556</v>
      </c>
      <c r="Q16" s="13" t="s">
        <v>521</v>
      </c>
    </row>
    <row r="17" spans="1:17">
      <c r="A17" t="s">
        <v>302</v>
      </c>
      <c r="B17" t="s">
        <v>200</v>
      </c>
      <c r="C17" t="s">
        <v>517</v>
      </c>
      <c r="D17" t="s">
        <v>518</v>
      </c>
      <c r="E17" t="s">
        <v>526</v>
      </c>
      <c r="M17" s="34" t="s">
        <v>554</v>
      </c>
      <c r="O17" s="12" t="s">
        <v>506</v>
      </c>
      <c r="P17" t="s">
        <v>557</v>
      </c>
      <c r="Q17" s="13" t="s">
        <v>558</v>
      </c>
    </row>
    <row r="18" spans="1:17">
      <c r="A18" t="s">
        <v>72</v>
      </c>
      <c r="B18" t="s">
        <v>200</v>
      </c>
      <c r="C18" t="s">
        <v>516</v>
      </c>
      <c r="D18" t="s">
        <v>559</v>
      </c>
      <c r="E18" t="s">
        <v>558</v>
      </c>
      <c r="F18" t="s">
        <v>560</v>
      </c>
      <c r="M18" s="34" t="s">
        <v>551</v>
      </c>
      <c r="O18" s="12" t="s">
        <v>561</v>
      </c>
      <c r="P18" t="s">
        <v>492</v>
      </c>
      <c r="Q18" s="13"/>
    </row>
    <row r="19" spans="1:17">
      <c r="A19" t="s">
        <v>314</v>
      </c>
      <c r="B19" t="s">
        <v>200</v>
      </c>
      <c r="C19" t="s">
        <v>519</v>
      </c>
      <c r="D19" t="s">
        <v>543</v>
      </c>
      <c r="E19" t="s">
        <v>534</v>
      </c>
      <c r="M19" s="34" t="s">
        <v>551</v>
      </c>
      <c r="O19" s="12" t="s">
        <v>538</v>
      </c>
      <c r="P19" t="s">
        <v>560</v>
      </c>
      <c r="Q19" s="13"/>
    </row>
    <row r="20" spans="1:17">
      <c r="A20" t="s">
        <v>80</v>
      </c>
      <c r="B20" t="s">
        <v>200</v>
      </c>
      <c r="C20" t="s">
        <v>505</v>
      </c>
      <c r="D20" t="s">
        <v>556</v>
      </c>
      <c r="M20" s="34" t="s">
        <v>562</v>
      </c>
      <c r="O20" s="12" t="s">
        <v>563</v>
      </c>
      <c r="P20" t="s">
        <v>237</v>
      </c>
      <c r="Q20" s="13"/>
    </row>
    <row r="21" spans="1:17">
      <c r="A21" t="s">
        <v>84</v>
      </c>
      <c r="B21" t="s">
        <v>200</v>
      </c>
      <c r="C21" t="s">
        <v>503</v>
      </c>
      <c r="D21" t="s">
        <v>554</v>
      </c>
      <c r="E21" t="s">
        <v>562</v>
      </c>
      <c r="M21" s="34" t="s">
        <v>562</v>
      </c>
      <c r="O21" s="12" t="s">
        <v>564</v>
      </c>
      <c r="P21" t="s">
        <v>522</v>
      </c>
      <c r="Q21" s="13"/>
    </row>
    <row r="22" spans="1:17">
      <c r="A22" t="s">
        <v>335</v>
      </c>
      <c r="B22" t="s">
        <v>200</v>
      </c>
      <c r="C22" t="s">
        <v>502</v>
      </c>
      <c r="D22" t="s">
        <v>565</v>
      </c>
      <c r="E22" t="s">
        <v>546</v>
      </c>
      <c r="M22" s="34" t="s">
        <v>553</v>
      </c>
      <c r="O22" s="12" t="s">
        <v>566</v>
      </c>
      <c r="P22" t="s">
        <v>540</v>
      </c>
      <c r="Q22" s="13"/>
    </row>
    <row r="23" spans="1:17">
      <c r="A23" t="s">
        <v>343</v>
      </c>
      <c r="B23" t="s">
        <v>200</v>
      </c>
      <c r="C23" t="s">
        <v>532</v>
      </c>
      <c r="D23" t="s">
        <v>561</v>
      </c>
      <c r="M23" s="34" t="s">
        <v>553</v>
      </c>
      <c r="O23" s="12" t="s">
        <v>56</v>
      </c>
      <c r="P23" t="s">
        <v>567</v>
      </c>
      <c r="Q23" s="13"/>
    </row>
    <row r="24" spans="1:17">
      <c r="A24" t="s">
        <v>350</v>
      </c>
      <c r="B24" t="s">
        <v>200</v>
      </c>
      <c r="C24" t="s">
        <v>510</v>
      </c>
      <c r="D24" t="s">
        <v>548</v>
      </c>
      <c r="M24" s="34" t="s">
        <v>545</v>
      </c>
      <c r="O24" s="12" t="s">
        <v>559</v>
      </c>
      <c r="P24" t="s">
        <v>537</v>
      </c>
      <c r="Q24" s="13"/>
    </row>
    <row r="25" spans="1:17">
      <c r="A25" t="s">
        <v>358</v>
      </c>
      <c r="B25" t="s">
        <v>200</v>
      </c>
      <c r="C25" t="s">
        <v>564</v>
      </c>
      <c r="D25" t="s">
        <v>499</v>
      </c>
      <c r="E25" t="s">
        <v>544</v>
      </c>
      <c r="F25" t="s">
        <v>547</v>
      </c>
      <c r="G25" t="s">
        <v>557</v>
      </c>
      <c r="M25" s="35" t="s">
        <v>545</v>
      </c>
      <c r="O25" s="12" t="s">
        <v>16</v>
      </c>
      <c r="P25" t="s">
        <v>507</v>
      </c>
      <c r="Q25" s="13"/>
    </row>
    <row r="26" spans="1:17">
      <c r="A26" t="s">
        <v>364</v>
      </c>
      <c r="B26" t="s">
        <v>200</v>
      </c>
      <c r="C26" t="s">
        <v>364</v>
      </c>
      <c r="O26" s="12" t="s">
        <v>568</v>
      </c>
      <c r="P26" t="s">
        <v>535</v>
      </c>
      <c r="Q26" s="13"/>
    </row>
    <row r="27" spans="1:17">
      <c r="A27" t="s">
        <v>372</v>
      </c>
      <c r="B27" t="s">
        <v>200</v>
      </c>
      <c r="C27" t="s">
        <v>567</v>
      </c>
      <c r="D27" t="s">
        <v>531</v>
      </c>
      <c r="E27" t="s">
        <v>550</v>
      </c>
      <c r="F27" t="s">
        <v>530</v>
      </c>
      <c r="O27" s="15" t="s">
        <v>565</v>
      </c>
      <c r="P27" s="16" t="s">
        <v>520</v>
      </c>
      <c r="Q27" s="17"/>
    </row>
    <row r="28" spans="1:17">
      <c r="A28" t="s">
        <v>377</v>
      </c>
      <c r="B28" t="s">
        <v>200</v>
      </c>
      <c r="C28" t="s">
        <v>504</v>
      </c>
      <c r="D28" t="s">
        <v>508</v>
      </c>
      <c r="E28" t="s">
        <v>541</v>
      </c>
      <c r="F28" t="s">
        <v>551</v>
      </c>
    </row>
    <row r="29" spans="1:17">
      <c r="A29" t="s">
        <v>381</v>
      </c>
      <c r="B29" t="s">
        <v>200</v>
      </c>
      <c r="C29" t="s">
        <v>549</v>
      </c>
      <c r="D29" t="s">
        <v>543</v>
      </c>
      <c r="E29" t="s">
        <v>566</v>
      </c>
    </row>
    <row r="30" spans="1:17">
      <c r="A30" t="s">
        <v>295</v>
      </c>
      <c r="B30" t="s">
        <v>200</v>
      </c>
      <c r="C30" t="s">
        <v>553</v>
      </c>
      <c r="D30" t="s">
        <v>495</v>
      </c>
      <c r="E30" t="s">
        <v>523</v>
      </c>
    </row>
    <row r="31" spans="1:17">
      <c r="A31" t="s">
        <v>397</v>
      </c>
      <c r="B31" t="s">
        <v>200</v>
      </c>
      <c r="C31" t="s">
        <v>397</v>
      </c>
    </row>
    <row r="32" spans="1:17">
      <c r="A32" t="s">
        <v>405</v>
      </c>
      <c r="B32" t="s">
        <v>200</v>
      </c>
      <c r="C32" t="s">
        <v>563</v>
      </c>
      <c r="D32" t="s">
        <v>552</v>
      </c>
    </row>
    <row r="33" spans="1:5">
      <c r="A33" t="s">
        <v>410</v>
      </c>
      <c r="B33" t="s">
        <v>200</v>
      </c>
      <c r="C33" t="s">
        <v>495</v>
      </c>
      <c r="D33" t="s">
        <v>523</v>
      </c>
    </row>
    <row r="34" spans="1:5">
      <c r="A34" t="s">
        <v>418</v>
      </c>
      <c r="B34" t="s">
        <v>200</v>
      </c>
      <c r="C34" t="s">
        <v>503</v>
      </c>
      <c r="D34" t="s">
        <v>554</v>
      </c>
      <c r="E34" t="s">
        <v>562</v>
      </c>
    </row>
    <row r="35" spans="1:5">
      <c r="A35" t="s">
        <v>426</v>
      </c>
      <c r="B35" t="s">
        <v>200</v>
      </c>
      <c r="C35" t="s">
        <v>426</v>
      </c>
    </row>
    <row r="36" spans="1:5">
      <c r="A36" t="s">
        <v>433</v>
      </c>
      <c r="B36" t="s">
        <v>200</v>
      </c>
      <c r="C36" t="s">
        <v>433</v>
      </c>
    </row>
    <row r="37" spans="1:5">
      <c r="A37" t="s">
        <v>443</v>
      </c>
      <c r="B37" t="s">
        <v>200</v>
      </c>
      <c r="C37" t="s">
        <v>568</v>
      </c>
      <c r="D37" t="s">
        <v>555</v>
      </c>
    </row>
  </sheetData>
  <sortState xmlns:xlrd2="http://schemas.microsoft.com/office/spreadsheetml/2017/richdata2" ref="O2:O70">
    <sortCondition ref="O1:O70"/>
  </sortState>
  <mergeCells count="1">
    <mergeCell ref="O1:Q1"/>
  </mergeCells>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A7B6D-E5B4-44CF-A900-D47BE88CC310}">
  <dimension ref="A1:O39"/>
  <sheetViews>
    <sheetView tabSelected="1" workbookViewId="0">
      <selection activeCell="C2" sqref="C2"/>
    </sheetView>
  </sheetViews>
  <sheetFormatPr defaultRowHeight="14.45"/>
  <cols>
    <col min="1" max="1" width="21.5703125" customWidth="1"/>
    <col min="2" max="2" width="1.7109375" bestFit="1" customWidth="1"/>
    <col min="3" max="3" width="23.28515625" customWidth="1"/>
    <col min="4" max="4" width="17.7109375" customWidth="1"/>
    <col min="5" max="5" width="15.140625" customWidth="1"/>
    <col min="6" max="6" width="1.7109375" bestFit="1" customWidth="1"/>
    <col min="7" max="7" width="35.5703125" customWidth="1"/>
    <col min="8" max="8" width="4.140625" customWidth="1"/>
    <col min="9" max="9" width="38.7109375" customWidth="1"/>
    <col min="10" max="10" width="3.5703125" customWidth="1"/>
    <col min="11" max="11" width="47.42578125" customWidth="1"/>
  </cols>
  <sheetData>
    <row r="1" spans="1:15" ht="15">
      <c r="A1" s="1" t="s">
        <v>183</v>
      </c>
      <c r="C1" s="1" t="s">
        <v>569</v>
      </c>
      <c r="G1" s="33" t="s">
        <v>489</v>
      </c>
      <c r="H1" s="22"/>
      <c r="I1" s="33" t="s">
        <v>490</v>
      </c>
      <c r="J1" s="22"/>
      <c r="K1" s="33" t="s">
        <v>491</v>
      </c>
      <c r="M1" s="22">
        <v>1</v>
      </c>
      <c r="N1" s="22">
        <v>2</v>
      </c>
      <c r="O1" s="22">
        <v>3</v>
      </c>
    </row>
    <row r="2" spans="1:15">
      <c r="A2" t="s">
        <v>193</v>
      </c>
      <c r="B2" t="s">
        <v>200</v>
      </c>
      <c r="C2" t="s">
        <v>570</v>
      </c>
      <c r="D2" t="s">
        <v>571</v>
      </c>
      <c r="F2" t="s">
        <v>200</v>
      </c>
      <c r="G2" s="34" t="s">
        <v>572</v>
      </c>
      <c r="I2" s="34" t="s">
        <v>573</v>
      </c>
      <c r="K2" s="34" t="s">
        <v>570</v>
      </c>
      <c r="M2" s="23">
        <v>38</v>
      </c>
      <c r="N2" s="23">
        <v>6</v>
      </c>
      <c r="O2" s="23">
        <v>3</v>
      </c>
    </row>
    <row r="3" spans="1:15">
      <c r="A3" t="s">
        <v>205</v>
      </c>
      <c r="B3" t="s">
        <v>200</v>
      </c>
      <c r="C3" t="s">
        <v>574</v>
      </c>
      <c r="F3" t="s">
        <v>200</v>
      </c>
      <c r="G3" s="34" t="s">
        <v>575</v>
      </c>
      <c r="I3" s="34" t="s">
        <v>576</v>
      </c>
      <c r="K3" s="34" t="s">
        <v>571</v>
      </c>
    </row>
    <row r="4" spans="1:15">
      <c r="A4" t="s">
        <v>214</v>
      </c>
      <c r="B4" t="s">
        <v>200</v>
      </c>
      <c r="C4" t="s">
        <v>577</v>
      </c>
      <c r="F4" t="s">
        <v>200</v>
      </c>
      <c r="G4" s="35" t="s">
        <v>578</v>
      </c>
      <c r="I4" s="34" t="s">
        <v>579</v>
      </c>
      <c r="K4" s="34" t="s">
        <v>574</v>
      </c>
    </row>
    <row r="5" spans="1:15">
      <c r="A5" t="s">
        <v>224</v>
      </c>
      <c r="B5" t="s">
        <v>200</v>
      </c>
      <c r="C5" t="s">
        <v>580</v>
      </c>
      <c r="D5" t="s">
        <v>581</v>
      </c>
      <c r="F5" t="s">
        <v>200</v>
      </c>
      <c r="I5" s="34" t="s">
        <v>582</v>
      </c>
      <c r="K5" s="34" t="s">
        <v>577</v>
      </c>
    </row>
    <row r="6" spans="1:15">
      <c r="A6" t="s">
        <v>232</v>
      </c>
      <c r="B6" t="s">
        <v>200</v>
      </c>
      <c r="C6" t="s">
        <v>582</v>
      </c>
      <c r="D6" t="s">
        <v>583</v>
      </c>
      <c r="F6" t="s">
        <v>200</v>
      </c>
      <c r="I6" s="34" t="s">
        <v>584</v>
      </c>
      <c r="K6" s="34" t="s">
        <v>580</v>
      </c>
    </row>
    <row r="7" spans="1:15">
      <c r="A7" t="s">
        <v>239</v>
      </c>
      <c r="B7" t="s">
        <v>200</v>
      </c>
      <c r="C7" t="s">
        <v>585</v>
      </c>
      <c r="F7" t="s">
        <v>200</v>
      </c>
      <c r="I7" s="35" t="s">
        <v>586</v>
      </c>
      <c r="K7" s="34" t="s">
        <v>581</v>
      </c>
    </row>
    <row r="8" spans="1:15">
      <c r="A8" t="s">
        <v>246</v>
      </c>
      <c r="B8" t="s">
        <v>200</v>
      </c>
      <c r="C8" t="s">
        <v>587</v>
      </c>
      <c r="F8" t="s">
        <v>200</v>
      </c>
      <c r="K8" s="34" t="s">
        <v>583</v>
      </c>
    </row>
    <row r="9" spans="1:15">
      <c r="A9" t="s">
        <v>252</v>
      </c>
      <c r="B9" t="s">
        <v>200</v>
      </c>
      <c r="C9" t="s">
        <v>576</v>
      </c>
      <c r="F9" t="s">
        <v>200</v>
      </c>
      <c r="K9" s="34" t="s">
        <v>585</v>
      </c>
    </row>
    <row r="10" spans="1:15">
      <c r="A10" t="s">
        <v>258</v>
      </c>
      <c r="B10" t="s">
        <v>200</v>
      </c>
      <c r="C10" t="s">
        <v>576</v>
      </c>
      <c r="F10" t="s">
        <v>200</v>
      </c>
      <c r="K10" s="34" t="s">
        <v>587</v>
      </c>
    </row>
    <row r="11" spans="1:15">
      <c r="A11" t="s">
        <v>262</v>
      </c>
      <c r="B11" t="s">
        <v>200</v>
      </c>
      <c r="C11" t="s">
        <v>588</v>
      </c>
      <c r="D11" t="s">
        <v>589</v>
      </c>
      <c r="F11" t="s">
        <v>200</v>
      </c>
      <c r="K11" s="34" t="s">
        <v>588</v>
      </c>
    </row>
    <row r="12" spans="1:15">
      <c r="A12" t="s">
        <v>267</v>
      </c>
      <c r="B12" t="s">
        <v>200</v>
      </c>
      <c r="C12" t="s">
        <v>590</v>
      </c>
      <c r="D12" t="s">
        <v>591</v>
      </c>
      <c r="E12" t="s">
        <v>592</v>
      </c>
      <c r="F12" t="s">
        <v>200</v>
      </c>
      <c r="K12" s="34" t="s">
        <v>589</v>
      </c>
    </row>
    <row r="13" spans="1:15">
      <c r="A13" t="s">
        <v>275</v>
      </c>
      <c r="B13" t="s">
        <v>200</v>
      </c>
      <c r="C13" t="s">
        <v>584</v>
      </c>
      <c r="D13" t="s">
        <v>575</v>
      </c>
      <c r="F13" t="s">
        <v>200</v>
      </c>
      <c r="K13" s="34" t="s">
        <v>590</v>
      </c>
    </row>
    <row r="14" spans="1:15">
      <c r="A14" t="s">
        <v>285</v>
      </c>
      <c r="B14" t="s">
        <v>200</v>
      </c>
      <c r="C14" t="s">
        <v>593</v>
      </c>
      <c r="F14" t="s">
        <v>200</v>
      </c>
      <c r="K14" s="34" t="s">
        <v>591</v>
      </c>
    </row>
    <row r="15" spans="1:15">
      <c r="A15" t="s">
        <v>290</v>
      </c>
      <c r="B15" t="s">
        <v>200</v>
      </c>
      <c r="C15" t="s">
        <v>575</v>
      </c>
      <c r="D15" t="s">
        <v>584</v>
      </c>
      <c r="F15" t="s">
        <v>200</v>
      </c>
      <c r="K15" s="34" t="s">
        <v>592</v>
      </c>
    </row>
    <row r="16" spans="1:15">
      <c r="A16" t="s">
        <v>296</v>
      </c>
      <c r="B16" t="s">
        <v>200</v>
      </c>
      <c r="C16" t="s">
        <v>578</v>
      </c>
      <c r="F16" t="s">
        <v>200</v>
      </c>
      <c r="K16" s="34" t="s">
        <v>593</v>
      </c>
    </row>
    <row r="17" spans="1:11">
      <c r="A17" t="s">
        <v>303</v>
      </c>
      <c r="B17" t="s">
        <v>200</v>
      </c>
      <c r="C17" t="s">
        <v>594</v>
      </c>
      <c r="D17" t="s">
        <v>595</v>
      </c>
      <c r="F17" t="s">
        <v>200</v>
      </c>
      <c r="K17" s="34" t="s">
        <v>594</v>
      </c>
    </row>
    <row r="18" spans="1:11">
      <c r="A18" t="s">
        <v>310</v>
      </c>
      <c r="B18" t="s">
        <v>200</v>
      </c>
      <c r="C18" t="s">
        <v>596</v>
      </c>
      <c r="D18" t="s">
        <v>597</v>
      </c>
      <c r="E18" t="s">
        <v>598</v>
      </c>
      <c r="F18" t="s">
        <v>200</v>
      </c>
      <c r="K18" s="34" t="s">
        <v>595</v>
      </c>
    </row>
    <row r="19" spans="1:11">
      <c r="A19" t="s">
        <v>315</v>
      </c>
      <c r="B19" t="s">
        <v>200</v>
      </c>
      <c r="C19" t="s">
        <v>599</v>
      </c>
      <c r="D19" t="s">
        <v>572</v>
      </c>
      <c r="F19" t="s">
        <v>200</v>
      </c>
      <c r="K19" s="34" t="s">
        <v>596</v>
      </c>
    </row>
    <row r="20" spans="1:11">
      <c r="A20" t="s">
        <v>322</v>
      </c>
      <c r="B20" t="s">
        <v>200</v>
      </c>
      <c r="C20" t="s">
        <v>600</v>
      </c>
      <c r="D20" t="s">
        <v>601</v>
      </c>
      <c r="F20" t="s">
        <v>200</v>
      </c>
      <c r="K20" s="34" t="s">
        <v>597</v>
      </c>
    </row>
    <row r="21" spans="1:11">
      <c r="A21" t="s">
        <v>328</v>
      </c>
      <c r="B21" t="s">
        <v>200</v>
      </c>
      <c r="C21" t="s">
        <v>602</v>
      </c>
      <c r="D21" t="s">
        <v>573</v>
      </c>
      <c r="E21" t="s">
        <v>579</v>
      </c>
      <c r="F21" t="s">
        <v>200</v>
      </c>
      <c r="K21" s="34" t="s">
        <v>598</v>
      </c>
    </row>
    <row r="22" spans="1:11">
      <c r="A22" t="s">
        <v>339</v>
      </c>
      <c r="B22" t="s">
        <v>200</v>
      </c>
      <c r="C22" t="s">
        <v>582</v>
      </c>
      <c r="D22" t="s">
        <v>603</v>
      </c>
      <c r="F22" t="s">
        <v>200</v>
      </c>
      <c r="K22" s="34" t="s">
        <v>599</v>
      </c>
    </row>
    <row r="23" spans="1:11">
      <c r="A23" t="s">
        <v>347</v>
      </c>
      <c r="B23" t="s">
        <v>200</v>
      </c>
      <c r="C23" t="s">
        <v>586</v>
      </c>
      <c r="D23" t="s">
        <v>604</v>
      </c>
      <c r="F23" t="s">
        <v>200</v>
      </c>
      <c r="K23" s="34" t="s">
        <v>600</v>
      </c>
    </row>
    <row r="24" spans="1:11">
      <c r="A24" t="s">
        <v>353</v>
      </c>
      <c r="B24" t="s">
        <v>200</v>
      </c>
      <c r="C24" t="s">
        <v>586</v>
      </c>
      <c r="D24" t="s">
        <v>572</v>
      </c>
      <c r="F24" t="s">
        <v>200</v>
      </c>
      <c r="K24" s="34" t="s">
        <v>601</v>
      </c>
    </row>
    <row r="25" spans="1:11">
      <c r="A25" t="s">
        <v>361</v>
      </c>
      <c r="B25" t="s">
        <v>200</v>
      </c>
      <c r="C25" t="s">
        <v>605</v>
      </c>
      <c r="D25" t="s">
        <v>606</v>
      </c>
      <c r="E25" t="s">
        <v>607</v>
      </c>
      <c r="F25" t="s">
        <v>200</v>
      </c>
      <c r="K25" s="34" t="s">
        <v>602</v>
      </c>
    </row>
    <row r="26" spans="1:11">
      <c r="A26" t="s">
        <v>366</v>
      </c>
      <c r="B26" t="s">
        <v>200</v>
      </c>
      <c r="C26" t="s">
        <v>608</v>
      </c>
      <c r="F26" t="s">
        <v>200</v>
      </c>
      <c r="K26" s="34" t="s">
        <v>603</v>
      </c>
    </row>
    <row r="27" spans="1:11">
      <c r="A27" t="s">
        <v>375</v>
      </c>
      <c r="B27" t="s">
        <v>200</v>
      </c>
      <c r="C27" t="s">
        <v>609</v>
      </c>
      <c r="F27" t="s">
        <v>200</v>
      </c>
      <c r="K27" s="34" t="s">
        <v>604</v>
      </c>
    </row>
    <row r="28" spans="1:11">
      <c r="A28" t="s">
        <v>379</v>
      </c>
      <c r="B28" t="s">
        <v>200</v>
      </c>
      <c r="C28" t="s">
        <v>575</v>
      </c>
      <c r="F28" t="s">
        <v>200</v>
      </c>
      <c r="K28" s="34" t="s">
        <v>605</v>
      </c>
    </row>
    <row r="29" spans="1:11">
      <c r="A29" t="s">
        <v>385</v>
      </c>
      <c r="B29" t="s">
        <v>200</v>
      </c>
      <c r="C29" t="s">
        <v>610</v>
      </c>
      <c r="D29" t="s">
        <v>572</v>
      </c>
      <c r="F29" t="s">
        <v>200</v>
      </c>
      <c r="K29" s="34" t="s">
        <v>606</v>
      </c>
    </row>
    <row r="30" spans="1:11">
      <c r="A30" t="s">
        <v>391</v>
      </c>
      <c r="B30" t="s">
        <v>200</v>
      </c>
      <c r="C30" t="s">
        <v>578</v>
      </c>
      <c r="F30" t="s">
        <v>200</v>
      </c>
      <c r="K30" s="34" t="s">
        <v>607</v>
      </c>
    </row>
    <row r="31" spans="1:11">
      <c r="A31" t="s">
        <v>401</v>
      </c>
      <c r="B31" t="s">
        <v>200</v>
      </c>
      <c r="C31" t="s">
        <v>611</v>
      </c>
      <c r="F31" t="s">
        <v>200</v>
      </c>
      <c r="K31" s="34" t="s">
        <v>608</v>
      </c>
    </row>
    <row r="32" spans="1:11">
      <c r="A32" t="s">
        <v>407</v>
      </c>
      <c r="B32" t="s">
        <v>200</v>
      </c>
      <c r="C32" t="s">
        <v>612</v>
      </c>
      <c r="F32" t="s">
        <v>200</v>
      </c>
      <c r="K32" s="34" t="s">
        <v>609</v>
      </c>
    </row>
    <row r="33" spans="1:11">
      <c r="A33" t="s">
        <v>413</v>
      </c>
      <c r="B33" t="s">
        <v>200</v>
      </c>
      <c r="C33" t="s">
        <v>578</v>
      </c>
      <c r="F33" t="s">
        <v>200</v>
      </c>
      <c r="K33" s="34" t="s">
        <v>610</v>
      </c>
    </row>
    <row r="34" spans="1:11">
      <c r="A34" t="s">
        <v>421</v>
      </c>
      <c r="B34" t="s">
        <v>200</v>
      </c>
      <c r="C34" t="s">
        <v>613</v>
      </c>
      <c r="D34" t="s">
        <v>573</v>
      </c>
      <c r="E34" t="s">
        <v>579</v>
      </c>
      <c r="F34" t="s">
        <v>200</v>
      </c>
      <c r="K34" s="34" t="s">
        <v>611</v>
      </c>
    </row>
    <row r="35" spans="1:11">
      <c r="A35" t="s">
        <v>429</v>
      </c>
      <c r="B35" t="s">
        <v>200</v>
      </c>
      <c r="C35" t="s">
        <v>614</v>
      </c>
      <c r="F35" t="s">
        <v>200</v>
      </c>
      <c r="K35" s="34" t="s">
        <v>612</v>
      </c>
    </row>
    <row r="36" spans="1:11">
      <c r="A36" t="s">
        <v>437</v>
      </c>
      <c r="B36" t="s">
        <v>200</v>
      </c>
      <c r="C36" t="s">
        <v>615</v>
      </c>
      <c r="F36" t="s">
        <v>200</v>
      </c>
      <c r="K36" s="34" t="s">
        <v>613</v>
      </c>
    </row>
    <row r="37" spans="1:11">
      <c r="A37" t="s">
        <v>445</v>
      </c>
      <c r="B37" t="s">
        <v>200</v>
      </c>
      <c r="C37" t="s">
        <v>616</v>
      </c>
      <c r="F37" t="s">
        <v>200</v>
      </c>
      <c r="K37" s="34" t="s">
        <v>614</v>
      </c>
    </row>
    <row r="38" spans="1:11">
      <c r="K38" s="34" t="s">
        <v>615</v>
      </c>
    </row>
    <row r="39" spans="1:11">
      <c r="K39" s="35" t="s">
        <v>616</v>
      </c>
    </row>
  </sheetData>
  <sortState xmlns:xlrd2="http://schemas.microsoft.com/office/spreadsheetml/2017/richdata2" ref="G2:G4">
    <sortCondition ref="G2:G4"/>
  </sortState>
  <pageMargins left="0.7" right="0.7" top="0.75" bottom="0.75"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ECD4B-EB72-4608-861E-31D89B5CF527}">
  <dimension ref="A1:K37"/>
  <sheetViews>
    <sheetView workbookViewId="0">
      <selection activeCell="C27" sqref="C27"/>
    </sheetView>
  </sheetViews>
  <sheetFormatPr defaultRowHeight="14.45"/>
  <cols>
    <col min="1" max="1" width="27.7109375" customWidth="1"/>
    <col min="3" max="3" width="86.140625" bestFit="1" customWidth="1"/>
    <col min="4" max="4" width="6.28515625" style="23" customWidth="1"/>
    <col min="6" max="6" width="9.85546875" style="23" bestFit="1" customWidth="1"/>
    <col min="7" max="7" width="8.42578125" style="23" bestFit="1" customWidth="1"/>
    <col min="8" max="8" width="11.85546875" style="23" bestFit="1" customWidth="1"/>
    <col min="9" max="9" width="8" style="23" bestFit="1" customWidth="1"/>
    <col min="10" max="10" width="4.28515625" style="23" bestFit="1" customWidth="1"/>
    <col min="11" max="11" width="5.85546875" style="23" bestFit="1" customWidth="1"/>
  </cols>
  <sheetData>
    <row r="1" spans="1:11">
      <c r="A1" s="1" t="s">
        <v>181</v>
      </c>
      <c r="B1" t="s">
        <v>200</v>
      </c>
      <c r="C1" s="1" t="s">
        <v>617</v>
      </c>
      <c r="D1" s="22" t="s">
        <v>202</v>
      </c>
      <c r="F1" s="24" t="s">
        <v>618</v>
      </c>
      <c r="G1" s="25" t="s">
        <v>619</v>
      </c>
      <c r="H1" s="25" t="s">
        <v>620</v>
      </c>
      <c r="I1" s="25" t="s">
        <v>621</v>
      </c>
      <c r="J1" s="25" t="s">
        <v>622</v>
      </c>
      <c r="K1" s="26" t="s">
        <v>623</v>
      </c>
    </row>
    <row r="2" spans="1:11">
      <c r="A2" t="s">
        <v>10</v>
      </c>
      <c r="B2" t="s">
        <v>200</v>
      </c>
      <c r="C2" t="s">
        <v>66</v>
      </c>
      <c r="D2" s="23">
        <v>1</v>
      </c>
      <c r="F2" s="27">
        <v>1</v>
      </c>
      <c r="K2" s="28"/>
    </row>
    <row r="3" spans="1:11">
      <c r="A3" t="s">
        <v>14</v>
      </c>
      <c r="B3" t="s">
        <v>200</v>
      </c>
      <c r="C3" t="s">
        <v>82</v>
      </c>
      <c r="D3" s="23">
        <v>1</v>
      </c>
      <c r="F3" s="27">
        <v>1</v>
      </c>
      <c r="K3" s="28"/>
    </row>
    <row r="4" spans="1:11">
      <c r="A4" t="s">
        <v>212</v>
      </c>
      <c r="B4" t="s">
        <v>200</v>
      </c>
      <c r="C4" t="s">
        <v>624</v>
      </c>
      <c r="D4" s="23">
        <v>1</v>
      </c>
      <c r="F4" s="27">
        <v>1</v>
      </c>
      <c r="K4" s="28"/>
    </row>
    <row r="5" spans="1:11">
      <c r="A5" t="s">
        <v>22</v>
      </c>
      <c r="B5" t="s">
        <v>200</v>
      </c>
      <c r="C5" t="s">
        <v>58</v>
      </c>
      <c r="D5" s="23">
        <v>1</v>
      </c>
      <c r="F5" s="27"/>
      <c r="J5" s="23">
        <v>1</v>
      </c>
      <c r="K5" s="28"/>
    </row>
    <row r="6" spans="1:11">
      <c r="A6" t="s">
        <v>26</v>
      </c>
      <c r="B6" t="s">
        <v>200</v>
      </c>
      <c r="C6" t="s">
        <v>428</v>
      </c>
      <c r="D6" s="23">
        <v>1</v>
      </c>
      <c r="F6" s="27">
        <v>1</v>
      </c>
      <c r="K6" s="28"/>
    </row>
    <row r="7" spans="1:11">
      <c r="A7" t="s">
        <v>30</v>
      </c>
      <c r="B7" t="s">
        <v>200</v>
      </c>
      <c r="C7" t="s">
        <v>420</v>
      </c>
      <c r="D7" s="23">
        <v>1</v>
      </c>
      <c r="F7" s="27">
        <v>1</v>
      </c>
      <c r="K7" s="28"/>
    </row>
    <row r="8" spans="1:11">
      <c r="A8" t="s">
        <v>245</v>
      </c>
      <c r="B8" t="s">
        <v>200</v>
      </c>
      <c r="C8" t="s">
        <v>412</v>
      </c>
      <c r="D8" s="23">
        <v>1</v>
      </c>
      <c r="F8" s="27">
        <v>1</v>
      </c>
      <c r="G8" s="23">
        <v>1</v>
      </c>
      <c r="J8" s="23">
        <v>1</v>
      </c>
      <c r="K8" s="28"/>
    </row>
    <row r="9" spans="1:11">
      <c r="A9" t="s">
        <v>38</v>
      </c>
      <c r="B9" t="s">
        <v>200</v>
      </c>
      <c r="C9" t="s">
        <v>42</v>
      </c>
      <c r="D9" s="23">
        <v>1</v>
      </c>
      <c r="F9" s="27">
        <v>1</v>
      </c>
      <c r="K9" s="28"/>
    </row>
    <row r="10" spans="1:11">
      <c r="A10" t="s">
        <v>42</v>
      </c>
      <c r="B10" t="s">
        <v>200</v>
      </c>
      <c r="C10" t="s">
        <v>273</v>
      </c>
      <c r="D10" s="23">
        <v>1</v>
      </c>
      <c r="F10" s="27">
        <v>1</v>
      </c>
      <c r="K10" s="28"/>
    </row>
    <row r="11" spans="1:11">
      <c r="A11" t="s">
        <v>261</v>
      </c>
      <c r="B11" t="s">
        <v>200</v>
      </c>
      <c r="C11" s="1" t="s">
        <v>62</v>
      </c>
      <c r="D11" s="22">
        <v>2</v>
      </c>
      <c r="F11" s="27">
        <v>2</v>
      </c>
      <c r="K11" s="28"/>
    </row>
    <row r="12" spans="1:11">
      <c r="A12" t="s">
        <v>50</v>
      </c>
      <c r="B12" t="s">
        <v>200</v>
      </c>
      <c r="C12" t="s">
        <v>360</v>
      </c>
      <c r="D12" s="23">
        <v>1</v>
      </c>
      <c r="F12" s="27">
        <v>1</v>
      </c>
      <c r="K12" s="28"/>
    </row>
    <row r="13" spans="1:11">
      <c r="A13" t="s">
        <v>273</v>
      </c>
      <c r="B13" t="s">
        <v>200</v>
      </c>
      <c r="C13" t="s">
        <v>383</v>
      </c>
      <c r="D13" s="23">
        <v>1</v>
      </c>
      <c r="F13" s="27">
        <v>1</v>
      </c>
      <c r="G13" s="23">
        <v>1</v>
      </c>
      <c r="K13" s="28"/>
    </row>
    <row r="14" spans="1:11">
      <c r="A14" t="s">
        <v>58</v>
      </c>
      <c r="B14" t="s">
        <v>200</v>
      </c>
      <c r="C14" t="s">
        <v>435</v>
      </c>
      <c r="D14" s="23">
        <v>1</v>
      </c>
      <c r="F14" s="27"/>
      <c r="J14" s="23">
        <v>1</v>
      </c>
      <c r="K14" s="28"/>
    </row>
    <row r="15" spans="1:11">
      <c r="A15" t="s">
        <v>62</v>
      </c>
      <c r="B15" t="s">
        <v>200</v>
      </c>
      <c r="C15" t="s">
        <v>30</v>
      </c>
      <c r="D15" s="23">
        <v>1</v>
      </c>
      <c r="F15" s="27">
        <v>1</v>
      </c>
      <c r="G15" s="23">
        <v>1</v>
      </c>
      <c r="K15" s="28"/>
    </row>
    <row r="16" spans="1:11">
      <c r="A16" t="s">
        <v>66</v>
      </c>
      <c r="B16" t="s">
        <v>200</v>
      </c>
      <c r="C16" t="s">
        <v>38</v>
      </c>
      <c r="D16" s="23">
        <v>1</v>
      </c>
      <c r="F16" s="27">
        <v>1</v>
      </c>
      <c r="H16" s="23">
        <v>1</v>
      </c>
      <c r="K16" s="28"/>
    </row>
    <row r="17" spans="1:11">
      <c r="A17" t="s">
        <v>70</v>
      </c>
      <c r="B17" t="s">
        <v>200</v>
      </c>
      <c r="C17" t="s">
        <v>390</v>
      </c>
      <c r="D17" s="23">
        <v>1</v>
      </c>
      <c r="F17" s="27">
        <v>1</v>
      </c>
      <c r="G17" s="23">
        <v>1</v>
      </c>
      <c r="K17" s="28"/>
    </row>
    <row r="18" spans="1:11">
      <c r="A18" t="s">
        <v>624</v>
      </c>
      <c r="B18" t="s">
        <v>200</v>
      </c>
      <c r="C18" t="s">
        <v>86</v>
      </c>
      <c r="D18" s="23">
        <v>1</v>
      </c>
      <c r="F18" s="27">
        <v>1</v>
      </c>
      <c r="K18" s="28"/>
    </row>
    <row r="19" spans="1:11">
      <c r="A19" t="s">
        <v>78</v>
      </c>
      <c r="B19" t="s">
        <v>200</v>
      </c>
      <c r="C19" t="s">
        <v>245</v>
      </c>
      <c r="D19" s="23">
        <v>1</v>
      </c>
      <c r="F19" s="27">
        <v>1</v>
      </c>
      <c r="K19" s="28"/>
    </row>
    <row r="20" spans="1:11">
      <c r="A20" t="s">
        <v>82</v>
      </c>
      <c r="B20" t="s">
        <v>200</v>
      </c>
      <c r="C20" t="s">
        <v>10</v>
      </c>
      <c r="D20" s="23">
        <v>1</v>
      </c>
      <c r="F20" s="27">
        <v>1</v>
      </c>
      <c r="I20" s="23">
        <v>1</v>
      </c>
      <c r="K20" s="28"/>
    </row>
    <row r="21" spans="1:11">
      <c r="A21" t="s">
        <v>86</v>
      </c>
      <c r="B21" t="s">
        <v>200</v>
      </c>
      <c r="C21" t="s">
        <v>22</v>
      </c>
      <c r="D21" s="23">
        <v>1</v>
      </c>
      <c r="F21" s="27"/>
      <c r="H21" s="23">
        <v>1</v>
      </c>
      <c r="K21" s="28"/>
    </row>
    <row r="22" spans="1:11">
      <c r="A22" t="s">
        <v>337</v>
      </c>
      <c r="B22" t="s">
        <v>200</v>
      </c>
      <c r="C22" t="s">
        <v>26</v>
      </c>
      <c r="D22" s="23">
        <v>1</v>
      </c>
      <c r="F22" s="27"/>
      <c r="K22" s="28">
        <v>1</v>
      </c>
    </row>
    <row r="23" spans="1:11">
      <c r="A23" t="s">
        <v>345</v>
      </c>
      <c r="B23" t="s">
        <v>200</v>
      </c>
      <c r="C23" t="s">
        <v>399</v>
      </c>
      <c r="D23" s="23">
        <v>1</v>
      </c>
      <c r="F23" s="27">
        <v>1</v>
      </c>
      <c r="H23" s="23">
        <v>1</v>
      </c>
      <c r="K23" s="28"/>
    </row>
    <row r="24" spans="1:11">
      <c r="A24" t="s">
        <v>352</v>
      </c>
      <c r="B24" t="s">
        <v>200</v>
      </c>
      <c r="C24" t="s">
        <v>374</v>
      </c>
      <c r="D24" s="23">
        <v>1</v>
      </c>
      <c r="F24" s="27"/>
      <c r="H24" s="23">
        <v>1</v>
      </c>
      <c r="K24" s="28"/>
    </row>
    <row r="25" spans="1:11">
      <c r="A25" t="s">
        <v>360</v>
      </c>
      <c r="B25" t="s">
        <v>200</v>
      </c>
      <c r="C25" s="1" t="s">
        <v>50</v>
      </c>
      <c r="D25" s="22">
        <v>2</v>
      </c>
      <c r="F25" s="27">
        <v>2</v>
      </c>
      <c r="K25" s="28"/>
    </row>
    <row r="26" spans="1:11">
      <c r="A26" t="s">
        <v>200</v>
      </c>
      <c r="B26" t="s">
        <v>200</v>
      </c>
      <c r="C26" t="s">
        <v>352</v>
      </c>
      <c r="D26" s="23">
        <v>1</v>
      </c>
      <c r="F26" s="27"/>
      <c r="H26" s="23">
        <v>1</v>
      </c>
      <c r="K26" s="28"/>
    </row>
    <row r="27" spans="1:11">
      <c r="A27" t="s">
        <v>374</v>
      </c>
      <c r="B27" t="s">
        <v>200</v>
      </c>
      <c r="C27" s="1" t="s">
        <v>345</v>
      </c>
      <c r="D27" s="22">
        <v>2</v>
      </c>
      <c r="F27" s="27">
        <v>2</v>
      </c>
      <c r="H27" s="23">
        <v>2</v>
      </c>
      <c r="K27" s="28"/>
    </row>
    <row r="28" spans="1:11">
      <c r="A28" t="s">
        <v>62</v>
      </c>
      <c r="B28" t="s">
        <v>200</v>
      </c>
      <c r="C28" t="s">
        <v>14</v>
      </c>
      <c r="D28" s="23">
        <v>1</v>
      </c>
      <c r="F28" s="27"/>
      <c r="I28" s="23">
        <v>1</v>
      </c>
      <c r="K28" s="28"/>
    </row>
    <row r="29" spans="1:11">
      <c r="A29" t="s">
        <v>383</v>
      </c>
      <c r="B29" t="s">
        <v>200</v>
      </c>
      <c r="C29" t="s">
        <v>261</v>
      </c>
      <c r="D29" s="23">
        <v>1</v>
      </c>
      <c r="F29" s="27">
        <v>1</v>
      </c>
      <c r="K29" s="28"/>
    </row>
    <row r="30" spans="1:11">
      <c r="A30" t="s">
        <v>390</v>
      </c>
      <c r="B30" t="s">
        <v>200</v>
      </c>
      <c r="C30" t="s">
        <v>78</v>
      </c>
      <c r="D30" s="23">
        <v>1</v>
      </c>
      <c r="F30" s="27">
        <v>1</v>
      </c>
      <c r="K30" s="28"/>
    </row>
    <row r="31" spans="1:11">
      <c r="A31" t="s">
        <v>399</v>
      </c>
      <c r="B31" t="s">
        <v>200</v>
      </c>
      <c r="C31" t="s">
        <v>70</v>
      </c>
      <c r="D31" s="23">
        <v>1</v>
      </c>
      <c r="F31" s="27">
        <v>1</v>
      </c>
      <c r="K31" s="28"/>
    </row>
    <row r="32" spans="1:11">
      <c r="A32" t="s">
        <v>345</v>
      </c>
      <c r="B32" t="s">
        <v>200</v>
      </c>
      <c r="C32" t="s">
        <v>337</v>
      </c>
      <c r="D32" s="23">
        <v>1</v>
      </c>
      <c r="F32" s="27"/>
      <c r="H32" s="23">
        <v>1</v>
      </c>
      <c r="K32" s="28"/>
    </row>
    <row r="33" spans="1:11">
      <c r="A33" t="s">
        <v>412</v>
      </c>
      <c r="B33" t="s">
        <v>200</v>
      </c>
      <c r="C33" t="s">
        <v>212</v>
      </c>
      <c r="D33" s="23">
        <v>1</v>
      </c>
      <c r="F33" s="29"/>
      <c r="G33" s="30"/>
      <c r="H33" s="30"/>
      <c r="I33" s="30">
        <v>1</v>
      </c>
      <c r="J33" s="30"/>
      <c r="K33" s="31">
        <v>1</v>
      </c>
    </row>
    <row r="34" spans="1:11">
      <c r="A34" t="s">
        <v>420</v>
      </c>
      <c r="B34" t="s">
        <v>200</v>
      </c>
      <c r="F34" s="32">
        <f t="shared" ref="F34:K34" si="0">SUM(F2:F33)</f>
        <v>26</v>
      </c>
      <c r="G34" s="32">
        <f t="shared" si="0"/>
        <v>4</v>
      </c>
      <c r="H34" s="32">
        <f t="shared" si="0"/>
        <v>8</v>
      </c>
      <c r="I34" s="32">
        <f t="shared" si="0"/>
        <v>3</v>
      </c>
      <c r="J34" s="32">
        <f t="shared" si="0"/>
        <v>3</v>
      </c>
      <c r="K34" s="32">
        <f t="shared" si="0"/>
        <v>2</v>
      </c>
    </row>
    <row r="35" spans="1:11">
      <c r="A35" t="s">
        <v>428</v>
      </c>
      <c r="B35" t="s">
        <v>200</v>
      </c>
    </row>
    <row r="36" spans="1:11">
      <c r="A36" t="s">
        <v>435</v>
      </c>
      <c r="B36" t="s">
        <v>200</v>
      </c>
    </row>
    <row r="37" spans="1:11">
      <c r="A37" t="s">
        <v>50</v>
      </c>
      <c r="B37" t="s">
        <v>200</v>
      </c>
    </row>
  </sheetData>
  <sortState xmlns:xlrd2="http://schemas.microsoft.com/office/spreadsheetml/2017/richdata2" ref="C2:D37">
    <sortCondition ref="C1:C37"/>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6B020-846C-4DF7-A088-79AB288B8325}">
  <dimension ref="A1:B39"/>
  <sheetViews>
    <sheetView workbookViewId="0">
      <selection activeCell="A15" sqref="A15"/>
    </sheetView>
  </sheetViews>
  <sheetFormatPr defaultRowHeight="14.45"/>
  <cols>
    <col min="1" max="1" width="71.28515625" customWidth="1"/>
  </cols>
  <sheetData>
    <row r="1" spans="1:2">
      <c r="A1" s="1" t="s">
        <v>190</v>
      </c>
      <c r="B1" s="1" t="s">
        <v>625</v>
      </c>
    </row>
    <row r="2" spans="1:2">
      <c r="A2" s="1" t="s">
        <v>626</v>
      </c>
      <c r="B2" s="1">
        <f>COUNTIF('Selected Studies'!O2:O37,"*General Data Protection Regulation*")</f>
        <v>11</v>
      </c>
    </row>
    <row r="3" spans="1:2">
      <c r="A3" s="1" t="s">
        <v>627</v>
      </c>
      <c r="B3" s="1">
        <f>COUNTIF('Selected Studies'!O2:O37,"*Fair Information*")</f>
        <v>7</v>
      </c>
    </row>
    <row r="4" spans="1:2">
      <c r="A4" s="1" t="s">
        <v>209</v>
      </c>
      <c r="B4" s="1">
        <f>COUNTIF('Selected Studies'!O2:O37,"*Health Insurance*")</f>
        <v>7</v>
      </c>
    </row>
    <row r="5" spans="1:2">
      <c r="A5" s="1" t="s">
        <v>628</v>
      </c>
      <c r="B5" s="1">
        <f>COUNTIF('Selected Studies'!O2:O37,"*California Consumer*")</f>
        <v>3</v>
      </c>
    </row>
    <row r="6" spans="1:2">
      <c r="A6" s="1" t="s">
        <v>629</v>
      </c>
      <c r="B6" s="1">
        <f>COUNTIF('Selected Studies'!O2:O37,"*Fair Credit*")</f>
        <v>3</v>
      </c>
    </row>
    <row r="7" spans="1:2">
      <c r="A7" s="1" t="s">
        <v>630</v>
      </c>
      <c r="B7" s="1">
        <f>COUNTIF('Selected Studies'!O2:O37,"*Family Educational*")</f>
        <v>3</v>
      </c>
    </row>
    <row r="8" spans="1:2">
      <c r="A8" s="1" t="s">
        <v>631</v>
      </c>
      <c r="B8" s="1">
        <f>COUNTIF('Selected Studies'!O2:O37,"*Gramm-Leach-Bliley*")</f>
        <v>3</v>
      </c>
    </row>
    <row r="9" spans="1:2">
      <c r="A9" s="1" t="s">
        <v>632</v>
      </c>
      <c r="B9" s="1">
        <f>COUNTIF('Selected Studies'!O2:O37,"*Protection of Personal Information Act*")</f>
        <v>3</v>
      </c>
    </row>
    <row r="10" spans="1:2">
      <c r="A10" s="1" t="s">
        <v>485</v>
      </c>
      <c r="B10" s="1">
        <f>COUNTIF('Selected Studies'!O2:O37,"*Children’s Online*")</f>
        <v>2</v>
      </c>
    </row>
    <row r="11" spans="1:2">
      <c r="A11" s="1" t="s">
        <v>633</v>
      </c>
      <c r="B11" s="1">
        <f>COUNTIF('Selected Studies'!O2:O37,"*Directive*")</f>
        <v>2</v>
      </c>
    </row>
    <row r="12" spans="1:2">
      <c r="A12" s="1" t="s">
        <v>483</v>
      </c>
      <c r="B12" s="1">
        <f>COUNTIF('Selected Studies'!O2:O37,"*Electronic Communications*")</f>
        <v>2</v>
      </c>
    </row>
    <row r="13" spans="1:2">
      <c r="A13" s="1" t="s">
        <v>634</v>
      </c>
      <c r="B13" s="1">
        <f>COUNTIF('Selected Studies'!O2:O37,"*Federal Trade*")</f>
        <v>2</v>
      </c>
    </row>
    <row r="14" spans="1:2">
      <c r="A14" s="1" t="s">
        <v>478</v>
      </c>
      <c r="B14" s="1">
        <f>COUNTIF('Selected Studies'!O2:O37,"*Payment Card*")</f>
        <v>2</v>
      </c>
    </row>
    <row r="15" spans="1:2">
      <c r="A15" t="s">
        <v>219</v>
      </c>
      <c r="B15">
        <f>COUNTIF('Selected Studies'!O2:O37,"*Australia*")</f>
        <v>1</v>
      </c>
    </row>
    <row r="16" spans="1:2">
      <c r="A16" t="s">
        <v>635</v>
      </c>
      <c r="B16">
        <f>COUNTIF('Selected Studies'!O2:O37,"*Cable*")</f>
        <v>1</v>
      </c>
    </row>
    <row r="17" spans="1:2">
      <c r="A17" t="s">
        <v>636</v>
      </c>
      <c r="B17">
        <f>COUNTIF('Selected Studies'!O2:O37,"*California's Online*")</f>
        <v>1</v>
      </c>
    </row>
    <row r="18" spans="1:2">
      <c r="A18" t="s">
        <v>637</v>
      </c>
      <c r="B18">
        <f>COUNTIF('Selected Studies'!O2:O37,"*Computer Matching*")</f>
        <v>1</v>
      </c>
    </row>
    <row r="19" spans="1:2">
      <c r="A19" t="s">
        <v>638</v>
      </c>
      <c r="B19">
        <f>COUNTIF('Selected Studies'!O2:O37,"*Data Protection Act*")</f>
        <v>1</v>
      </c>
    </row>
    <row r="20" spans="1:2">
      <c r="A20" t="s">
        <v>639</v>
      </c>
      <c r="B20">
        <f>COUNTIF('Selected Studies'!O2:O37,"*Employee Polygraph*")</f>
        <v>1</v>
      </c>
    </row>
    <row r="21" spans="1:2">
      <c r="A21" t="s">
        <v>640</v>
      </c>
      <c r="B21">
        <f>COUNTIF('Selected Studies'!O2:O37,"*Federal Information*")</f>
        <v>1</v>
      </c>
    </row>
    <row r="22" spans="1:2">
      <c r="A22" t="s">
        <v>641</v>
      </c>
      <c r="B22">
        <f>COUNTIF('Selected Studies'!O2:O37,"*Florida Statute*")</f>
        <v>1</v>
      </c>
    </row>
    <row r="23" spans="1:2">
      <c r="A23" t="s">
        <v>642</v>
      </c>
      <c r="B23">
        <f>COUNTIF('Selected Studies'!O2:O37,"*Freedom of Information*")</f>
        <v>1</v>
      </c>
    </row>
    <row r="24" spans="1:2">
      <c r="A24" t="s">
        <v>643</v>
      </c>
      <c r="B24">
        <f>COUNTIF('Selected Studies'!O2:O37,"*Generally Accepted*")</f>
        <v>1</v>
      </c>
    </row>
    <row r="25" spans="1:2">
      <c r="A25" t="s">
        <v>644</v>
      </c>
      <c r="B25">
        <f>COUNTIF('Selected Studies'!O2:O37,"*Health Information Technology*")</f>
        <v>1</v>
      </c>
    </row>
    <row r="26" spans="1:2">
      <c r="A26" t="s">
        <v>645</v>
      </c>
      <c r="B26">
        <f>COUNTIF('Selected Studies'!O2:O37,"*Massachusetts*")</f>
        <v>1</v>
      </c>
    </row>
    <row r="27" spans="1:2">
      <c r="A27" t="s">
        <v>646</v>
      </c>
      <c r="B27">
        <f>COUNTIF('Selected Studies'!O2:O37,"*National Labor*")</f>
        <v>1</v>
      </c>
    </row>
    <row r="28" spans="1:2">
      <c r="A28" t="s">
        <v>647</v>
      </c>
      <c r="B28">
        <f>COUNTIF('Selected Studies'!O2:O37,"*Omnibus*")</f>
        <v>1</v>
      </c>
    </row>
    <row r="29" spans="1:2">
      <c r="A29" t="s">
        <v>648</v>
      </c>
      <c r="B29">
        <f>COUNTIF('Selected Studies'!O2:O37,"*Australia*")</f>
        <v>1</v>
      </c>
    </row>
    <row r="30" spans="1:2">
      <c r="A30" t="s">
        <v>649</v>
      </c>
      <c r="B30">
        <f>COUNTIF('Selected Studies'!O2:O37,"*Personal Health Information*")</f>
        <v>1</v>
      </c>
    </row>
    <row r="31" spans="1:2">
      <c r="A31" t="s">
        <v>254</v>
      </c>
      <c r="B31">
        <f>COUNTIF('Selected Studies'!O2:O37,"*Personal Information Protection*")</f>
        <v>1</v>
      </c>
    </row>
    <row r="32" spans="1:2">
      <c r="A32" t="s">
        <v>650</v>
      </c>
      <c r="B32">
        <f>COUNTIF('Selected Studies'!O2:O37,"*Privacy Act 1974*")</f>
        <v>1</v>
      </c>
    </row>
    <row r="33" spans="1:2">
      <c r="A33" t="s">
        <v>402</v>
      </c>
      <c r="B33">
        <f>COUNTIF('Selected Studies'!O2:O37,"*Privacy for Consumers*")</f>
        <v>1</v>
      </c>
    </row>
    <row r="34" spans="1:2">
      <c r="A34" t="s">
        <v>651</v>
      </c>
      <c r="B34">
        <f>COUNTIF('Selected Studies'!O2:O37,"*Privacy Protection Act 1980*")</f>
        <v>1</v>
      </c>
    </row>
    <row r="35" spans="1:2">
      <c r="A35" t="s">
        <v>652</v>
      </c>
      <c r="B35">
        <f>COUNTIF('Selected Studies'!O2:O37,"*Financial Privacy Act*")</f>
        <v>1</v>
      </c>
    </row>
    <row r="36" spans="1:2">
      <c r="A36" t="s">
        <v>653</v>
      </c>
      <c r="B36">
        <f>COUNTIF('Selected Studies'!O2:O37,"*Telemarketing*")</f>
        <v>1</v>
      </c>
    </row>
    <row r="37" spans="1:2">
      <c r="A37" t="s">
        <v>654</v>
      </c>
      <c r="B37">
        <f>COUNTIF('Selected Studies'!O2:O37,"*Declaration of Human*")</f>
        <v>1</v>
      </c>
    </row>
    <row r="38" spans="1:2">
      <c r="A38" t="s">
        <v>655</v>
      </c>
      <c r="B38">
        <f>COUNTIF('Selected Studies'!O2:O37,"*Constitution*")</f>
        <v>1</v>
      </c>
    </row>
    <row r="39" spans="1:2">
      <c r="A39" t="s">
        <v>656</v>
      </c>
      <c r="B39">
        <f>COUNTIF('Selected Studies'!O2:O37,"*Video Privacy*")</f>
        <v>1</v>
      </c>
    </row>
  </sheetData>
  <sortState xmlns:xlrd2="http://schemas.microsoft.com/office/spreadsheetml/2017/richdata2" ref="A2:B54">
    <sortCondition descending="1" ref="B1:B54"/>
  </sortState>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Leonardo Iwaya</dc:creator>
  <cp:keywords/>
  <dc:description/>
  <cp:lastModifiedBy/>
  <cp:revision/>
  <dcterms:created xsi:type="dcterms:W3CDTF">2021-10-20T14:44:03Z</dcterms:created>
  <dcterms:modified xsi:type="dcterms:W3CDTF">2022-03-08T09:25:09Z</dcterms:modified>
  <cp:category/>
  <cp:contentStatus/>
</cp:coreProperties>
</file>