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ukep\Documents\Salle\Business\Second Year\1st Semester\Financial Management\the excel\"/>
    </mc:Choice>
  </mc:AlternateContent>
  <xr:revisionPtr revIDLastSave="0" documentId="13_ncr:1_{9FAD6D1D-3681-4338-BAB3-D17388FBF679}" xr6:coauthVersionLast="47" xr6:coauthVersionMax="47" xr10:uidLastSave="{00000000-0000-0000-0000-000000000000}"/>
  <bookViews>
    <workbookView xWindow="-110" yWindow="-110" windowWidth="19420" windowHeight="10300" tabRatio="897" firstSheet="8" activeTab="14" xr2:uid="{B1A2BBBC-F863-40E8-BD1E-D79F45DDD361}"/>
  </bookViews>
  <sheets>
    <sheet name="BALANCE SHEET" sheetId="8" r:id="rId1"/>
    <sheet name="INCOME STATEMENT" sheetId="7" r:id="rId2"/>
    <sheet name="UNITS" sheetId="9" r:id="rId3"/>
    <sheet name="BEP&amp;COL&amp;DFL" sheetId="5" r:id="rId4"/>
    <sheet name="Ratios" sheetId="6" r:id="rId5"/>
    <sheet name="Collection Period" sheetId="13" r:id="rId6"/>
    <sheet name="Financing (amortization table)" sheetId="1" r:id="rId7"/>
    <sheet name="Bond Investing (Yields)" sheetId="3" r:id="rId8"/>
    <sheet name="Financing new Bonds decision" sheetId="4" r:id="rId9"/>
    <sheet name="Working Capital" sheetId="10" r:id="rId10"/>
    <sheet name="Extra (bonds)" sheetId="2" r:id="rId11"/>
    <sheet name="Comparing Income" sheetId="11" r:id="rId12"/>
    <sheet name="Asset-Financing Mix" sheetId="12" r:id="rId13"/>
    <sheet name="Effective Rate" sheetId="14" r:id="rId14"/>
    <sheet name="NPV"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5" l="1"/>
  <c r="J3" i="15"/>
  <c r="J4" i="15" s="1"/>
  <c r="I3" i="15"/>
  <c r="I4" i="15" s="1"/>
  <c r="H3" i="15"/>
  <c r="G3" i="15"/>
  <c r="F3" i="15"/>
  <c r="E3" i="15"/>
  <c r="D3" i="15"/>
  <c r="D4" i="15" s="1"/>
  <c r="C3" i="15"/>
  <c r="B3" i="15"/>
  <c r="A3" i="15"/>
  <c r="B4" i="15"/>
  <c r="C4" i="15"/>
  <c r="E4" i="15"/>
  <c r="F4" i="15"/>
  <c r="G4" i="15"/>
  <c r="H4" i="15"/>
  <c r="A4" i="15"/>
  <c r="J2" i="15"/>
  <c r="B2" i="15"/>
  <c r="C2" i="15"/>
  <c r="D2" i="15"/>
  <c r="E2" i="15"/>
  <c r="F2" i="15"/>
  <c r="G2" i="15"/>
  <c r="H2" i="15"/>
  <c r="I2" i="15"/>
  <c r="A2" i="15"/>
  <c r="E34" i="3"/>
  <c r="H31" i="3"/>
  <c r="B38" i="4"/>
  <c r="B37" i="4"/>
  <c r="B36" i="4"/>
  <c r="I13" i="5"/>
  <c r="I9" i="5"/>
  <c r="M19" i="5"/>
  <c r="I8" i="5"/>
  <c r="I5" i="5"/>
  <c r="B33" i="1"/>
  <c r="B9" i="12"/>
  <c r="B8" i="12"/>
  <c r="B28" i="6"/>
  <c r="B45" i="6"/>
  <c r="B46" i="6"/>
  <c r="C45" i="6"/>
  <c r="B26" i="6"/>
  <c r="B30" i="6" s="1"/>
  <c r="C28" i="6"/>
  <c r="C26" i="7"/>
  <c r="C5" i="5" s="1"/>
  <c r="C15" i="5" s="1"/>
  <c r="B26" i="7"/>
  <c r="B15" i="7"/>
  <c r="C4" i="5"/>
  <c r="B4" i="5"/>
  <c r="C8" i="5"/>
  <c r="B8" i="5"/>
  <c r="C18" i="5"/>
  <c r="C26" i="6"/>
  <c r="K2" i="9"/>
  <c r="K3" i="9"/>
  <c r="K4" i="9"/>
  <c r="K5" i="9"/>
  <c r="K6" i="9"/>
  <c r="C9" i="5"/>
  <c r="C7" i="5"/>
  <c r="C6" i="5"/>
  <c r="C3" i="5"/>
  <c r="I2" i="9"/>
  <c r="I3" i="9"/>
  <c r="I4" i="9"/>
  <c r="I5" i="9"/>
  <c r="I6" i="9"/>
  <c r="J6" i="9" s="1"/>
  <c r="B7" i="5"/>
  <c r="B6" i="5"/>
  <c r="C25" i="7"/>
  <c r="B5" i="5"/>
  <c r="B25" i="7"/>
  <c r="B3" i="5" s="1"/>
  <c r="B20" i="6"/>
  <c r="AF28" i="6"/>
  <c r="AG28" i="6"/>
  <c r="B20" i="8"/>
  <c r="C23" i="7"/>
  <c r="B4" i="6"/>
  <c r="B35" i="4"/>
  <c r="B31" i="4"/>
  <c r="B29" i="4"/>
  <c r="B25" i="4"/>
  <c r="B27" i="4"/>
  <c r="B26" i="4"/>
  <c r="B23" i="4"/>
  <c r="M6" i="1"/>
  <c r="B100" i="1"/>
  <c r="B41" i="4"/>
  <c r="B45" i="4"/>
  <c r="B44" i="4"/>
  <c r="B12" i="14"/>
  <c r="S61" i="1"/>
  <c r="S54" i="1"/>
  <c r="X28" i="1"/>
  <c r="X23" i="1"/>
  <c r="X24" i="1"/>
  <c r="X25" i="1"/>
  <c r="X26" i="1"/>
  <c r="X27"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S27" i="1"/>
  <c r="S13" i="1"/>
  <c r="B12" i="3"/>
  <c r="S20" i="1"/>
  <c r="J6" i="15" l="1"/>
  <c r="C21" i="5"/>
  <c r="C12" i="5"/>
  <c r="B10" i="14"/>
  <c r="S56" i="1"/>
  <c r="S22" i="1"/>
  <c r="B31" i="1"/>
  <c r="B98" i="1"/>
  <c r="B54" i="3"/>
  <c r="C56" i="3"/>
  <c r="F51" i="3"/>
  <c r="G51" i="3"/>
  <c r="H51" i="3"/>
  <c r="I51" i="3"/>
  <c r="E51" i="3"/>
  <c r="C51" i="3"/>
  <c r="M12" i="3"/>
  <c r="N7" i="3"/>
  <c r="M14" i="3" s="1"/>
  <c r="B4" i="1"/>
  <c r="B28" i="4"/>
  <c r="W11" i="1"/>
  <c r="R52" i="1"/>
  <c r="S52" i="1" s="1"/>
  <c r="S55" i="1" s="1"/>
  <c r="S51" i="1"/>
  <c r="S48" i="1"/>
  <c r="S49" i="1" s="1"/>
  <c r="S47" i="1"/>
  <c r="S17" i="1"/>
  <c r="S14" i="1"/>
  <c r="R18" i="1"/>
  <c r="S18" i="1" s="1"/>
  <c r="S21" i="1" s="1"/>
  <c r="B94" i="1"/>
  <c r="B92" i="1"/>
  <c r="B91" i="1"/>
  <c r="F91" i="1" s="1"/>
  <c r="B27" i="1"/>
  <c r="B25" i="1"/>
  <c r="B24" i="1"/>
  <c r="F24" i="1" s="1"/>
  <c r="B26" i="1"/>
  <c r="C26" i="1" s="1"/>
  <c r="B93" i="1"/>
  <c r="C93" i="1" s="1"/>
  <c r="D3" i="1"/>
  <c r="B3" i="1"/>
  <c r="D6" i="1"/>
  <c r="B6" i="1"/>
  <c r="D5" i="1"/>
  <c r="B5" i="1"/>
  <c r="D4" i="1"/>
  <c r="T27" i="5"/>
  <c r="T28" i="5"/>
  <c r="T29" i="5"/>
  <c r="T30" i="5"/>
  <c r="T18" i="5"/>
  <c r="T20" i="5"/>
  <c r="T21" i="5"/>
  <c r="T22" i="5"/>
  <c r="T23" i="5"/>
  <c r="T24" i="5"/>
  <c r="T19" i="5"/>
  <c r="X12" i="5"/>
  <c r="R12" i="5"/>
  <c r="W21" i="5"/>
  <c r="W20" i="5"/>
  <c r="W19" i="5"/>
  <c r="W16" i="5"/>
  <c r="W14" i="5"/>
  <c r="Y14" i="5" s="1"/>
  <c r="X14" i="5" s="1"/>
  <c r="W12" i="5"/>
  <c r="W11" i="5"/>
  <c r="W13" i="5" s="1"/>
  <c r="X4" i="5"/>
  <c r="Y12" i="5" s="1"/>
  <c r="R28" i="5"/>
  <c r="R27" i="5"/>
  <c r="S21" i="5"/>
  <c r="R21" i="5"/>
  <c r="R19" i="5"/>
  <c r="S4" i="5"/>
  <c r="S14" i="5"/>
  <c r="S23" i="5" s="1"/>
  <c r="R14" i="5"/>
  <c r="R23" i="5" s="1"/>
  <c r="R11" i="5"/>
  <c r="B16" i="13"/>
  <c r="B17" i="13" s="1"/>
  <c r="B5" i="13"/>
  <c r="J7" i="13"/>
  <c r="B3" i="13" s="1"/>
  <c r="S32" i="1" l="1"/>
  <c r="S25" i="1"/>
  <c r="S15" i="1"/>
  <c r="B95" i="1"/>
  <c r="H91" i="1" s="1"/>
  <c r="S66" i="1"/>
  <c r="M18" i="3"/>
  <c r="M19" i="3"/>
  <c r="M13" i="3"/>
  <c r="S53" i="1"/>
  <c r="S58" i="1" s="1"/>
  <c r="S62" i="1" s="1"/>
  <c r="S68" i="1" s="1"/>
  <c r="S19" i="1"/>
  <c r="B29" i="1"/>
  <c r="E74" i="1" s="1"/>
  <c r="B96" i="1"/>
  <c r="E36" i="1"/>
  <c r="B28" i="1"/>
  <c r="W22" i="5"/>
  <c r="R13" i="5"/>
  <c r="R15" i="5" s="1"/>
  <c r="S29" i="5"/>
  <c r="R29" i="5"/>
  <c r="S11" i="5"/>
  <c r="S18" i="5" s="1"/>
  <c r="W15" i="5"/>
  <c r="W17" i="5" s="1"/>
  <c r="W23" i="5" s="1"/>
  <c r="S27" i="5"/>
  <c r="Y16" i="5"/>
  <c r="X16" i="5" s="1"/>
  <c r="S12" i="5"/>
  <c r="R18" i="5"/>
  <c r="R20" i="5" s="1"/>
  <c r="Y11" i="5"/>
  <c r="Y13" i="5" s="1"/>
  <c r="S28" i="5"/>
  <c r="S19" i="5"/>
  <c r="B6" i="13"/>
  <c r="K6" i="13"/>
  <c r="K5" i="13"/>
  <c r="K4" i="13"/>
  <c r="K3" i="13"/>
  <c r="S26" i="1" l="1"/>
  <c r="P80" i="1" s="1"/>
  <c r="S30" i="1"/>
  <c r="S31" i="1" s="1"/>
  <c r="R80" i="1" s="1"/>
  <c r="X14" i="1"/>
  <c r="X15" i="1"/>
  <c r="X18" i="1"/>
  <c r="S24" i="1"/>
  <c r="S28" i="1" s="1"/>
  <c r="S34" i="1" s="1"/>
  <c r="S35" i="1" s="1"/>
  <c r="X20" i="1"/>
  <c r="X16" i="1"/>
  <c r="X17" i="1"/>
  <c r="X19" i="1"/>
  <c r="X13" i="1"/>
  <c r="X22" i="1"/>
  <c r="X21" i="1"/>
  <c r="B97" i="1"/>
  <c r="G91" i="1" s="1"/>
  <c r="AB15" i="1"/>
  <c r="AB23" i="1"/>
  <c r="AB31" i="1"/>
  <c r="AB39" i="1"/>
  <c r="AB47" i="1"/>
  <c r="AB55" i="1"/>
  <c r="AB63" i="1"/>
  <c r="AB71" i="1"/>
  <c r="AB33" i="1"/>
  <c r="AB57" i="1"/>
  <c r="AB73" i="1"/>
  <c r="AB38" i="1"/>
  <c r="AB16" i="1"/>
  <c r="AB24" i="1"/>
  <c r="AB32" i="1"/>
  <c r="AB40" i="1"/>
  <c r="AB48" i="1"/>
  <c r="AB56" i="1"/>
  <c r="AB64" i="1"/>
  <c r="AB72" i="1"/>
  <c r="AB25" i="1"/>
  <c r="AB41" i="1"/>
  <c r="AB49" i="1"/>
  <c r="AB65" i="1"/>
  <c r="AB22" i="1"/>
  <c r="AB62" i="1"/>
  <c r="AB17" i="1"/>
  <c r="AB18" i="1"/>
  <c r="AB26" i="1"/>
  <c r="AB34" i="1"/>
  <c r="AB42" i="1"/>
  <c r="AB50" i="1"/>
  <c r="AB58" i="1"/>
  <c r="AB66" i="1"/>
  <c r="AB74" i="1"/>
  <c r="AB29" i="1"/>
  <c r="AB45" i="1"/>
  <c r="AB69" i="1"/>
  <c r="AB30" i="1"/>
  <c r="AB54" i="1"/>
  <c r="AB13" i="1"/>
  <c r="AB19" i="1"/>
  <c r="AB27" i="1"/>
  <c r="AB35" i="1"/>
  <c r="AB43" i="1"/>
  <c r="AB51" i="1"/>
  <c r="AB59" i="1"/>
  <c r="AB67" i="1"/>
  <c r="AB75" i="1"/>
  <c r="AB21" i="1"/>
  <c r="AB37" i="1"/>
  <c r="AB53" i="1"/>
  <c r="AB61" i="1"/>
  <c r="AB77" i="1"/>
  <c r="AB14" i="1"/>
  <c r="AB70" i="1"/>
  <c r="S59" i="1"/>
  <c r="AB20" i="1"/>
  <c r="AB28" i="1"/>
  <c r="AB36" i="1"/>
  <c r="AB44" i="1"/>
  <c r="AB52" i="1"/>
  <c r="AB60" i="1"/>
  <c r="AB68" i="1"/>
  <c r="AB76" i="1"/>
  <c r="AB46" i="1"/>
  <c r="E67" i="1"/>
  <c r="G67" i="1" s="1"/>
  <c r="E72" i="1"/>
  <c r="E63" i="1"/>
  <c r="G63" i="1" s="1"/>
  <c r="B30" i="1"/>
  <c r="E56" i="1"/>
  <c r="G56" i="1" s="1"/>
  <c r="E68" i="1"/>
  <c r="H68" i="1" s="1"/>
  <c r="E79" i="1"/>
  <c r="G79" i="1" s="1"/>
  <c r="E80" i="1"/>
  <c r="F80" i="1" s="1" a="1"/>
  <c r="F80" i="1" s="1"/>
  <c r="M25" i="3"/>
  <c r="M20" i="3"/>
  <c r="M24" i="3" s="1"/>
  <c r="E92" i="1"/>
  <c r="E30" i="1"/>
  <c r="E98" i="1"/>
  <c r="E91" i="1"/>
  <c r="E31" i="1"/>
  <c r="E94" i="1"/>
  <c r="E32" i="1"/>
  <c r="E93" i="1"/>
  <c r="E25" i="1"/>
  <c r="E33" i="1"/>
  <c r="E95" i="1"/>
  <c r="E26" i="1"/>
  <c r="E34" i="1"/>
  <c r="E96" i="1"/>
  <c r="E27" i="1"/>
  <c r="E97" i="1"/>
  <c r="E28" i="1"/>
  <c r="E29" i="1"/>
  <c r="E62" i="1"/>
  <c r="H62" i="1" s="1"/>
  <c r="E37" i="1"/>
  <c r="G37" i="1" s="1"/>
  <c r="E35" i="1"/>
  <c r="G35" i="1" s="1"/>
  <c r="E78" i="1"/>
  <c r="G78" i="1" s="1"/>
  <c r="E39" i="1"/>
  <c r="E24" i="1"/>
  <c r="E45" i="1"/>
  <c r="G45" i="1" s="1"/>
  <c r="E51" i="1"/>
  <c r="H51" i="1" s="1"/>
  <c r="E43" i="1"/>
  <c r="G43" i="1" s="1"/>
  <c r="E38" i="1"/>
  <c r="G38" i="1" s="1"/>
  <c r="E47" i="1"/>
  <c r="E40" i="1"/>
  <c r="E41" i="1"/>
  <c r="G41" i="1" s="1"/>
  <c r="E65" i="1"/>
  <c r="H65" i="1" s="1"/>
  <c r="E52" i="1"/>
  <c r="H52" i="1" s="1"/>
  <c r="E82" i="1"/>
  <c r="H82" i="1" s="1"/>
  <c r="E42" i="1"/>
  <c r="G42" i="1" s="1"/>
  <c r="E46" i="1"/>
  <c r="G46" i="1" s="1"/>
  <c r="E58" i="1"/>
  <c r="H58" i="1" s="1"/>
  <c r="E49" i="1"/>
  <c r="G49" i="1" s="1"/>
  <c r="E50" i="1"/>
  <c r="G50" i="1" s="1"/>
  <c r="E53" i="1"/>
  <c r="G53" i="1" s="1"/>
  <c r="E66" i="1"/>
  <c r="H66" i="1" s="1"/>
  <c r="E146" i="1"/>
  <c r="H146" i="1" s="1"/>
  <c r="E138" i="1"/>
  <c r="H138" i="1" s="1"/>
  <c r="E130" i="1"/>
  <c r="E122" i="1"/>
  <c r="E113" i="1"/>
  <c r="E106" i="1"/>
  <c r="E145" i="1"/>
  <c r="H145" i="1" s="1"/>
  <c r="E137" i="1"/>
  <c r="H137" i="1" s="1"/>
  <c r="E129" i="1"/>
  <c r="E121" i="1"/>
  <c r="E114" i="1"/>
  <c r="E105" i="1"/>
  <c r="E99" i="1"/>
  <c r="E144" i="1"/>
  <c r="H144" i="1" s="1"/>
  <c r="E136" i="1"/>
  <c r="H136" i="1" s="1"/>
  <c r="E128" i="1"/>
  <c r="E120" i="1"/>
  <c r="E112" i="1"/>
  <c r="E104" i="1"/>
  <c r="E131" i="1"/>
  <c r="H131" i="1" s="1"/>
  <c r="E143" i="1"/>
  <c r="H143" i="1" s="1"/>
  <c r="E135" i="1"/>
  <c r="H135" i="1" s="1"/>
  <c r="E127" i="1"/>
  <c r="E119" i="1"/>
  <c r="E111" i="1"/>
  <c r="E103" i="1"/>
  <c r="E115" i="1"/>
  <c r="E142" i="1"/>
  <c r="H142" i="1" s="1"/>
  <c r="E134" i="1"/>
  <c r="H134" i="1" s="1"/>
  <c r="E126" i="1"/>
  <c r="E118" i="1"/>
  <c r="E110" i="1"/>
  <c r="E102" i="1"/>
  <c r="E123" i="1"/>
  <c r="E149" i="1"/>
  <c r="H149" i="1" s="1"/>
  <c r="E141" i="1"/>
  <c r="H141" i="1" s="1"/>
  <c r="E133" i="1"/>
  <c r="H133" i="1" s="1"/>
  <c r="E125" i="1"/>
  <c r="E117" i="1"/>
  <c r="E109" i="1"/>
  <c r="E101" i="1"/>
  <c r="E147" i="1"/>
  <c r="H147" i="1" s="1"/>
  <c r="E107" i="1"/>
  <c r="E148" i="1"/>
  <c r="H148" i="1" s="1"/>
  <c r="E140" i="1"/>
  <c r="H140" i="1" s="1"/>
  <c r="E132" i="1"/>
  <c r="H132" i="1" s="1"/>
  <c r="E124" i="1"/>
  <c r="E116" i="1"/>
  <c r="E108" i="1"/>
  <c r="E100" i="1"/>
  <c r="E139" i="1"/>
  <c r="H139" i="1" s="1"/>
  <c r="E81" i="1"/>
  <c r="H81" i="1" s="1"/>
  <c r="E61" i="1"/>
  <c r="G61" i="1" s="1"/>
  <c r="E77" i="1"/>
  <c r="G77" i="1" s="1"/>
  <c r="E44" i="1"/>
  <c r="G44" i="1" s="1"/>
  <c r="E57" i="1"/>
  <c r="H57" i="1" s="1"/>
  <c r="E70" i="1"/>
  <c r="G70" i="1" s="1"/>
  <c r="E59" i="1"/>
  <c r="H59" i="1" s="1"/>
  <c r="E60" i="1"/>
  <c r="G60" i="1" s="1"/>
  <c r="E75" i="1"/>
  <c r="G75" i="1" s="1"/>
  <c r="E54" i="1"/>
  <c r="G54" i="1" s="1"/>
  <c r="E55" i="1"/>
  <c r="G55" i="1" s="1"/>
  <c r="E69" i="1"/>
  <c r="H69" i="1" s="1"/>
  <c r="E64" i="1"/>
  <c r="G64" i="1" s="1"/>
  <c r="E71" i="1"/>
  <c r="G71" i="1" s="1"/>
  <c r="E48" i="1"/>
  <c r="G48" i="1" s="1"/>
  <c r="E73" i="1"/>
  <c r="H73" i="1" s="1"/>
  <c r="E76" i="1"/>
  <c r="G76" i="1" s="1"/>
  <c r="H56" i="1"/>
  <c r="H63" i="1"/>
  <c r="G68" i="1"/>
  <c r="H67" i="1"/>
  <c r="H53" i="1"/>
  <c r="G52" i="1"/>
  <c r="J82" i="1" a="1"/>
  <c r="J82" i="1" s="1"/>
  <c r="G72" i="1"/>
  <c r="H72" i="1"/>
  <c r="G66" i="1"/>
  <c r="H74" i="1"/>
  <c r="G74" i="1"/>
  <c r="F72" i="1" a="1"/>
  <c r="F72" i="1" s="1"/>
  <c r="I72" i="1" a="1"/>
  <c r="I72" i="1" s="1"/>
  <c r="J72" i="1" a="1"/>
  <c r="J72" i="1" s="1"/>
  <c r="J74" i="1" a="1"/>
  <c r="J74" i="1" s="1"/>
  <c r="I74" i="1" a="1"/>
  <c r="I74" i="1" s="1"/>
  <c r="F74" i="1" a="1"/>
  <c r="F74" i="1" s="1"/>
  <c r="F82" i="1" a="1"/>
  <c r="F82" i="1" s="1"/>
  <c r="I82" i="1" a="1"/>
  <c r="I82" i="1" s="1"/>
  <c r="J80" i="1" a="1"/>
  <c r="J80" i="1" s="1"/>
  <c r="H24" i="1"/>
  <c r="S13" i="5"/>
  <c r="S15" i="5" s="1"/>
  <c r="S20" i="5"/>
  <c r="Y15" i="5"/>
  <c r="X13" i="5"/>
  <c r="R22" i="5"/>
  <c r="R24" i="5" s="1"/>
  <c r="R30" i="5" s="1"/>
  <c r="K7" i="13"/>
  <c r="X79" i="1" l="1"/>
  <c r="G62" i="1"/>
  <c r="J76" i="1" a="1"/>
  <c r="J76" i="1" s="1"/>
  <c r="F73" i="1" a="1"/>
  <c r="F73" i="1" s="1"/>
  <c r="G93" i="1"/>
  <c r="S64" i="1"/>
  <c r="S65" i="1" s="1"/>
  <c r="S69" i="1" s="1"/>
  <c r="S60" i="1"/>
  <c r="AB79" i="1"/>
  <c r="G26" i="1"/>
  <c r="G24" i="1"/>
  <c r="I73" i="1" a="1"/>
  <c r="I73" i="1" s="1"/>
  <c r="G73" i="1"/>
  <c r="J73" i="1" a="1"/>
  <c r="J73" i="1" s="1"/>
  <c r="H60" i="1"/>
  <c r="I80" i="1" a="1"/>
  <c r="I80" i="1" s="1"/>
  <c r="H80" i="1"/>
  <c r="F75" i="1" a="1"/>
  <c r="F75" i="1" s="1"/>
  <c r="H64" i="1"/>
  <c r="F79" i="1" a="1"/>
  <c r="F79" i="1" s="1"/>
  <c r="G58" i="1"/>
  <c r="H76" i="1"/>
  <c r="H75" i="1"/>
  <c r="J81" i="1" a="1"/>
  <c r="J81" i="1" s="1"/>
  <c r="H54" i="1"/>
  <c r="F81" i="1" a="1"/>
  <c r="F81" i="1" s="1"/>
  <c r="J79" i="1" a="1"/>
  <c r="J79" i="1" s="1"/>
  <c r="G69" i="1"/>
  <c r="I81" i="1" a="1"/>
  <c r="I81" i="1" s="1"/>
  <c r="I79" i="1" a="1"/>
  <c r="I79" i="1" s="1"/>
  <c r="H78" i="1"/>
  <c r="H61" i="1"/>
  <c r="I75" i="1" a="1"/>
  <c r="I75" i="1" s="1"/>
  <c r="I78" i="1" a="1"/>
  <c r="I78" i="1" s="1"/>
  <c r="H50" i="1"/>
  <c r="H49" i="1"/>
  <c r="I76" i="1" a="1"/>
  <c r="I76" i="1" s="1"/>
  <c r="J75" i="1" a="1"/>
  <c r="J75" i="1" s="1"/>
  <c r="J78" i="1" a="1"/>
  <c r="J78" i="1" s="1"/>
  <c r="F76" i="1" a="1"/>
  <c r="F76" i="1" s="1"/>
  <c r="F78" i="1" a="1"/>
  <c r="F78" i="1" s="1"/>
  <c r="H70" i="1"/>
  <c r="H79" i="1"/>
  <c r="H48" i="1"/>
  <c r="G59" i="1"/>
  <c r="G80" i="1"/>
  <c r="G81" i="1"/>
  <c r="G51" i="1"/>
  <c r="G82" i="1"/>
  <c r="G57" i="1"/>
  <c r="N27" i="3"/>
  <c r="G144" i="1"/>
  <c r="G97" i="1"/>
  <c r="G135" i="1"/>
  <c r="G106" i="1"/>
  <c r="G108" i="1"/>
  <c r="G101" i="1"/>
  <c r="G102" i="1"/>
  <c r="G111" i="1"/>
  <c r="G120" i="1"/>
  <c r="G129" i="1"/>
  <c r="I91" i="1" a="1"/>
  <c r="I91" i="1" s="1"/>
  <c r="J91" i="1" s="1" a="1"/>
  <c r="J91" i="1" s="1"/>
  <c r="F92" i="1" s="1" a="1"/>
  <c r="F92" i="1" s="1"/>
  <c r="H92" i="1" s="1"/>
  <c r="G132" i="1"/>
  <c r="G125" i="1"/>
  <c r="G126" i="1"/>
  <c r="G116" i="1"/>
  <c r="G109" i="1"/>
  <c r="G110" i="1"/>
  <c r="G119" i="1"/>
  <c r="G128" i="1"/>
  <c r="G137" i="1"/>
  <c r="H55" i="1"/>
  <c r="G140" i="1"/>
  <c r="G133" i="1"/>
  <c r="G134" i="1"/>
  <c r="G143" i="1"/>
  <c r="G99" i="1"/>
  <c r="G113" i="1"/>
  <c r="F77" i="1" a="1"/>
  <c r="F77" i="1" s="1"/>
  <c r="G65" i="1"/>
  <c r="H71" i="1"/>
  <c r="G148" i="1"/>
  <c r="G141" i="1"/>
  <c r="G142" i="1"/>
  <c r="G131" i="1"/>
  <c r="G105" i="1"/>
  <c r="G122" i="1"/>
  <c r="G96" i="1"/>
  <c r="G94" i="1"/>
  <c r="I77" i="1" a="1"/>
  <c r="I77" i="1" s="1"/>
  <c r="G139" i="1"/>
  <c r="G107" i="1"/>
  <c r="G149" i="1"/>
  <c r="G115" i="1"/>
  <c r="G104" i="1"/>
  <c r="G114" i="1"/>
  <c r="G130" i="1"/>
  <c r="G100" i="1"/>
  <c r="G147" i="1"/>
  <c r="G123" i="1"/>
  <c r="G103" i="1"/>
  <c r="G112" i="1"/>
  <c r="G121" i="1"/>
  <c r="G138" i="1"/>
  <c r="G146" i="1"/>
  <c r="G95" i="1"/>
  <c r="G98" i="1"/>
  <c r="H77" i="1"/>
  <c r="J77" i="1" a="1"/>
  <c r="J77" i="1" s="1"/>
  <c r="G124" i="1"/>
  <c r="G117" i="1"/>
  <c r="G118" i="1"/>
  <c r="G127" i="1"/>
  <c r="G136" i="1"/>
  <c r="G145" i="1"/>
  <c r="G92" i="1"/>
  <c r="G30" i="1"/>
  <c r="G25" i="1"/>
  <c r="G32" i="1"/>
  <c r="G33" i="1"/>
  <c r="G29" i="1"/>
  <c r="G31" i="1"/>
  <c r="G27" i="1"/>
  <c r="G28" i="1"/>
  <c r="G40" i="1"/>
  <c r="G36" i="1"/>
  <c r="G39" i="1"/>
  <c r="G34" i="1"/>
  <c r="G47" i="1"/>
  <c r="X15" i="5"/>
  <c r="Y17" i="5"/>
  <c r="X17" i="5" s="1"/>
  <c r="S22" i="5"/>
  <c r="S24" i="5" s="1"/>
  <c r="S30" i="5" s="1"/>
  <c r="S80" i="1" l="1"/>
  <c r="S81" i="1"/>
  <c r="Q81" i="1"/>
  <c r="Q80" i="1"/>
  <c r="B112" i="1"/>
  <c r="S79" i="1" s="1"/>
  <c r="H7" i="1" s="1"/>
  <c r="I92" i="1" a="1"/>
  <c r="I92" i="1" s="1"/>
  <c r="J92" i="1" s="1" a="1"/>
  <c r="J92" i="1" s="1"/>
  <c r="F93" i="1" s="1" a="1"/>
  <c r="F93" i="1" s="1"/>
  <c r="H93" i="1" s="1"/>
  <c r="I93" i="1" l="1" a="1"/>
  <c r="I93" i="1" s="1"/>
  <c r="J93" i="1" s="1" a="1"/>
  <c r="J93" i="1" s="1"/>
  <c r="F94" i="1" s="1" a="1"/>
  <c r="F94" i="1" s="1"/>
  <c r="H94" i="1" s="1"/>
  <c r="I94" i="1" l="1" a="1"/>
  <c r="I94" i="1" s="1"/>
  <c r="J94" i="1" s="1" a="1"/>
  <c r="J94" i="1" s="1"/>
  <c r="F95" i="1" s="1" a="1"/>
  <c r="F95" i="1" s="1"/>
  <c r="H95" i="1" l="1"/>
  <c r="I95" i="1" s="1" a="1"/>
  <c r="I95" i="1" s="1"/>
  <c r="J95" i="1" s="1" a="1"/>
  <c r="J95" i="1" s="1"/>
  <c r="F96" i="1" s="1" a="1"/>
  <c r="F96" i="1" s="1"/>
  <c r="H96" i="1" s="1"/>
  <c r="I96" i="1" l="1" a="1"/>
  <c r="I96" i="1" s="1"/>
  <c r="J96" i="1" s="1" a="1"/>
  <c r="J96" i="1" s="1"/>
  <c r="F97" i="1" s="1" a="1"/>
  <c r="F97" i="1" s="1"/>
  <c r="H97" i="1" s="1"/>
  <c r="I97" i="1" l="1" a="1"/>
  <c r="I97" i="1" s="1"/>
  <c r="J97" i="1" s="1" a="1"/>
  <c r="J97" i="1" s="1"/>
  <c r="F98" i="1" s="1" a="1"/>
  <c r="F98" i="1" s="1"/>
  <c r="H98" i="1" l="1"/>
  <c r="I98" i="1" s="1" a="1"/>
  <c r="I98" i="1" s="1"/>
  <c r="J98" i="1" s="1" a="1"/>
  <c r="J98" i="1" s="1"/>
  <c r="F99" i="1" s="1" a="1"/>
  <c r="F99" i="1" s="1"/>
  <c r="H99" i="1" s="1"/>
  <c r="I99" i="1" s="1" a="1"/>
  <c r="I99" i="1" s="1"/>
  <c r="J99" i="1" s="1" a="1"/>
  <c r="J99" i="1" s="1"/>
  <c r="F100" i="1" s="1" a="1"/>
  <c r="F100" i="1" s="1"/>
  <c r="H100" i="1" s="1"/>
  <c r="I100" i="1" l="1" a="1"/>
  <c r="I100" i="1" s="1"/>
  <c r="J100" i="1" s="1" a="1"/>
  <c r="J100" i="1" s="1"/>
  <c r="F101" i="1" s="1" a="1"/>
  <c r="F101" i="1" s="1"/>
  <c r="H101" i="1" s="1"/>
  <c r="I101" i="1" l="1" a="1"/>
  <c r="I101" i="1" s="1"/>
  <c r="J101" i="1" s="1" a="1"/>
  <c r="J101" i="1" s="1"/>
  <c r="F102" i="1" s="1" a="1"/>
  <c r="F102" i="1" s="1"/>
  <c r="H102" i="1" s="1"/>
  <c r="I102" i="1" l="1" a="1"/>
  <c r="I102" i="1" s="1"/>
  <c r="J102" i="1" s="1" a="1"/>
  <c r="J102" i="1" s="1"/>
  <c r="F103" i="1" s="1" a="1"/>
  <c r="F103" i="1" s="1"/>
  <c r="H103" i="1" s="1"/>
  <c r="I103" i="1" l="1" a="1"/>
  <c r="I103" i="1" s="1"/>
  <c r="J103" i="1" s="1" a="1"/>
  <c r="J103" i="1" s="1"/>
  <c r="F104" i="1" s="1" a="1"/>
  <c r="F104" i="1" s="1"/>
  <c r="H104" i="1" s="1"/>
  <c r="I104" i="1" l="1" a="1"/>
  <c r="I104" i="1" s="1"/>
  <c r="J104" i="1" s="1" a="1"/>
  <c r="J104" i="1" s="1"/>
  <c r="F105" i="1" s="1" a="1"/>
  <c r="F105" i="1" s="1"/>
  <c r="H105" i="1" s="1"/>
  <c r="I105" i="1" l="1" a="1"/>
  <c r="I105" i="1" s="1"/>
  <c r="J105" i="1" s="1" a="1"/>
  <c r="J105" i="1" s="1"/>
  <c r="F106" i="1" s="1" a="1"/>
  <c r="F106" i="1" s="1"/>
  <c r="H106" i="1" s="1"/>
  <c r="I106" i="1" l="1" a="1"/>
  <c r="I106" i="1" s="1"/>
  <c r="J106" i="1" s="1" a="1"/>
  <c r="J106" i="1" s="1"/>
  <c r="F107" i="1" s="1" a="1"/>
  <c r="F107" i="1" s="1"/>
  <c r="H107" i="1" s="1"/>
  <c r="I107" i="1" l="1" a="1"/>
  <c r="I107" i="1" s="1"/>
  <c r="J107" i="1" s="1" a="1"/>
  <c r="J107" i="1" s="1"/>
  <c r="F108" i="1" s="1" a="1"/>
  <c r="F108" i="1" s="1"/>
  <c r="H108" i="1" s="1"/>
  <c r="I108" i="1" l="1" a="1"/>
  <c r="I108" i="1" s="1"/>
  <c r="J108" i="1" s="1" a="1"/>
  <c r="J108" i="1" s="1"/>
  <c r="F109" i="1" s="1" a="1"/>
  <c r="F109" i="1" s="1"/>
  <c r="H109" i="1" s="1"/>
  <c r="I109" i="1" l="1" a="1"/>
  <c r="I109" i="1" s="1"/>
  <c r="J109" i="1" s="1" a="1"/>
  <c r="J109" i="1" s="1"/>
  <c r="F110" i="1" s="1" a="1"/>
  <c r="F110" i="1" s="1"/>
  <c r="H110" i="1" s="1"/>
  <c r="I110" i="1" l="1" a="1"/>
  <c r="I110" i="1" s="1"/>
  <c r="J110" i="1" s="1" a="1"/>
  <c r="J110" i="1" s="1"/>
  <c r="F111" i="1" s="1" a="1"/>
  <c r="F111" i="1" s="1"/>
  <c r="H111" i="1" s="1"/>
  <c r="I111" i="1" l="1" a="1"/>
  <c r="I111" i="1" s="1"/>
  <c r="J111" i="1" s="1" a="1"/>
  <c r="J111" i="1" s="1"/>
  <c r="F112" i="1" s="1" a="1"/>
  <c r="F112" i="1" s="1"/>
  <c r="H112" i="1" s="1"/>
  <c r="I112" i="1" l="1" a="1"/>
  <c r="I112" i="1" s="1"/>
  <c r="J112" i="1" s="1" a="1"/>
  <c r="J112" i="1" s="1"/>
  <c r="F113" i="1" s="1" a="1"/>
  <c r="F113" i="1" s="1"/>
  <c r="H113" i="1" s="1"/>
  <c r="I113" i="1" l="1" a="1"/>
  <c r="I113" i="1" s="1"/>
  <c r="J113" i="1" s="1" a="1"/>
  <c r="J113" i="1" s="1"/>
  <c r="F114" i="1" s="1" a="1"/>
  <c r="F114" i="1" s="1"/>
  <c r="H114" i="1" s="1"/>
  <c r="I114" i="1" l="1" a="1"/>
  <c r="I114" i="1" s="1"/>
  <c r="J114" i="1" s="1" a="1"/>
  <c r="J114" i="1" s="1"/>
  <c r="F115" i="1" s="1" a="1"/>
  <c r="F115" i="1" s="1"/>
  <c r="H115" i="1" s="1"/>
  <c r="I115" i="1" l="1" a="1"/>
  <c r="I115" i="1" s="1"/>
  <c r="J115" i="1" s="1" a="1"/>
  <c r="J115" i="1" s="1"/>
  <c r="F116" i="1" s="1" a="1"/>
  <c r="F116" i="1" s="1"/>
  <c r="H116" i="1" s="1"/>
  <c r="I116" i="1" l="1" a="1"/>
  <c r="I116" i="1" s="1"/>
  <c r="J116" i="1" s="1" a="1"/>
  <c r="J116" i="1" s="1"/>
  <c r="F117" i="1" s="1" a="1"/>
  <c r="F117" i="1" s="1"/>
  <c r="H117" i="1" l="1"/>
  <c r="I117" i="1" s="1" a="1"/>
  <c r="I117" i="1" s="1"/>
  <c r="J117" i="1" s="1" a="1"/>
  <c r="J117" i="1" s="1"/>
  <c r="F118" i="1" s="1" a="1"/>
  <c r="F118" i="1" s="1"/>
  <c r="H118" i="1" s="1"/>
  <c r="I118" i="1" s="1" a="1"/>
  <c r="I118" i="1" s="1"/>
  <c r="J118" i="1" s="1" a="1"/>
  <c r="J118" i="1" s="1"/>
  <c r="F119" i="1" s="1" a="1"/>
  <c r="F119" i="1" s="1"/>
  <c r="H119" i="1" s="1"/>
  <c r="I119" i="1" l="1" a="1"/>
  <c r="I119" i="1" s="1"/>
  <c r="J119" i="1" s="1" a="1"/>
  <c r="J119" i="1" s="1"/>
  <c r="F120" i="1" s="1" a="1"/>
  <c r="F120" i="1" s="1"/>
  <c r="H120" i="1" s="1"/>
  <c r="I120" i="1" l="1" a="1"/>
  <c r="I120" i="1" s="1"/>
  <c r="J120" i="1" s="1" a="1"/>
  <c r="J120" i="1" s="1"/>
  <c r="F121" i="1" s="1" a="1"/>
  <c r="F121" i="1" s="1"/>
  <c r="H121" i="1" s="1"/>
  <c r="I121" i="1" l="1" a="1"/>
  <c r="I121" i="1" s="1"/>
  <c r="J121" i="1" s="1" a="1"/>
  <c r="J121" i="1" s="1"/>
  <c r="F122" i="1" s="1" a="1"/>
  <c r="F122" i="1" s="1"/>
  <c r="H122" i="1" s="1"/>
  <c r="I131" i="1" a="1"/>
  <c r="I131" i="1" s="1"/>
  <c r="J131" i="1" s="1" a="1"/>
  <c r="J131" i="1" s="1"/>
  <c r="F132" i="1" s="1" a="1"/>
  <c r="F132" i="1" s="1"/>
  <c r="I132" i="1" s="1" a="1"/>
  <c r="I132" i="1" s="1"/>
  <c r="J132" i="1" s="1" a="1"/>
  <c r="J132" i="1" s="1"/>
  <c r="F133" i="1" s="1" a="1"/>
  <c r="F133" i="1" s="1"/>
  <c r="I133" i="1" s="1" a="1"/>
  <c r="I133" i="1" s="1"/>
  <c r="J133" i="1" s="1" a="1"/>
  <c r="J133" i="1" s="1"/>
  <c r="F134" i="1" s="1" a="1"/>
  <c r="F134" i="1" s="1"/>
  <c r="I134" i="1" s="1" a="1"/>
  <c r="I134" i="1" s="1"/>
  <c r="J134" i="1" s="1" a="1"/>
  <c r="J134" i="1" s="1"/>
  <c r="F135" i="1" s="1" a="1"/>
  <c r="F135" i="1" s="1"/>
  <c r="I135" i="1" s="1" a="1"/>
  <c r="I135" i="1" s="1"/>
  <c r="J135" i="1" s="1" a="1"/>
  <c r="J135" i="1" s="1"/>
  <c r="F136" i="1" s="1" a="1"/>
  <c r="F136" i="1" s="1"/>
  <c r="I136" i="1" s="1" a="1"/>
  <c r="I136" i="1" s="1"/>
  <c r="J136" i="1" s="1" a="1"/>
  <c r="J136" i="1" s="1"/>
  <c r="F137" i="1" s="1" a="1"/>
  <c r="F137" i="1" s="1"/>
  <c r="I137" i="1" s="1" a="1"/>
  <c r="I137" i="1" s="1"/>
  <c r="J137" i="1" s="1" a="1"/>
  <c r="J137" i="1" s="1"/>
  <c r="F138" i="1" s="1" a="1"/>
  <c r="F138" i="1" s="1"/>
  <c r="I138" i="1" s="1" a="1"/>
  <c r="I138" i="1" s="1"/>
  <c r="J138" i="1" s="1" a="1"/>
  <c r="J138" i="1" s="1"/>
  <c r="F139" i="1" s="1" a="1"/>
  <c r="F139" i="1" s="1"/>
  <c r="I139" i="1" s="1" a="1"/>
  <c r="I139" i="1" s="1"/>
  <c r="J139" i="1" s="1" a="1"/>
  <c r="J139" i="1" s="1"/>
  <c r="F140" i="1" s="1" a="1"/>
  <c r="F140" i="1" s="1"/>
  <c r="I140" i="1" s="1" a="1"/>
  <c r="I140" i="1" s="1"/>
  <c r="J140" i="1" s="1" a="1"/>
  <c r="J140" i="1" s="1"/>
  <c r="F141" i="1" s="1" a="1"/>
  <c r="F141" i="1" s="1"/>
  <c r="I122" i="1" l="1" a="1"/>
  <c r="I122" i="1" s="1"/>
  <c r="J122" i="1" s="1" a="1"/>
  <c r="J122" i="1" s="1"/>
  <c r="F123" i="1" s="1" a="1"/>
  <c r="F123" i="1" s="1"/>
  <c r="H123" i="1" s="1"/>
  <c r="I141" i="1" a="1"/>
  <c r="I141" i="1" s="1"/>
  <c r="J141" i="1" s="1" a="1"/>
  <c r="J141" i="1" s="1"/>
  <c r="F142" i="1" s="1" a="1"/>
  <c r="F142" i="1" s="1"/>
  <c r="I142" i="1" s="1" a="1"/>
  <c r="I142" i="1" s="1"/>
  <c r="J142" i="1" s="1" a="1"/>
  <c r="J142" i="1" s="1"/>
  <c r="F143" i="1" s="1" a="1"/>
  <c r="F143" i="1" s="1"/>
  <c r="I143" i="1" s="1" a="1"/>
  <c r="I143" i="1" s="1"/>
  <c r="J143" i="1" s="1" a="1"/>
  <c r="J143" i="1" s="1"/>
  <c r="F144" i="1" s="1" a="1"/>
  <c r="F144" i="1" s="1"/>
  <c r="I144" i="1" s="1" a="1"/>
  <c r="I144" i="1" s="1"/>
  <c r="J144" i="1" s="1" a="1"/>
  <c r="J144" i="1" s="1"/>
  <c r="F145" i="1" s="1" a="1"/>
  <c r="F145" i="1" s="1"/>
  <c r="I145" i="1" s="1" a="1"/>
  <c r="I145" i="1" s="1"/>
  <c r="J145" i="1" s="1" a="1"/>
  <c r="J145" i="1" s="1"/>
  <c r="F146" i="1" s="1" a="1"/>
  <c r="F146" i="1" s="1"/>
  <c r="I146" i="1" s="1" a="1"/>
  <c r="I146" i="1" s="1"/>
  <c r="J146" i="1" s="1" a="1"/>
  <c r="J146" i="1" s="1"/>
  <c r="F147" i="1" s="1" a="1"/>
  <c r="F147" i="1" s="1"/>
  <c r="I147" i="1" s="1" a="1"/>
  <c r="I147" i="1" s="1"/>
  <c r="J147" i="1" s="1" a="1"/>
  <c r="J147" i="1" s="1"/>
  <c r="F148" i="1" s="1" a="1"/>
  <c r="F148" i="1" s="1"/>
  <c r="I148" i="1" s="1" a="1"/>
  <c r="I148" i="1" s="1"/>
  <c r="J148" i="1" s="1" a="1"/>
  <c r="J148" i="1" s="1"/>
  <c r="F149" i="1" s="1" a="1"/>
  <c r="F149" i="1" s="1"/>
  <c r="I123" i="1" l="1" a="1"/>
  <c r="I123" i="1" s="1"/>
  <c r="J123" i="1" s="1" a="1"/>
  <c r="J123" i="1" s="1"/>
  <c r="F124" i="1" s="1" a="1"/>
  <c r="F124" i="1" s="1"/>
  <c r="H124" i="1" s="1"/>
  <c r="I149" i="1" a="1"/>
  <c r="I149" i="1" s="1"/>
  <c r="J149" i="1" s="1" a="1"/>
  <c r="J149" i="1" s="1"/>
  <c r="I124" i="1" l="1" a="1"/>
  <c r="I124" i="1" s="1"/>
  <c r="J124" i="1" s="1" a="1"/>
  <c r="J124" i="1" s="1"/>
  <c r="F125" i="1" s="1" a="1"/>
  <c r="F125" i="1" s="1"/>
  <c r="H125" i="1" l="1"/>
  <c r="I125" i="1" s="1" a="1"/>
  <c r="I125" i="1" s="1"/>
  <c r="J125" i="1" s="1" a="1"/>
  <c r="J125" i="1" s="1"/>
  <c r="F126" i="1" s="1" a="1"/>
  <c r="F126" i="1" s="1"/>
  <c r="H126" i="1" l="1"/>
  <c r="I126" i="1" s="1" a="1"/>
  <c r="I126" i="1" s="1"/>
  <c r="J126" i="1" s="1" a="1"/>
  <c r="J126" i="1" s="1"/>
  <c r="F127" i="1" s="1" a="1"/>
  <c r="F127" i="1" s="1"/>
  <c r="H127" i="1" s="1"/>
  <c r="I127" i="1" s="1" a="1"/>
  <c r="I127" i="1" s="1"/>
  <c r="J127" i="1" s="1" a="1"/>
  <c r="J127" i="1" s="1"/>
  <c r="F128" i="1" s="1" a="1"/>
  <c r="F128" i="1" s="1"/>
  <c r="H128" i="1" s="1"/>
  <c r="I128" i="1" s="1" a="1"/>
  <c r="I128" i="1" s="1"/>
  <c r="J128" i="1" s="1" a="1"/>
  <c r="J128" i="1" s="1"/>
  <c r="F129" i="1" s="1" a="1"/>
  <c r="F129" i="1" s="1"/>
  <c r="H129" i="1" s="1"/>
  <c r="I129" i="1" l="1" a="1"/>
  <c r="I129" i="1" s="1"/>
  <c r="J129" i="1" s="1" a="1"/>
  <c r="J129" i="1" s="1"/>
  <c r="F130" i="1" s="1" a="1"/>
  <c r="F130" i="1" s="1"/>
  <c r="H130" i="1" s="1"/>
  <c r="B110" i="1" l="1"/>
  <c r="B111" i="1" l="1"/>
  <c r="B114" i="1" s="1"/>
  <c r="Q79" i="1"/>
  <c r="H6" i="1"/>
  <c r="I130" i="1" a="1"/>
  <c r="I130" i="1" s="1"/>
  <c r="J130" i="1" s="1" a="1"/>
  <c r="J130" i="1" s="1"/>
  <c r="F131" i="1" s="1" a="1"/>
  <c r="F131" i="1" s="1"/>
  <c r="F4" i="12" l="1"/>
  <c r="E8" i="12" s="1"/>
  <c r="E14" i="12" s="1"/>
  <c r="B4" i="12"/>
  <c r="B15" i="12" s="1"/>
  <c r="G10" i="11"/>
  <c r="G11" i="11" s="1"/>
  <c r="G14" i="11" s="1"/>
  <c r="H10" i="11"/>
  <c r="H11" i="11" s="1"/>
  <c r="H14" i="11" s="1"/>
  <c r="C10" i="11"/>
  <c r="B10" i="11"/>
  <c r="H4" i="11"/>
  <c r="H6" i="11" s="1"/>
  <c r="C4" i="11"/>
  <c r="C5" i="11"/>
  <c r="G4" i="11"/>
  <c r="G6" i="11" s="1"/>
  <c r="B4" i="11"/>
  <c r="B5" i="11"/>
  <c r="C25" i="6"/>
  <c r="C23" i="6"/>
  <c r="B20" i="7"/>
  <c r="C19" i="6"/>
  <c r="B19" i="6"/>
  <c r="C4" i="6"/>
  <c r="C5" i="6"/>
  <c r="C8" i="6"/>
  <c r="C9" i="6"/>
  <c r="C10" i="6"/>
  <c r="C11" i="6"/>
  <c r="C13" i="6"/>
  <c r="C14" i="6"/>
  <c r="C16" i="6"/>
  <c r="C17" i="6"/>
  <c r="C20" i="6"/>
  <c r="C21" i="6"/>
  <c r="B21" i="6"/>
  <c r="B21" i="7"/>
  <c r="C22" i="6"/>
  <c r="C21" i="7"/>
  <c r="B4" i="10"/>
  <c r="B17" i="6"/>
  <c r="B16" i="6"/>
  <c r="B14" i="6"/>
  <c r="B36" i="6" s="1"/>
  <c r="B13" i="6"/>
  <c r="B40" i="6" s="1"/>
  <c r="AF33" i="6"/>
  <c r="B11" i="6"/>
  <c r="B35" i="6" s="1"/>
  <c r="B10" i="6"/>
  <c r="B9" i="6"/>
  <c r="B8" i="6"/>
  <c r="B37" i="6" s="1"/>
  <c r="B5" i="6"/>
  <c r="H21" i="8"/>
  <c r="G21" i="8"/>
  <c r="C6" i="10"/>
  <c r="B6" i="10"/>
  <c r="AF44" i="6"/>
  <c r="B74" i="8"/>
  <c r="C74" i="8"/>
  <c r="B68" i="8"/>
  <c r="C68" i="8"/>
  <c r="B63" i="8"/>
  <c r="B80" i="8" s="1"/>
  <c r="C63" i="8"/>
  <c r="B52" i="8"/>
  <c r="B60" i="8" s="1"/>
  <c r="C52" i="8"/>
  <c r="C60" i="8" s="1"/>
  <c r="C40" i="8"/>
  <c r="C34" i="8"/>
  <c r="B34" i="8"/>
  <c r="B40" i="8" s="1"/>
  <c r="C28" i="8"/>
  <c r="B28" i="8"/>
  <c r="B21" i="5"/>
  <c r="C5" i="8"/>
  <c r="B5" i="8"/>
  <c r="C12" i="8"/>
  <c r="B12" i="8"/>
  <c r="C23" i="8"/>
  <c r="B23" i="8"/>
  <c r="C20" i="8"/>
  <c r="C20" i="7"/>
  <c r="C15" i="7"/>
  <c r="AF46" i="6"/>
  <c r="AF45" i="6"/>
  <c r="AF37" i="6"/>
  <c r="AF36" i="6"/>
  <c r="AF30" i="6"/>
  <c r="AF35" i="6"/>
  <c r="AF13" i="6"/>
  <c r="AF29" i="6"/>
  <c r="AF6" i="6"/>
  <c r="AF34" i="6" s="1"/>
  <c r="B15" i="5"/>
  <c r="B12" i="5"/>
  <c r="B50" i="4"/>
  <c r="B47" i="4"/>
  <c r="B43" i="4"/>
  <c r="B42" i="4"/>
  <c r="B8" i="4"/>
  <c r="B22" i="4"/>
  <c r="C9" i="4"/>
  <c r="B11" i="4" s="1"/>
  <c r="B8" i="2"/>
  <c r="J26" i="3"/>
  <c r="C7" i="3"/>
  <c r="B13" i="3" s="1"/>
  <c r="B44" i="1"/>
  <c r="R81" i="1" s="1"/>
  <c r="F8" i="2"/>
  <c r="F6" i="2"/>
  <c r="F5" i="2"/>
  <c r="B6" i="2"/>
  <c r="B5" i="2"/>
  <c r="R2" i="1"/>
  <c r="C40" i="6" l="1"/>
  <c r="B47" i="6"/>
  <c r="B44" i="6"/>
  <c r="B33" i="6"/>
  <c r="B34" i="6"/>
  <c r="B23" i="7"/>
  <c r="B23" i="6"/>
  <c r="B5" i="10"/>
  <c r="B41" i="6"/>
  <c r="C29" i="6"/>
  <c r="C30" i="6"/>
  <c r="C41" i="6"/>
  <c r="C5" i="10" s="1"/>
  <c r="C47" i="6"/>
  <c r="C44" i="6"/>
  <c r="C6" i="6"/>
  <c r="C34" i="6" s="1"/>
  <c r="C33" i="6"/>
  <c r="C37" i="6"/>
  <c r="C36" i="6"/>
  <c r="C46" i="6"/>
  <c r="C35" i="6"/>
  <c r="E9" i="12"/>
  <c r="E15" i="12" s="1"/>
  <c r="I24" i="1" a="1"/>
  <c r="I24" i="1" s="1"/>
  <c r="J24" i="1" s="1" a="1"/>
  <c r="J24" i="1" s="1"/>
  <c r="F25" i="1" s="1" a="1"/>
  <c r="F25" i="1" s="1"/>
  <c r="H25" i="1" s="1"/>
  <c r="B14" i="12"/>
  <c r="C6" i="11"/>
  <c r="C11" i="11" s="1"/>
  <c r="C14" i="11" s="1"/>
  <c r="B6" i="11"/>
  <c r="B11" i="11" s="1"/>
  <c r="B14" i="11" s="1"/>
  <c r="B6" i="6"/>
  <c r="B22" i="6"/>
  <c r="AF41" i="6"/>
  <c r="AF40" i="6"/>
  <c r="C80" i="8"/>
  <c r="B19" i="3"/>
  <c r="B18" i="3"/>
  <c r="B14" i="3"/>
  <c r="B20" i="3" l="1"/>
  <c r="B24" i="3" s="1"/>
  <c r="C27" i="3" s="1"/>
  <c r="B9" i="5"/>
  <c r="B18" i="5" s="1"/>
  <c r="B25" i="6"/>
  <c r="R79" i="1"/>
  <c r="H4" i="1" s="1"/>
  <c r="H9" i="1" s="1"/>
  <c r="I9" i="1" s="1"/>
  <c r="B25" i="3"/>
  <c r="I25" i="1" a="1"/>
  <c r="I25" i="1" s="1"/>
  <c r="J25" i="1" s="1" a="1"/>
  <c r="J25" i="1" s="1"/>
  <c r="M30" i="3" l="1"/>
  <c r="B29" i="6"/>
  <c r="F26" i="1" a="1"/>
  <c r="F26" i="1" s="1"/>
  <c r="H26" i="1" s="1"/>
  <c r="M31" i="3" l="1"/>
  <c r="I26" i="1" a="1"/>
  <c r="I26" i="1" s="1"/>
  <c r="J26" i="1" l="1" a="1"/>
  <c r="J26" i="1" s="1"/>
  <c r="F27" i="1" s="1" a="1"/>
  <c r="F27" i="1" s="1"/>
  <c r="H27" i="1" s="1"/>
  <c r="I27" i="1" l="1" a="1"/>
  <c r="I27" i="1" s="1"/>
  <c r="J27" i="1" s="1" a="1"/>
  <c r="J27" i="1" s="1"/>
  <c r="F28" i="1" s="1" a="1"/>
  <c r="F28" i="1" s="1"/>
  <c r="H28" i="1" s="1"/>
  <c r="I28" i="1" l="1" a="1"/>
  <c r="I28" i="1" s="1"/>
  <c r="J28" i="1" l="1" a="1"/>
  <c r="J28" i="1" s="1"/>
  <c r="F29" i="1" s="1" a="1"/>
  <c r="F29" i="1" s="1"/>
  <c r="H29" i="1" s="1"/>
  <c r="I29" i="1" l="1" a="1"/>
  <c r="I29" i="1" s="1"/>
  <c r="J29" i="1" l="1" a="1"/>
  <c r="J29" i="1" s="1"/>
  <c r="F30" i="1" s="1" a="1"/>
  <c r="F30" i="1" s="1"/>
  <c r="H30" i="1" s="1"/>
  <c r="I30" i="1" l="1" a="1"/>
  <c r="I30" i="1" s="1"/>
  <c r="J30" i="1" s="1" a="1"/>
  <c r="J30" i="1" s="1"/>
  <c r="F31" i="1" l="1" a="1"/>
  <c r="F31" i="1" s="1"/>
  <c r="H31" i="1" s="1"/>
  <c r="I31" i="1" l="1" a="1"/>
  <c r="I31" i="1" s="1"/>
  <c r="J31" i="1" s="1" a="1"/>
  <c r="J31" i="1" s="1"/>
  <c r="F32" i="1" l="1" a="1"/>
  <c r="F32" i="1" s="1"/>
  <c r="H32" i="1" s="1"/>
  <c r="I32" i="1" l="1" a="1"/>
  <c r="I32" i="1" s="1"/>
  <c r="J32" i="1" s="1" a="1"/>
  <c r="J32" i="1" s="1"/>
  <c r="F33" i="1" l="1" a="1"/>
  <c r="F33" i="1" s="1"/>
  <c r="H33" i="1" s="1"/>
  <c r="I33" i="1" l="1" a="1"/>
  <c r="I33" i="1" s="1"/>
  <c r="J33" i="1" s="1" a="1"/>
  <c r="J33" i="1" s="1"/>
  <c r="F34" i="1" l="1" a="1"/>
  <c r="F34" i="1" s="1"/>
  <c r="H34" i="1" s="1"/>
  <c r="I34" i="1" l="1" a="1"/>
  <c r="I34" i="1" s="1"/>
  <c r="J34" i="1" l="1" a="1"/>
  <c r="J34" i="1" s="1"/>
  <c r="F35" i="1" s="1" a="1"/>
  <c r="F35" i="1" s="1"/>
  <c r="H35" i="1" s="1"/>
  <c r="I35" i="1" l="1" a="1"/>
  <c r="I35" i="1" s="1"/>
  <c r="J35" i="1" l="1" a="1"/>
  <c r="J35" i="1" s="1"/>
  <c r="F36" i="1" s="1" a="1"/>
  <c r="F36" i="1" s="1"/>
  <c r="H36" i="1" s="1"/>
  <c r="I36" i="1" l="1" a="1"/>
  <c r="I36" i="1" s="1"/>
  <c r="J36" i="1" s="1" a="1"/>
  <c r="J36" i="1" s="1"/>
  <c r="F37" i="1" s="1" a="1"/>
  <c r="F37" i="1" s="1"/>
  <c r="H37" i="1" s="1"/>
  <c r="I37" i="1" l="1" a="1"/>
  <c r="I37" i="1" s="1"/>
  <c r="J37" i="1" s="1" a="1"/>
  <c r="J37" i="1" s="1"/>
  <c r="F38" i="1" s="1" a="1"/>
  <c r="F38" i="1" s="1"/>
  <c r="H38" i="1" s="1"/>
  <c r="I38" i="1" l="1" a="1"/>
  <c r="I38" i="1" s="1"/>
  <c r="J38" i="1" s="1" a="1"/>
  <c r="J38" i="1" s="1"/>
  <c r="F39" i="1" s="1" a="1"/>
  <c r="F39" i="1" s="1"/>
  <c r="H39" i="1" s="1"/>
  <c r="I39" i="1" l="1" a="1"/>
  <c r="I39" i="1" s="1"/>
  <c r="J39" i="1" s="1" a="1"/>
  <c r="J39" i="1" s="1"/>
  <c r="F40" i="1" s="1" a="1"/>
  <c r="F40" i="1" s="1"/>
  <c r="H40" i="1" s="1"/>
  <c r="I40" i="1" l="1" a="1"/>
  <c r="I40" i="1" s="1"/>
  <c r="J40" i="1" s="1" a="1"/>
  <c r="J40" i="1" s="1"/>
  <c r="F41" i="1" s="1" a="1"/>
  <c r="F41" i="1" s="1"/>
  <c r="H41" i="1" s="1"/>
  <c r="I41" i="1" l="1" a="1"/>
  <c r="I41" i="1" s="1"/>
  <c r="J41" i="1" s="1" a="1"/>
  <c r="J41" i="1" s="1"/>
  <c r="F42" i="1" s="1" a="1"/>
  <c r="F42" i="1" s="1"/>
  <c r="H42" i="1" s="1"/>
  <c r="I42" i="1" l="1" a="1"/>
  <c r="I42" i="1" s="1"/>
  <c r="J42" i="1" s="1" a="1"/>
  <c r="J42" i="1" s="1"/>
  <c r="F43" i="1" s="1" a="1"/>
  <c r="F43" i="1" s="1"/>
  <c r="H43" i="1" s="1"/>
  <c r="I43" i="1" l="1" a="1"/>
  <c r="I43" i="1" s="1"/>
  <c r="J43" i="1" s="1" a="1"/>
  <c r="J43" i="1" s="1"/>
  <c r="F44" i="1" s="1" a="1"/>
  <c r="F44" i="1" s="1"/>
  <c r="H44" i="1" s="1"/>
  <c r="I44" i="1" l="1" a="1"/>
  <c r="I44" i="1" s="1"/>
  <c r="J44" i="1" s="1" a="1"/>
  <c r="J44" i="1" s="1"/>
  <c r="F45" i="1" s="1" a="1"/>
  <c r="F45" i="1" s="1"/>
  <c r="H45" i="1" s="1"/>
  <c r="I45" i="1" l="1" a="1"/>
  <c r="I45" i="1" s="1"/>
  <c r="J45" i="1" s="1" a="1"/>
  <c r="J45" i="1" s="1"/>
  <c r="F46" i="1" s="1" a="1"/>
  <c r="F46" i="1" s="1"/>
  <c r="H46" i="1" s="1"/>
  <c r="I46" i="1" l="1" a="1"/>
  <c r="I46" i="1" s="1"/>
  <c r="J46" i="1" s="1" a="1"/>
  <c r="J46" i="1" s="1"/>
  <c r="F47" i="1" s="1" a="1"/>
  <c r="F47" i="1" s="1"/>
  <c r="H47" i="1" s="1"/>
  <c r="B42" i="1" s="1"/>
  <c r="B43" i="1" l="1"/>
  <c r="B46" i="1" s="1"/>
  <c r="P79" i="1"/>
  <c r="I47" i="1" a="1"/>
  <c r="I47" i="1" s="1"/>
  <c r="J47" i="1" s="1" a="1"/>
  <c r="J47" i="1" s="1"/>
  <c r="F48" i="1" s="1" a="1"/>
  <c r="F48" i="1" s="1"/>
  <c r="I48" i="1" l="1" a="1"/>
  <c r="I48" i="1" s="1"/>
  <c r="J48" i="1" s="1" a="1"/>
  <c r="J48" i="1" s="1"/>
  <c r="F49" i="1" s="1" a="1"/>
  <c r="F49" i="1" s="1"/>
  <c r="I49" i="1" l="1" a="1"/>
  <c r="I49" i="1" s="1"/>
  <c r="J49" i="1" s="1" a="1"/>
  <c r="J49" i="1" s="1"/>
  <c r="F50" i="1" s="1" a="1"/>
  <c r="F50" i="1" s="1"/>
  <c r="I50" i="1" l="1" a="1"/>
  <c r="I50" i="1" s="1"/>
  <c r="J50" i="1" s="1" a="1"/>
  <c r="J50" i="1" s="1"/>
  <c r="F51" i="1" s="1" a="1"/>
  <c r="F51" i="1" s="1"/>
  <c r="I51" i="1" l="1" a="1"/>
  <c r="I51" i="1" s="1"/>
  <c r="J51" i="1" s="1" a="1"/>
  <c r="J51" i="1" s="1"/>
  <c r="F52" i="1" s="1" a="1"/>
  <c r="F52" i="1" s="1"/>
  <c r="I52" i="1" l="1" a="1"/>
  <c r="I52" i="1" s="1"/>
  <c r="J52" i="1" s="1" a="1"/>
  <c r="J52" i="1" s="1"/>
  <c r="F53" i="1" s="1" a="1"/>
  <c r="F53" i="1" s="1"/>
  <c r="I53" i="1" l="1" a="1"/>
  <c r="I53" i="1" s="1"/>
  <c r="J53" i="1" s="1" a="1"/>
  <c r="J53" i="1" s="1"/>
  <c r="F54" i="1" s="1" a="1"/>
  <c r="F54" i="1" s="1"/>
  <c r="I54" i="1" l="1" a="1"/>
  <c r="I54" i="1" s="1"/>
  <c r="J54" i="1" s="1" a="1"/>
  <c r="J54" i="1" s="1"/>
  <c r="F55" i="1" s="1" a="1"/>
  <c r="F55" i="1" s="1"/>
  <c r="I55" i="1" l="1" a="1"/>
  <c r="I55" i="1" s="1"/>
  <c r="J55" i="1" s="1" a="1"/>
  <c r="J55" i="1" s="1"/>
  <c r="F56" i="1" s="1" a="1"/>
  <c r="F56" i="1" s="1"/>
  <c r="I56" i="1" l="1" a="1"/>
  <c r="I56" i="1" s="1"/>
  <c r="J56" i="1" s="1" a="1"/>
  <c r="J56" i="1" s="1"/>
  <c r="F57" i="1" s="1" a="1"/>
  <c r="F57" i="1" s="1"/>
  <c r="I57" i="1" l="1" a="1"/>
  <c r="I57" i="1" s="1"/>
  <c r="J57" i="1" s="1" a="1"/>
  <c r="J57" i="1" s="1"/>
  <c r="F58" i="1" s="1" a="1"/>
  <c r="F58" i="1" s="1"/>
  <c r="I58" i="1" l="1" a="1"/>
  <c r="I58" i="1" s="1"/>
  <c r="J58" i="1" s="1" a="1"/>
  <c r="J58" i="1" s="1"/>
  <c r="F59" i="1" s="1" a="1"/>
  <c r="F59" i="1" s="1"/>
  <c r="I59" i="1" l="1" a="1"/>
  <c r="I59" i="1" s="1"/>
  <c r="J59" i="1" s="1" a="1"/>
  <c r="J59" i="1" s="1"/>
  <c r="F60" i="1" s="1" a="1"/>
  <c r="F60" i="1" s="1"/>
  <c r="I60" i="1" l="1" a="1"/>
  <c r="I60" i="1" s="1"/>
  <c r="J60" i="1" s="1" a="1"/>
  <c r="J60" i="1" s="1"/>
  <c r="F61" i="1" s="1" a="1"/>
  <c r="F61" i="1" s="1"/>
  <c r="I61" i="1" l="1" a="1"/>
  <c r="I61" i="1" s="1"/>
  <c r="J61" i="1" s="1" a="1"/>
  <c r="J61" i="1" s="1"/>
  <c r="F62" i="1" s="1" a="1"/>
  <c r="F62" i="1" s="1"/>
  <c r="I62" i="1" l="1" a="1"/>
  <c r="I62" i="1" s="1"/>
  <c r="J62" i="1" s="1" a="1"/>
  <c r="J62" i="1" s="1"/>
  <c r="F63" i="1" s="1" a="1"/>
  <c r="F63" i="1" s="1"/>
  <c r="I63" i="1" l="1" a="1"/>
  <c r="I63" i="1" s="1"/>
  <c r="J63" i="1" s="1" a="1"/>
  <c r="J63" i="1" s="1"/>
  <c r="F64" i="1" s="1" a="1"/>
  <c r="F64" i="1" s="1"/>
  <c r="I64" i="1" l="1" a="1"/>
  <c r="I64" i="1" s="1"/>
  <c r="J64" i="1" s="1" a="1"/>
  <c r="J64" i="1" s="1"/>
  <c r="F65" i="1" s="1" a="1"/>
  <c r="F65" i="1" s="1"/>
  <c r="I65" i="1" l="1" a="1"/>
  <c r="I65" i="1" s="1"/>
  <c r="J65" i="1" s="1" a="1"/>
  <c r="J65" i="1" s="1"/>
  <c r="F66" i="1" s="1" a="1"/>
  <c r="F66" i="1" s="1"/>
  <c r="I66" i="1" l="1" a="1"/>
  <c r="I66" i="1" s="1"/>
  <c r="J66" i="1" s="1" a="1"/>
  <c r="J66" i="1" s="1"/>
  <c r="F67" i="1" s="1" a="1"/>
  <c r="F67" i="1" s="1"/>
  <c r="I67" i="1" l="1" a="1"/>
  <c r="I67" i="1" s="1"/>
  <c r="J67" i="1" s="1" a="1"/>
  <c r="J67" i="1" s="1"/>
  <c r="F68" i="1" s="1" a="1"/>
  <c r="F68" i="1" s="1"/>
  <c r="I68" i="1" l="1" a="1"/>
  <c r="I68" i="1" s="1"/>
  <c r="J68" i="1" s="1" a="1"/>
  <c r="J68" i="1" s="1"/>
  <c r="F69" i="1" s="1" a="1"/>
  <c r="F69" i="1" s="1"/>
  <c r="I69" i="1" l="1" a="1"/>
  <c r="I69" i="1" s="1"/>
  <c r="J69" i="1" s="1" a="1"/>
  <c r="J69" i="1" s="1"/>
  <c r="F70" i="1" s="1" a="1"/>
  <c r="F70" i="1" s="1"/>
  <c r="I70" i="1" l="1" a="1"/>
  <c r="I70" i="1" s="1"/>
  <c r="J70" i="1" s="1" a="1"/>
  <c r="J70" i="1" s="1"/>
  <c r="F71" i="1" s="1" a="1"/>
  <c r="F71" i="1" s="1"/>
  <c r="I71" i="1" l="1" a="1"/>
  <c r="I71" i="1" s="1"/>
  <c r="J71" i="1" s="1" a="1"/>
  <c r="J71" i="1" s="1"/>
  <c r="P81" i="1" l="1"/>
  <c r="H3" i="1"/>
  <c r="M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<sst xmlns="http://schemas.openxmlformats.org/spreadsheetml/2006/main" count="768" uniqueCount="508">
  <si>
    <t>Break Even Point / DOL / DFL</t>
  </si>
  <si>
    <t>Total Fixed Costs</t>
  </si>
  <si>
    <t>Price per unit</t>
  </si>
  <si>
    <t>Variable Cost per Unit</t>
  </si>
  <si>
    <t>Revenue</t>
  </si>
  <si>
    <t>Net income</t>
  </si>
  <si>
    <t>Net Income</t>
  </si>
  <si>
    <t>Units Sold</t>
  </si>
  <si>
    <t>Interest</t>
  </si>
  <si>
    <t>Break Even Point</t>
  </si>
  <si>
    <t xml:space="preserve">BEP = </t>
  </si>
  <si>
    <t>DOL</t>
  </si>
  <si>
    <t xml:space="preserve">DOL = </t>
  </si>
  <si>
    <t>DFL</t>
  </si>
  <si>
    <t>DFL =</t>
  </si>
  <si>
    <t xml:space="preserve">DCL = </t>
  </si>
  <si>
    <t>Financial Ratios -&gt; SEAT is over there</t>
  </si>
  <si>
    <t>Financial Ratios</t>
  </si>
  <si>
    <r>
      <t>Plug in</t>
    </r>
    <r>
      <rPr>
        <sz val="11"/>
        <color rgb="FFFF0000"/>
        <rFont val="Calibri"/>
        <family val="2"/>
        <scheme val="minor"/>
      </rPr>
      <t xml:space="preserve"> red</t>
    </r>
    <r>
      <rPr>
        <sz val="11"/>
        <color theme="1"/>
        <rFont val="Calibri"/>
        <family val="2"/>
        <scheme val="minor"/>
      </rPr>
      <t xml:space="preserve"> below</t>
    </r>
  </si>
  <si>
    <t>SEAT</t>
  </si>
  <si>
    <t>Sales</t>
  </si>
  <si>
    <t>Sales on Credit</t>
  </si>
  <si>
    <t>Avg daily credit sales</t>
  </si>
  <si>
    <t>Total Assets</t>
  </si>
  <si>
    <t>Cash</t>
  </si>
  <si>
    <t>Receivables</t>
  </si>
  <si>
    <t>Inventory</t>
  </si>
  <si>
    <t xml:space="preserve">Current Assets </t>
  </si>
  <si>
    <t>Fixed Assets</t>
  </si>
  <si>
    <t>Total Debt (Liabilities)</t>
  </si>
  <si>
    <t>Current liabilities(within yr)</t>
  </si>
  <si>
    <t>Interest can be variable or fixed cost. For bonds its fixed bc the expense is always the same but varies for loans.</t>
  </si>
  <si>
    <t>Fixed Costs</t>
  </si>
  <si>
    <t>Income b4 fixed c. and tax</t>
  </si>
  <si>
    <t xml:space="preserve">This should be greater than EBIT. </t>
  </si>
  <si>
    <t>Operating Income</t>
  </si>
  <si>
    <t>This only includes income from operations. So not income from investments made.</t>
  </si>
  <si>
    <t>EBIT</t>
  </si>
  <si>
    <t>Includes Fixed costs and all revenue made.</t>
  </si>
  <si>
    <t>Lease payments</t>
  </si>
  <si>
    <t>Stockholders Equity (total)</t>
  </si>
  <si>
    <t>Profitability Ratios</t>
  </si>
  <si>
    <t>Definition</t>
  </si>
  <si>
    <t>Profit margin</t>
  </si>
  <si>
    <t>Return on assets</t>
  </si>
  <si>
    <t>Return on equity</t>
  </si>
  <si>
    <t>Asset utilization</t>
  </si>
  <si>
    <t>Receivables turnover</t>
  </si>
  <si>
    <t>Average collection period</t>
  </si>
  <si>
    <t>Inventory turnover</t>
  </si>
  <si>
    <t>Fixed Asset turnover</t>
  </si>
  <si>
    <t>Total asset turnover</t>
  </si>
  <si>
    <t>Liquidity ratios</t>
  </si>
  <si>
    <t>Current ratio</t>
  </si>
  <si>
    <t>Quick ratio</t>
  </si>
  <si>
    <t>Debt utilization ratios</t>
  </si>
  <si>
    <t>Debt to total assets</t>
  </si>
  <si>
    <t>Times interest earned</t>
  </si>
  <si>
    <t>Fixed charge coverage</t>
  </si>
  <si>
    <t>Measures a firm's ability to cover its fixed charges, such as debt payments, interest expense, and equipment lease expense. It shows how well a company's earnings can cover its fixed expenses.</t>
  </si>
  <si>
    <t>BONDS</t>
  </si>
  <si>
    <t>(DON’T MOVE)</t>
  </si>
  <si>
    <t>Par/Face Value(alwaysss)</t>
  </si>
  <si>
    <t>Yearly</t>
  </si>
  <si>
    <t>Coupon value(given in yr basis)</t>
  </si>
  <si>
    <t>Semester</t>
  </si>
  <si>
    <t>Maturity(yrs)(given)</t>
  </si>
  <si>
    <t>Quarterly</t>
  </si>
  <si>
    <t>Timeframe</t>
  </si>
  <si>
    <t>Factor</t>
  </si>
  <si>
    <t>Monthly</t>
  </si>
  <si>
    <t>Compounding (given)</t>
  </si>
  <si>
    <t>Market Rate (y) (given)</t>
  </si>
  <si>
    <t>Find Coupon Rate</t>
  </si>
  <si>
    <t xml:space="preserve">Coupon rate = </t>
  </si>
  <si>
    <t xml:space="preserve">Timeframe CR = </t>
  </si>
  <si>
    <t>Coupon value per time frame</t>
  </si>
  <si>
    <t>Market Price of Bond</t>
  </si>
  <si>
    <t>MKT rate per Time period</t>
  </si>
  <si>
    <t>periods to maturity</t>
  </si>
  <si>
    <t>Market Price of Bond =</t>
  </si>
  <si>
    <t>this is the value that an investor currently would buy the bond for.</t>
  </si>
  <si>
    <t>Yields</t>
  </si>
  <si>
    <t>Market Price of the Bond</t>
  </si>
  <si>
    <t xml:space="preserve">Periods to maturity </t>
  </si>
  <si>
    <t>YTM</t>
  </si>
  <si>
    <t>Market Price of Bond(sometimes given</t>
  </si>
  <si>
    <t>Coupon Rate per time frame</t>
  </si>
  <si>
    <t>Periods until maturity</t>
  </si>
  <si>
    <t>Should we issue new debt to replace the old?</t>
  </si>
  <si>
    <t>There is a smaller interest rate so maybe. But let's see mathematically.</t>
  </si>
  <si>
    <t>Out standing bond obligation</t>
  </si>
  <si>
    <t>Coupon Rate</t>
  </si>
  <si>
    <t>Market Interest rate</t>
  </si>
  <si>
    <t>Issued Maturity</t>
  </si>
  <si>
    <t>Issued Periods to maturity</t>
  </si>
  <si>
    <t>Compounding</t>
  </si>
  <si>
    <t xml:space="preserve">Yrs till maturity </t>
  </si>
  <si>
    <t>Periods to maturity</t>
  </si>
  <si>
    <t>Call premium</t>
  </si>
  <si>
    <t>Underwriting Cost on new</t>
  </si>
  <si>
    <t>Underwriting Cost on old</t>
  </si>
  <si>
    <t>tax bracket</t>
  </si>
  <si>
    <t>discount rate</t>
  </si>
  <si>
    <t xml:space="preserve">We just need to see if the new issue will make money and be profitable. </t>
  </si>
  <si>
    <t>We look at the outflow - inflow</t>
  </si>
  <si>
    <t>Outflow</t>
  </si>
  <si>
    <t>Premium Call</t>
  </si>
  <si>
    <t>Accoutning for tax deduction</t>
  </si>
  <si>
    <t>This is the outflow of the Premium Call.</t>
  </si>
  <si>
    <t>New Underwriting Cost</t>
  </si>
  <si>
    <t>Amoritize and Tax</t>
  </si>
  <si>
    <t>PV Factor</t>
  </si>
  <si>
    <t>PV of future tax Savings</t>
  </si>
  <si>
    <t xml:space="preserve">The expenditure(outflow) is </t>
  </si>
  <si>
    <t>Total Outflows</t>
  </si>
  <si>
    <t>Inflow</t>
  </si>
  <si>
    <t>Cost Savings in the new bonds from its coupons</t>
  </si>
  <si>
    <t>old bonds</t>
  </si>
  <si>
    <t>new bonds</t>
  </si>
  <si>
    <t>savings per year after tax</t>
  </si>
  <si>
    <t>Present Value Future Savings</t>
  </si>
  <si>
    <t>this is how much we save from doing this redebting</t>
  </si>
  <si>
    <t xml:space="preserve">Rest of the old amoritized </t>
  </si>
  <si>
    <t>Amoritized yearly amount</t>
  </si>
  <si>
    <t>a year</t>
  </si>
  <si>
    <t>Already written off amt</t>
  </si>
  <si>
    <t>Still to be written off</t>
  </si>
  <si>
    <t>PVFS</t>
  </si>
  <si>
    <t xml:space="preserve">Total write off after taxes </t>
  </si>
  <si>
    <t>Resolution</t>
  </si>
  <si>
    <t>Inflow - Outflow</t>
  </si>
  <si>
    <t>Balance Sheet</t>
  </si>
  <si>
    <t>At December 31</t>
  </si>
  <si>
    <t>Assets</t>
  </si>
  <si>
    <t>Non-current assets</t>
  </si>
  <si>
    <t>Intagible assets</t>
  </si>
  <si>
    <t>Tanglible assets</t>
  </si>
  <si>
    <t>Long-term-investments in Group</t>
  </si>
  <si>
    <t>Long-term financial investments</t>
  </si>
  <si>
    <t>Deferred tax assets</t>
  </si>
  <si>
    <t>Current assets</t>
  </si>
  <si>
    <t>Inventories</t>
  </si>
  <si>
    <t>TRADE AND OTHER RECEIVABLES</t>
  </si>
  <si>
    <t>Trade and other recievables</t>
  </si>
  <si>
    <t>Short-term investments in Group</t>
  </si>
  <si>
    <t>Trade receivables</t>
  </si>
  <si>
    <t>Short-term financial investments</t>
  </si>
  <si>
    <t>Group company receivables</t>
  </si>
  <si>
    <t>Short-term prepaid expenses</t>
  </si>
  <si>
    <t>Other receivables</t>
  </si>
  <si>
    <t>Cash and cash equivalents</t>
  </si>
  <si>
    <t>Personnel</t>
  </si>
  <si>
    <t>Current tax assets ()</t>
  </si>
  <si>
    <t>Total</t>
  </si>
  <si>
    <t>Public Administrations</t>
  </si>
  <si>
    <t>TOTAL</t>
  </si>
  <si>
    <t>Equity and liabilities</t>
  </si>
  <si>
    <t>Equity</t>
  </si>
  <si>
    <t>Shareholders' equity</t>
  </si>
  <si>
    <t>Valuation adjustments</t>
  </si>
  <si>
    <t>Grants</t>
  </si>
  <si>
    <t>Non-current liabilities</t>
  </si>
  <si>
    <t>Long-term provisions</t>
  </si>
  <si>
    <t>Long-term liabilities</t>
  </si>
  <si>
    <t>Deferred tax liabilities</t>
  </si>
  <si>
    <t>Long-term prepaid income</t>
  </si>
  <si>
    <t>Current liabilties</t>
  </si>
  <si>
    <t>Short-term provisions</t>
  </si>
  <si>
    <t>Short-term liabilities</t>
  </si>
  <si>
    <t>Short-term liabilities with group</t>
  </si>
  <si>
    <t>Trade and other payables</t>
  </si>
  <si>
    <t>Short-term prepaid income</t>
  </si>
  <si>
    <t>SEAT INCOME STATEMENT (2022)</t>
  </si>
  <si>
    <t xml:space="preserve">January 1 to December 31 </t>
  </si>
  <si>
    <t>Continuing operations</t>
  </si>
  <si>
    <t>Net sales</t>
  </si>
  <si>
    <t>ChanGe in inventories of finished goods and work in progress</t>
  </si>
  <si>
    <t>Materials, wages and overheads capitalized as assets</t>
  </si>
  <si>
    <t>Supplies</t>
  </si>
  <si>
    <t>Other operating income</t>
  </si>
  <si>
    <t>Personnel costs</t>
  </si>
  <si>
    <t>Other operating expenses</t>
  </si>
  <si>
    <t>Depreciation of fixed assets</t>
  </si>
  <si>
    <t>Change of grants from non-financial fixed assets and others</t>
  </si>
  <si>
    <t>Excess of provisions</t>
  </si>
  <si>
    <t>Impairment and result on disposal of fixed assets</t>
  </si>
  <si>
    <t>Operating result</t>
  </si>
  <si>
    <t>Financial Income</t>
  </si>
  <si>
    <t>Financial expenses</t>
  </si>
  <si>
    <t>Exchange rate differences</t>
  </si>
  <si>
    <t>Impairment and result on disposal of financial instruments</t>
  </si>
  <si>
    <t>Financial result</t>
  </si>
  <si>
    <t>Result before tax</t>
  </si>
  <si>
    <t>Corporation tax</t>
  </si>
  <si>
    <t>Result for year</t>
  </si>
  <si>
    <t>Year</t>
  </si>
  <si>
    <t>Net Sales</t>
  </si>
  <si>
    <t>Operating Result</t>
  </si>
  <si>
    <t>Column2</t>
  </si>
  <si>
    <t>Result for the year</t>
  </si>
  <si>
    <t>Investments</t>
  </si>
  <si>
    <t>Operating Cashflow</t>
  </si>
  <si>
    <t>Current Ratio</t>
  </si>
  <si>
    <t>Quick Ratio</t>
  </si>
  <si>
    <t>Working Capital Ratio</t>
  </si>
  <si>
    <t>Face value</t>
  </si>
  <si>
    <t>Annual Interest</t>
  </si>
  <si>
    <t>market value</t>
  </si>
  <si>
    <t>compute the outflows of cash of interest for the first year only for the loan.</t>
  </si>
  <si>
    <t>coupon rate</t>
  </si>
  <si>
    <t>Current Yield</t>
  </si>
  <si>
    <t>Maturity (years)</t>
  </si>
  <si>
    <t xml:space="preserve">Approx YTM </t>
  </si>
  <si>
    <t>Yield to maturity in the second example is better then the first. Even tho the current yield is higher in the first one.</t>
  </si>
  <si>
    <t>Selling Price per Unit</t>
  </si>
  <si>
    <t>Total revenues</t>
  </si>
  <si>
    <t>Calculate the break even point</t>
  </si>
  <si>
    <t>Principal = payment - interest</t>
  </si>
  <si>
    <t>Loan</t>
  </si>
  <si>
    <t>Period</t>
  </si>
  <si>
    <t>PBP</t>
  </si>
  <si>
    <t>Payment</t>
  </si>
  <si>
    <t>Principal</t>
  </si>
  <si>
    <t>PEP</t>
  </si>
  <si>
    <t>PBP = Pending at the Beginning Period</t>
  </si>
  <si>
    <t>i(a)</t>
  </si>
  <si>
    <t>M(a)</t>
  </si>
  <si>
    <t>PEP = Pending at the End Period</t>
  </si>
  <si>
    <t>n period</t>
  </si>
  <si>
    <t>i(m)</t>
  </si>
  <si>
    <t>M(m)</t>
  </si>
  <si>
    <t>#1</t>
  </si>
  <si>
    <t>par value</t>
  </si>
  <si>
    <t>maturity</t>
  </si>
  <si>
    <t>#2</t>
  </si>
  <si>
    <t>variable</t>
  </si>
  <si>
    <t>fixed</t>
  </si>
  <si>
    <t>extra money set aside for paying off expenses in the coming year.</t>
  </si>
  <si>
    <t>All fixed costs from the balance sheet</t>
  </si>
  <si>
    <t>EXTRA</t>
  </si>
  <si>
    <t>Payment of Intersts</t>
  </si>
  <si>
    <t>Don’t use this for formulas</t>
  </si>
  <si>
    <t>The corresponding obligations for the lease operation, net of financial charges, are included under liabilities in the Balance Sheet. The fixed assets acquired under finance leases are depreciated over their useful life</t>
  </si>
  <si>
    <t>?</t>
  </si>
  <si>
    <t>Debt to equity</t>
  </si>
  <si>
    <t>Income Statement A</t>
  </si>
  <si>
    <t>Income Statement B</t>
  </si>
  <si>
    <t>COGS (20%)</t>
  </si>
  <si>
    <t>COGS(20%</t>
  </si>
  <si>
    <t>Operating Expenses(8%)</t>
  </si>
  <si>
    <t xml:space="preserve">Fixed Cost </t>
  </si>
  <si>
    <t>Debt</t>
  </si>
  <si>
    <t>Interest per year</t>
  </si>
  <si>
    <t>Taxes</t>
  </si>
  <si>
    <t>ON EXAM</t>
  </si>
  <si>
    <t>On Test</t>
  </si>
  <si>
    <t>Low Liquidity</t>
  </si>
  <si>
    <t xml:space="preserve">High Liquidity </t>
  </si>
  <si>
    <t>Return on Asssets</t>
  </si>
  <si>
    <t>ROA</t>
  </si>
  <si>
    <t>Short-term</t>
  </si>
  <si>
    <t>Long-term</t>
  </si>
  <si>
    <t>Low and Short</t>
  </si>
  <si>
    <t>Low and Long</t>
  </si>
  <si>
    <t>High and Short</t>
  </si>
  <si>
    <t>High and Long</t>
  </si>
  <si>
    <t>More aggressive</t>
  </si>
  <si>
    <t>Less aggressive</t>
  </si>
  <si>
    <t>Most Agg</t>
  </si>
  <si>
    <t>Most Conservative</t>
  </si>
  <si>
    <t>Moderate</t>
  </si>
  <si>
    <t>Tax rate(change)</t>
  </si>
  <si>
    <t>Shares(change)</t>
  </si>
  <si>
    <t>It's worth the investment</t>
  </si>
  <si>
    <t>AR(days)</t>
  </si>
  <si>
    <t>Credit Sales</t>
  </si>
  <si>
    <t>(%)</t>
  </si>
  <si>
    <t>October</t>
  </si>
  <si>
    <t>0-30</t>
  </si>
  <si>
    <t>AR</t>
  </si>
  <si>
    <t>September</t>
  </si>
  <si>
    <t>31-60</t>
  </si>
  <si>
    <t>(/) Credit sales Daily</t>
  </si>
  <si>
    <t>(120 days table)</t>
  </si>
  <si>
    <t>August</t>
  </si>
  <si>
    <t>61-90</t>
  </si>
  <si>
    <t>(=) ACP</t>
  </si>
  <si>
    <t>DAYS</t>
  </si>
  <si>
    <t>July</t>
  </si>
  <si>
    <t>91-120</t>
  </si>
  <si>
    <t>total</t>
  </si>
  <si>
    <t>Compute the average collection period</t>
  </si>
  <si>
    <t>Provided data</t>
  </si>
  <si>
    <t>Daily Credit Sales(time)</t>
  </si>
  <si>
    <t>yearly</t>
  </si>
  <si>
    <t>red = changeable</t>
  </si>
  <si>
    <t>Time Frame (usually 360 or 365)</t>
  </si>
  <si>
    <t>higher the DCS and less the AR better the ACP is</t>
  </si>
  <si>
    <t>higher the AR and less the DCS the worse the ACP is</t>
  </si>
  <si>
    <t>or</t>
  </si>
  <si>
    <t>Comparison of company A and Company B</t>
  </si>
  <si>
    <t>Company A</t>
  </si>
  <si>
    <t>Company B</t>
  </si>
  <si>
    <t>Revenues</t>
  </si>
  <si>
    <t>Operating Costs</t>
  </si>
  <si>
    <t>Financing Expense</t>
  </si>
  <si>
    <t>Cost Structure</t>
  </si>
  <si>
    <t>Number of Units Produced and Sold</t>
  </si>
  <si>
    <t>Sales Price per Unit</t>
  </si>
  <si>
    <t>Fixed Operating Cost</t>
  </si>
  <si>
    <t>Fixed Financing Expense</t>
  </si>
  <si>
    <t>Contribution Margin Income Statement</t>
  </si>
  <si>
    <t>- Variable Costs</t>
  </si>
  <si>
    <t>= Contribution Margin (CM)</t>
  </si>
  <si>
    <t>- Fixed Costs</t>
  </si>
  <si>
    <t>= Operating Income (OI) - EBIT</t>
  </si>
  <si>
    <t xml:space="preserve">- Fixed Financing Costs </t>
  </si>
  <si>
    <t>= Net Income (NI)</t>
  </si>
  <si>
    <t>DOL = Q (P - V) / Q (P - C) - F</t>
  </si>
  <si>
    <t>DFL = Q (P - V) - F / Q (P - V) - F - C</t>
  </si>
  <si>
    <t>DTL = Q (P - V) / Q (P - V) - F - C</t>
  </si>
  <si>
    <t>DTL = Cmargin / Net Income</t>
  </si>
  <si>
    <t>Company</t>
  </si>
  <si>
    <t>% Change</t>
  </si>
  <si>
    <t>Change from A to B</t>
  </si>
  <si>
    <t>Change the Sales by a percentage and see percentage difference.</t>
  </si>
  <si>
    <t>interest (yearly)</t>
  </si>
  <si>
    <t>Maturity in Years</t>
  </si>
  <si>
    <t>Interest rate per period</t>
  </si>
  <si>
    <t>Total payment periods</t>
  </si>
  <si>
    <t>Interest = PBP*Interest rate per period</t>
  </si>
  <si>
    <t>Quaterly</t>
  </si>
  <si>
    <t>Definitions</t>
  </si>
  <si>
    <t>Outcomes</t>
  </si>
  <si>
    <t>Total Interest Paid</t>
  </si>
  <si>
    <t>Total Cash Spent</t>
  </si>
  <si>
    <t>DEBT LOAN</t>
  </si>
  <si>
    <t>LOAN AND BOND</t>
  </si>
  <si>
    <t>Either you want to see how much a loan will cost or how much a bond will cost. OR you can compare and see the more expensive one.</t>
  </si>
  <si>
    <t>Choose what type of debt. (or compare)</t>
  </si>
  <si>
    <t>Compare</t>
  </si>
  <si>
    <t>Financing</t>
  </si>
  <si>
    <t>Bond</t>
  </si>
  <si>
    <t>Loan amount</t>
  </si>
  <si>
    <t>Interest rate</t>
  </si>
  <si>
    <t>Frequency</t>
  </si>
  <si>
    <t>What type of Loan do you need?</t>
  </si>
  <si>
    <t>Discount</t>
  </si>
  <si>
    <t>Term Loan</t>
  </si>
  <si>
    <t>Discount Loan</t>
  </si>
  <si>
    <t>Installment Loan</t>
  </si>
  <si>
    <t xml:space="preserve">Loan amount </t>
  </si>
  <si>
    <t>Choose Bonds -&gt;</t>
  </si>
  <si>
    <t>Choose Compare -&gt;</t>
  </si>
  <si>
    <t>Loan amount(optional)</t>
  </si>
  <si>
    <t>Coupon rate</t>
  </si>
  <si>
    <t>Interest rate(optional)</t>
  </si>
  <si>
    <t>Coupon rate(optional)</t>
  </si>
  <si>
    <t>Maturity(years)</t>
  </si>
  <si>
    <t>Maturity(10 years usually)</t>
  </si>
  <si>
    <t>Maturiy(years)</t>
  </si>
  <si>
    <t>Interest rate(yearly)</t>
  </si>
  <si>
    <t>Market price of bond</t>
  </si>
  <si>
    <t>Compounding Frequency(Yearly Default)</t>
  </si>
  <si>
    <t>Compounding Frequency(yearly Default)</t>
  </si>
  <si>
    <t>Frequency of comp</t>
  </si>
  <si>
    <t>Total Periods</t>
  </si>
  <si>
    <t>Don’t Touch -&gt;</t>
  </si>
  <si>
    <t xml:space="preserve">Outcomes </t>
  </si>
  <si>
    <t xml:space="preserve">we are getting this money back over aperiod of time. Bc of this we can't just add the interst from each year together to find how much we will save. We must use the PV formula. </t>
  </si>
  <si>
    <t xml:space="preserve">Finding the Value of a bond given the current market rate or the desired yield to maturity on the bond. </t>
  </si>
  <si>
    <t>Chapter 10 #1</t>
  </si>
  <si>
    <t>Chapter 10 Basic Problems #1</t>
  </si>
  <si>
    <t>COMPARINGGG YIELDS to maturity (with a bond with a given Market Price)</t>
  </si>
  <si>
    <t>So the first one is less. What should we sell our bond at to counter this?</t>
  </si>
  <si>
    <t>Same thing but allows us to compare the value of our bond if only the interst rate changes and we can see the %return.</t>
  </si>
  <si>
    <t>The value change of the bond</t>
  </si>
  <si>
    <t xml:space="preserve">The %return we make buy selling it now. </t>
  </si>
  <si>
    <t>Chapter 10 Basic Problems #10</t>
  </si>
  <si>
    <t>Total Interest or Coupons Paid (2)</t>
  </si>
  <si>
    <t>Total Cash u will have spent in the end(2)</t>
  </si>
  <si>
    <t>Total Interest or Coupons Paid (1)</t>
  </si>
  <si>
    <t>Total Cash u will have spent in the end (1)</t>
  </si>
  <si>
    <t>Market Price of Bond(optional)(2)</t>
  </si>
  <si>
    <t>%difference in options</t>
  </si>
  <si>
    <t>Market Price of the Bond (PV)</t>
  </si>
  <si>
    <t>NPV</t>
  </si>
  <si>
    <t>IRR</t>
  </si>
  <si>
    <t>PI</t>
  </si>
  <si>
    <t>at the present what is the vlaue of the present input and how much we will make in the end</t>
  </si>
  <si>
    <t>investment + PV of all expected CR</t>
  </si>
  <si>
    <t xml:space="preserve">bonds </t>
  </si>
  <si>
    <t>CR</t>
  </si>
  <si>
    <t>M</t>
  </si>
  <si>
    <t>Effective rate</t>
  </si>
  <si>
    <t xml:space="preserve">is the real rate bc maybe a company issues a coupon rate but the market changes in 2 days. </t>
  </si>
  <si>
    <t>Profitability Index</t>
  </si>
  <si>
    <t>You want to know when I will get the money I put in back. Change in the accumulated cash flows.</t>
  </si>
  <si>
    <t>formula but depends on the expected future cash flows</t>
  </si>
  <si>
    <t xml:space="preserve">Internal rate of return. </t>
  </si>
  <si>
    <t>WACC</t>
  </si>
  <si>
    <t xml:space="preserve">weighted average </t>
  </si>
  <si>
    <t xml:space="preserve">how much we are getting back from equity </t>
  </si>
  <si>
    <t>Inv</t>
  </si>
  <si>
    <t>discount</t>
  </si>
  <si>
    <t>This nunmber should make sense compared to the market</t>
  </si>
  <si>
    <t>PV of all future cashflows / INV</t>
  </si>
  <si>
    <t xml:space="preserve">The present value in the FV calculator is taking what we would need to invest now without payments to get the FV of what you have from the current investment with payments your doing now. </t>
  </si>
  <si>
    <t>must include the investment amount</t>
  </si>
  <si>
    <t>Transaction fee</t>
  </si>
  <si>
    <t>trasaction fee</t>
  </si>
  <si>
    <t>Interest + fee</t>
  </si>
  <si>
    <t>interest + fee</t>
  </si>
  <si>
    <t>Trasaction fee</t>
  </si>
  <si>
    <t>transaction fee</t>
  </si>
  <si>
    <t xml:space="preserve">  </t>
  </si>
  <si>
    <t>Effective Rate (1)</t>
  </si>
  <si>
    <t>Effective Rate (2)</t>
  </si>
  <si>
    <t>Effective Rate</t>
  </si>
  <si>
    <t>Should we take a discount? Based on the debt we can raise to take the discount.</t>
  </si>
  <si>
    <t>Cost of not taking the Discount</t>
  </si>
  <si>
    <t xml:space="preserve">Days </t>
  </si>
  <si>
    <t>Days to discount</t>
  </si>
  <si>
    <t>Interest Rate</t>
  </si>
  <si>
    <t>Compensating Balance</t>
  </si>
  <si>
    <t>how much the bank makes u keep in the bank.</t>
  </si>
  <si>
    <t>Because the Cost of not taking the discount is less than the effective rate it will cost you for the loan then its not work it.</t>
  </si>
  <si>
    <t>Effective rate (with compensating balance)</t>
  </si>
  <si>
    <t>on exam</t>
  </si>
  <si>
    <t>Transaction fee (optional)</t>
  </si>
  <si>
    <t>Tax Rate (optional)</t>
  </si>
  <si>
    <t>Current Market Rate if not given but market coupon rate is given</t>
  </si>
  <si>
    <t>Current market rate</t>
  </si>
  <si>
    <t>Current Market Rate in Market (optional)</t>
  </si>
  <si>
    <t>Current market Rate in Market (optional)</t>
  </si>
  <si>
    <t>Current market rate per periods</t>
  </si>
  <si>
    <t>question. If the payment periods of a bond change do we need to divide the coupon payment by the frequency. So if the CR is 100 but its semesterly, do we pay 200 a year technically?</t>
  </si>
  <si>
    <t>coupon price</t>
  </si>
  <si>
    <t>Market Price of Bond (i.e. 990 )(optional)</t>
  </si>
  <si>
    <t>Market price of bond that we choose to use.</t>
  </si>
  <si>
    <t>Total Cash Spent per one bond</t>
  </si>
  <si>
    <t>Total cash spent for total bonds issued</t>
  </si>
  <si>
    <t>ONLY FOR BONDS… amount of bonds needed</t>
  </si>
  <si>
    <t>ONLY For BONDS… amount of bonds needed</t>
  </si>
  <si>
    <t>Total bonds needed</t>
  </si>
  <si>
    <t>Total Coupons spent per on bond</t>
  </si>
  <si>
    <t>Total Cash Spent for one bond issued</t>
  </si>
  <si>
    <t>Total Cash spent for all bonds issued</t>
  </si>
  <si>
    <t xml:space="preserve">current market rate </t>
  </si>
  <si>
    <t>current market rate per periods</t>
  </si>
  <si>
    <t>Total Bonds needed</t>
  </si>
  <si>
    <t>Market Price of bond that we choose to use.</t>
  </si>
  <si>
    <t>Total we receive from issueing bonds</t>
  </si>
  <si>
    <t>Difference</t>
  </si>
  <si>
    <t>Total Coupons Paid for one bond</t>
  </si>
  <si>
    <t>Total coupons paid for all bonds</t>
  </si>
  <si>
    <t>Total coupons spent for all bonds</t>
  </si>
  <si>
    <t>Yield to Maturity ( more for the investors POV)</t>
  </si>
  <si>
    <t>Yield to Maturity (More for the investors POV)</t>
  </si>
  <si>
    <t>Underwriters fee (optional)</t>
  </si>
  <si>
    <t>underwriters fee (optional)</t>
  </si>
  <si>
    <t>yearly amoritization of fees</t>
  </si>
  <si>
    <t>Net Cash after taxes (1)</t>
  </si>
  <si>
    <t>Net Cash after taxes (2)</t>
  </si>
  <si>
    <t xml:space="preserve">Interest or Coupons After taxes </t>
  </si>
  <si>
    <t xml:space="preserve">Interst or Coupons After taxes </t>
  </si>
  <si>
    <t xml:space="preserve">Can I just take the underwriters fee and add it to the expenses of the loan or bond and apply the tax rate to it? Or do I need to amoritize then apply the PV Factor and apply the </t>
  </si>
  <si>
    <t>As the issuer is the money I receive taxable or the money I give back in the end tax dedutible? What if I make a capital gain off a premium?</t>
  </si>
  <si>
    <t>Return on assets (ROA)</t>
  </si>
  <si>
    <t xml:space="preserve">Industry </t>
  </si>
  <si>
    <r>
      <rPr>
        <b/>
        <i/>
        <sz val="11"/>
        <color theme="1"/>
        <rFont val="Calibri"/>
        <family val="2"/>
        <scheme val="minor"/>
      </rPr>
      <t xml:space="preserve">This percentage shows how much profit a company makes on its total revenue. </t>
    </r>
    <r>
      <rPr>
        <sz val="11"/>
        <color theme="1"/>
        <rFont val="Calibri"/>
        <family val="2"/>
        <scheme val="minor"/>
      </rPr>
      <t>So, for each sale, the net profit will be 0.6. It is a low value, but if we analyze the last year we can conclude that it is improving</t>
    </r>
    <r>
      <rPr>
        <b/>
        <i/>
        <sz val="11"/>
        <color theme="1"/>
        <rFont val="Calibri"/>
        <family val="2"/>
        <scheme val="minor"/>
      </rPr>
      <t>.</t>
    </r>
  </si>
  <si>
    <t>12.7%</t>
  </si>
  <si>
    <r>
      <rPr>
        <b/>
        <i/>
        <sz val="11"/>
        <color theme="1"/>
        <rFont val="Calibri"/>
        <family val="2"/>
        <scheme val="minor"/>
      </rPr>
      <t>This shows how well a company is utilizing its equity capital to generate profits</t>
    </r>
    <r>
      <rPr>
        <sz val="11"/>
        <color theme="1"/>
        <rFont val="Calibri"/>
        <family val="2"/>
        <scheme val="minor"/>
      </rPr>
      <t xml:space="preserve">. We can see how the stockholdersequity went down in response of the Seat situation.  </t>
    </r>
  </si>
  <si>
    <r>
      <rPr>
        <b/>
        <i/>
        <sz val="11"/>
        <color theme="1"/>
        <rFont val="Calibri"/>
        <family val="2"/>
        <scheme val="minor"/>
      </rPr>
      <t xml:space="preserve">How effectively a company manages its accounts receivable. </t>
    </r>
    <r>
      <rPr>
        <sz val="11"/>
        <color theme="1"/>
        <rFont val="Calibri"/>
        <family val="2"/>
        <scheme val="minor"/>
      </rPr>
      <t xml:space="preserve">So when is higher means that they convert quicker the collecting payments. We can see how this go down form 2021 to 2022 and thats could be because they were foccusing other aspects. </t>
    </r>
  </si>
  <si>
    <t>Return on equity (ROE)</t>
  </si>
  <si>
    <r>
      <rPr>
        <b/>
        <i/>
        <sz val="11"/>
        <color theme="1"/>
        <rFont val="Calibri"/>
        <family val="2"/>
        <scheme val="minor"/>
      </rPr>
      <t xml:space="preserve">Average collection period refers to the amount of time it takes for a business to receive payments owed by its clients in terms of accounts receivable (AR). </t>
    </r>
    <r>
      <rPr>
        <sz val="11"/>
        <color theme="1"/>
        <rFont val="Calibri"/>
        <family val="2"/>
        <scheme val="minor"/>
      </rPr>
      <t>So when ist higher, it will mean that the company takes more time to collect the money. We coul see how this also increases from 2021 to 2022.</t>
    </r>
    <r>
      <rPr>
        <b/>
        <i/>
        <sz val="11"/>
        <color theme="1"/>
        <rFont val="Calibri"/>
        <family val="2"/>
        <scheme val="minor"/>
      </rPr>
      <t xml:space="preserve"> </t>
    </r>
  </si>
  <si>
    <r>
      <t>How many times it sells and replaces its average inventory during a specific period.</t>
    </r>
    <r>
      <rPr>
        <sz val="11"/>
        <color rgb="FF111111"/>
        <rFont val="Calibri"/>
        <family val="2"/>
        <scheme val="minor"/>
      </rPr>
      <t xml:space="preserve">  Higher inventory turnover could mean that: Companies are efficiently managing inventory levels and faster cash conversion. We can conclude that in this case we can see Seat struggling in cash conversion in 2022. </t>
    </r>
  </si>
  <si>
    <r>
      <rPr>
        <b/>
        <i/>
        <sz val="11"/>
        <color theme="1"/>
        <rFont val="Calibri"/>
        <family val="2"/>
        <scheme val="minor"/>
      </rPr>
      <t>The efficiency with which a company uses its fixed assets to generate sales revenue.</t>
    </r>
    <r>
      <rPr>
        <sz val="11"/>
        <color theme="1"/>
        <rFont val="Calibri"/>
        <family val="2"/>
        <scheme val="minor"/>
      </rPr>
      <t xml:space="preserve"> In both years the fixed assets we can see that they are more or less the same, so we can conclude that they did not invest much in fixed assets. So the turnover as a sample is practically the same. </t>
    </r>
  </si>
  <si>
    <r>
      <rPr>
        <b/>
        <i/>
        <sz val="11"/>
        <color theme="1"/>
        <rFont val="Calibri"/>
        <family val="2"/>
        <scheme val="minor"/>
      </rPr>
      <t>The efficiency with which a company uses its current assets to generate sales revenue.</t>
    </r>
    <r>
      <rPr>
        <sz val="11"/>
        <color theme="1"/>
        <rFont val="Calibri"/>
        <family val="2"/>
        <scheme val="minor"/>
      </rPr>
      <t xml:space="preserve"> In both years the current assets we can see that they are more or less the same, so we can conclude that they did not invest much in current assets. So the turnover as a sample is practically the same. </t>
    </r>
  </si>
  <si>
    <r>
      <rPr>
        <b/>
        <i/>
        <sz val="11"/>
        <color theme="1"/>
        <rFont val="Calibri"/>
        <family val="2"/>
        <scheme val="minor"/>
      </rPr>
      <t xml:space="preserve">Is the same as the current ratio but without the inventory. </t>
    </r>
    <r>
      <rPr>
        <sz val="11"/>
        <color theme="1"/>
        <rFont val="Calibri"/>
        <family val="2"/>
        <scheme val="minor"/>
      </rPr>
      <t xml:space="preserve">When the quick ratio is higher it may mean less risk, because the company does not depend only on its assets to be a liquid company. </t>
    </r>
  </si>
  <si>
    <t>Total fixed cost:</t>
  </si>
  <si>
    <t xml:space="preserve">Total variable cost: </t>
  </si>
  <si>
    <t>Continuing Operations</t>
  </si>
  <si>
    <t xml:space="preserve">Units they have </t>
  </si>
  <si>
    <t>Sales per month</t>
  </si>
  <si>
    <t>Stake holders equity</t>
  </si>
  <si>
    <t>Degree of Operating Leverage (DOL)</t>
  </si>
  <si>
    <t>Degree of Financial Leverage (DOF)</t>
  </si>
  <si>
    <t>Degree of Combine Leverage (DCL)</t>
  </si>
  <si>
    <r>
      <rPr>
        <b/>
        <i/>
        <sz val="11"/>
        <color rgb="FF000000"/>
        <rFont val="Calibri"/>
        <scheme val="minor"/>
      </rPr>
      <t xml:space="preserve">How companies converts the current liabilities in current assets. </t>
    </r>
    <r>
      <rPr>
        <sz val="11"/>
        <color rgb="FF000000"/>
        <rFont val="Calibri"/>
        <scheme val="minor"/>
      </rPr>
      <t xml:space="preserve">A higher current ratio could mean an improvement in the company's liquidity. Or a higher flexibility in its working capital. In this case I think Seat from 2021 to 2022 improved this flexibility with working capital. </t>
    </r>
  </si>
  <si>
    <r>
      <rPr>
        <b/>
        <i/>
        <sz val="11"/>
        <color theme="1"/>
        <rFont val="Calibri"/>
        <family val="2"/>
        <scheme val="minor"/>
      </rPr>
      <t>This percentage shows how efficient a company is with its assets.</t>
    </r>
    <r>
      <rPr>
        <sz val="11"/>
        <color theme="1"/>
        <rFont val="Calibri"/>
        <family val="2"/>
        <scheme val="minor"/>
      </rPr>
      <t xml:space="preserve">As El Periodico says, 2021 Seat was trying to recover from the chips crisis (there were not many chips) and we can see how they increase ROA annually. </t>
    </r>
  </si>
  <si>
    <t xml:space="preserve">I am the issuer of a bond or loan, I have the amount I get from the investors, underwriters fee, I have the coupons or interest I pay, I have the amount I have to pay back in the end (10k).  </t>
  </si>
  <si>
    <t>I want to find the Net amount of money I have to spend on this loan or bond after everything before I issue the loan or bonds.</t>
  </si>
  <si>
    <t>only coupons.</t>
  </si>
  <si>
    <t>Total fixed costs</t>
  </si>
  <si>
    <t>Depreciation amount</t>
  </si>
  <si>
    <t>product</t>
  </si>
  <si>
    <t>% of total</t>
  </si>
  <si>
    <t>Cosc</t>
  </si>
  <si>
    <t>price per unit</t>
  </si>
  <si>
    <t>new fc</t>
  </si>
  <si>
    <t>Variable cost per unit</t>
  </si>
  <si>
    <t>units sold</t>
  </si>
  <si>
    <t>BEP</t>
  </si>
  <si>
    <t>BEP if multiple products are given</t>
  </si>
  <si>
    <t>this is between the middle one and left one.</t>
  </si>
  <si>
    <t>also for finding YTM given the market price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</si>
</sst>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164" formatCode="_-* #,##0.00_-;\-* #,##0.00_-;_-* &quot;-&quot;??_-;_-@_-"/>
    <numFmt numFmtId="165" formatCode="0.0%"/>
    <numFmt numFmtId="166" formatCode="_([$€-2]\ * #,##0.00_);_([$€-2]\ * \(#,##0.00\);_([$€-2]\ * &quot;-&quot;??_);_(@_)"/>
    <numFmt numFmtId="167" formatCode="_-* #,##0.00\ [$€-C0A]_-;\-* #,##0.00\ [$€-C0A]_-;_-* &quot;-&quot;??\ [$€-C0A]_-;_-@_-"/>
    <numFmt numFmtId="168" formatCode="_(&quot;$&quot;* #,##0_);_(&quot;$&quot;* \(#,##0\);_(&quot;$&quot;* &quot;-&quot;??_);_(@_)"/>
    <numFmt numFmtId="169" formatCode="_-[$€-2]\ * #,##0.00_-;\-[$€-2]\ * #,##0.00_-;_-[$€-2]\ * &quot;-&quot;??_-;_-@_-"/>
  </numFmts>
  <fonts count="2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b/>
      <sz val="11"/>
      <color rgb="FF000000"/>
      <name val="Calibri"/>
      <family val="2"/>
    </font>
    <font>
      <i/>
      <sz val="11"/>
      <color rgb="FF000000"/>
      <name val="Calibri"/>
      <family val="2"/>
    </font>
    <font>
      <sz val="11"/>
      <name val="Calibri"/>
      <family val="2"/>
      <scheme val="minor"/>
    </font>
    <font>
      <b/>
      <sz val="11"/>
      <color rgb="FFFF0000"/>
      <name val="Calibri"/>
      <family val="2"/>
      <scheme val="minor"/>
    </font>
    <font>
      <sz val="14"/>
      <color theme="1"/>
      <name val="Avenir"/>
      <family val="2"/>
    </font>
    <font>
      <b/>
      <sz val="14"/>
      <color theme="1"/>
      <name val="Avenir"/>
      <family val="2"/>
    </font>
    <font>
      <b/>
      <sz val="14"/>
      <color rgb="FFC00000"/>
      <name val="Avenir"/>
      <family val="2"/>
    </font>
    <font>
      <sz val="14"/>
      <color rgb="FFFF0000"/>
      <name val="Avenir"/>
      <family val="2"/>
    </font>
    <font>
      <b/>
      <sz val="14"/>
      <color theme="9" tint="-0.249977111117893"/>
      <name val="Avenir"/>
      <family val="2"/>
    </font>
    <font>
      <sz val="11"/>
      <color theme="9" tint="-0.249977111117893"/>
      <name val="Calibri"/>
      <family val="2"/>
      <scheme val="minor"/>
    </font>
    <font>
      <sz val="11"/>
      <color theme="5"/>
      <name val="Calibri"/>
      <family val="2"/>
      <scheme val="minor"/>
    </font>
    <font>
      <b/>
      <i/>
      <sz val="11"/>
      <color theme="1"/>
      <name val="Calibri"/>
      <family val="2"/>
      <scheme val="minor"/>
    </font>
    <font>
      <b/>
      <i/>
      <sz val="11"/>
      <color rgb="FF111111"/>
      <name val="Calibri"/>
      <family val="2"/>
      <scheme val="minor"/>
    </font>
    <font>
      <sz val="11"/>
      <color rgb="FF111111"/>
      <name val="Calibri"/>
      <family val="2"/>
      <scheme val="minor"/>
    </font>
    <font>
      <b/>
      <i/>
      <sz val="11"/>
      <color rgb="FF000000"/>
      <name val="Calibri"/>
      <scheme val="minor"/>
    </font>
    <font>
      <sz val="11"/>
      <color rgb="FF000000"/>
      <name val="Calibri"/>
      <scheme val="minor"/>
    </font>
    <font>
      <sz val="11"/>
      <color rgb="FF000000"/>
      <name val="Calibri"/>
      <family val="2"/>
      <scheme val="minor"/>
    </font>
    <font>
      <sz val="11"/>
      <color theme="5" tint="-0.249977111117893"/>
      <name val="Calibri"/>
      <family val="2"/>
      <scheme val="minor"/>
    </font>
  </fonts>
  <fills count="30">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9"/>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2F2F2"/>
      </patternFill>
    </fill>
    <fill>
      <patternFill patternType="solid">
        <fgColor rgb="FFA5A5A5"/>
      </patternFill>
    </fill>
    <fill>
      <patternFill patternType="solid">
        <fgColor theme="5" tint="0.79998168889431442"/>
        <bgColor indexed="64"/>
      </patternFill>
    </fill>
    <fill>
      <patternFill patternType="solid">
        <fgColor rgb="FFFFFF00"/>
        <bgColor indexed="64"/>
      </patternFill>
    </fill>
  </fills>
  <borders count="15">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3F3F3F"/>
      </left>
      <right style="thin">
        <color rgb="FF3F3F3F"/>
      </right>
      <top/>
      <bottom/>
      <diagonal/>
    </border>
  </borders>
  <cellStyleXfs count="10">
    <xf numFmtId="0" fontId="0" fillId="0" borderId="0"/>
    <xf numFmtId="9" fontId="1" fillId="0" borderId="0" applyFont="0" applyFill="0" applyBorder="0" applyAlignment="0" applyProtection="0"/>
    <xf numFmtId="44" fontId="1" fillId="0" borderId="0" applyFont="0" applyFill="0" applyBorder="0" applyAlignment="0" applyProtection="0"/>
    <xf numFmtId="0" fontId="4" fillId="0" borderId="5" applyNumberFormat="0" applyFill="0" applyAlignment="0" applyProtection="0"/>
    <xf numFmtId="0" fontId="5" fillId="0" borderId="6" applyNumberFormat="0" applyFill="0" applyAlignment="0" applyProtection="0"/>
    <xf numFmtId="0" fontId="6" fillId="0" borderId="7" applyNumberFormat="0" applyFill="0" applyAlignment="0" applyProtection="0"/>
    <xf numFmtId="0" fontId="7" fillId="26" borderId="8" applyNumberFormat="0" applyAlignment="0" applyProtection="0"/>
    <xf numFmtId="0" fontId="8" fillId="27" borderId="9" applyNumberFormat="0" applyAlignment="0" applyProtection="0"/>
    <xf numFmtId="0" fontId="9" fillId="0" borderId="0" applyNumberFormat="0" applyFill="0" applyBorder="0" applyAlignment="0" applyProtection="0"/>
    <xf numFmtId="164" fontId="1" fillId="0" borderId="0" applyFont="0" applyFill="0" applyBorder="0" applyAlignment="0" applyProtection="0"/>
  </cellStyleXfs>
  <cellXfs count="134">
    <xf numFmtId="0" fontId="0" fillId="0" borderId="0" xfId="0"/>
    <xf numFmtId="8" fontId="0" fillId="0" borderId="0" xfId="0" applyNumberFormat="1"/>
    <xf numFmtId="10" fontId="0" fillId="0" borderId="0" xfId="0" applyNumberFormat="1"/>
    <xf numFmtId="9" fontId="0" fillId="0" borderId="0" xfId="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9" fontId="0" fillId="13" borderId="0" xfId="1" applyFont="1" applyFill="1"/>
    <xf numFmtId="8" fontId="0" fillId="13" borderId="0" xfId="0" applyNumberFormat="1" applyFill="1"/>
    <xf numFmtId="0" fontId="0" fillId="14" borderId="0" xfId="0" applyFill="1"/>
    <xf numFmtId="0" fontId="2" fillId="9" borderId="0" xfId="0" applyFont="1" applyFill="1"/>
    <xf numFmtId="165" fontId="2" fillId="9" borderId="0" xfId="0" applyNumberFormat="1" applyFont="1" applyFill="1"/>
    <xf numFmtId="165" fontId="0" fillId="0" borderId="0" xfId="1" applyNumberFormat="1" applyFont="1"/>
    <xf numFmtId="0" fontId="2" fillId="0" borderId="0" xfId="0" applyFont="1"/>
    <xf numFmtId="10" fontId="2" fillId="0" borderId="0" xfId="0" applyNumberFormat="1" applyFont="1"/>
    <xf numFmtId="9" fontId="2" fillId="0" borderId="0" xfId="0" applyNumberFormat="1" applyFont="1"/>
    <xf numFmtId="0" fontId="0" fillId="15" borderId="0" xfId="0" applyFill="1"/>
    <xf numFmtId="9" fontId="2" fillId="0" borderId="0" xfId="1" applyFont="1"/>
    <xf numFmtId="2" fontId="0" fillId="0" borderId="0" xfId="0" applyNumberFormat="1"/>
    <xf numFmtId="1" fontId="0" fillId="0" borderId="0" xfId="0" applyNumberFormat="1"/>
    <xf numFmtId="44" fontId="0" fillId="0" borderId="0" xfId="2" applyFont="1"/>
    <xf numFmtId="0" fontId="0" fillId="16" borderId="0" xfId="0" applyFill="1"/>
    <xf numFmtId="44" fontId="0" fillId="0" borderId="0" xfId="0" applyNumberFormat="1"/>
    <xf numFmtId="0" fontId="0" fillId="17" borderId="0" xfId="0" applyFill="1"/>
    <xf numFmtId="0" fontId="0" fillId="18" borderId="0" xfId="0" applyFill="1"/>
    <xf numFmtId="0" fontId="0" fillId="19" borderId="0" xfId="0" applyFill="1"/>
    <xf numFmtId="9" fontId="0" fillId="0" borderId="0" xfId="0" applyNumberFormat="1"/>
    <xf numFmtId="0" fontId="3" fillId="6" borderId="0" xfId="0" applyFont="1" applyFill="1"/>
    <xf numFmtId="0" fontId="0" fillId="0" borderId="2" xfId="0" applyBorder="1"/>
    <xf numFmtId="0" fontId="0" fillId="22" borderId="0" xfId="0" applyFill="1"/>
    <xf numFmtId="0" fontId="3" fillId="4" borderId="0" xfId="0" applyFont="1" applyFill="1"/>
    <xf numFmtId="0" fontId="3" fillId="21" borderId="4" xfId="0" applyFont="1" applyFill="1" applyBorder="1"/>
    <xf numFmtId="0" fontId="0" fillId="21" borderId="4" xfId="0" applyFill="1" applyBorder="1"/>
    <xf numFmtId="0" fontId="0" fillId="20" borderId="2" xfId="0" applyFill="1" applyBorder="1"/>
    <xf numFmtId="166" fontId="0" fillId="20" borderId="2" xfId="0" applyNumberFormat="1" applyFill="1" applyBorder="1"/>
    <xf numFmtId="0" fontId="3" fillId="20" borderId="2" xfId="0" applyFont="1" applyFill="1" applyBorder="1"/>
    <xf numFmtId="0" fontId="0" fillId="20" borderId="3" xfId="0" applyFill="1" applyBorder="1"/>
    <xf numFmtId="0" fontId="3" fillId="21" borderId="1" xfId="0" applyFont="1" applyFill="1" applyBorder="1"/>
    <xf numFmtId="0" fontId="0" fillId="21" borderId="1" xfId="0" applyFill="1" applyBorder="1"/>
    <xf numFmtId="0" fontId="0" fillId="23" borderId="0" xfId="0" applyFill="1"/>
    <xf numFmtId="0" fontId="3" fillId="20" borderId="0" xfId="0" applyFont="1" applyFill="1"/>
    <xf numFmtId="167" fontId="0" fillId="22" borderId="0" xfId="2" applyNumberFormat="1" applyFont="1" applyFill="1"/>
    <xf numFmtId="167" fontId="0" fillId="22" borderId="0" xfId="0" applyNumberFormat="1" applyFill="1"/>
    <xf numFmtId="167" fontId="0" fillId="20" borderId="2" xfId="0" applyNumberFormat="1" applyFill="1" applyBorder="1"/>
    <xf numFmtId="167" fontId="0" fillId="23" borderId="0" xfId="0" applyNumberFormat="1" applyFill="1"/>
    <xf numFmtId="167" fontId="0" fillId="20" borderId="3" xfId="2" applyNumberFormat="1" applyFont="1" applyFill="1" applyBorder="1"/>
    <xf numFmtId="167" fontId="0" fillId="20" borderId="2" xfId="2" applyNumberFormat="1" applyFont="1" applyFill="1" applyBorder="1"/>
    <xf numFmtId="166" fontId="0" fillId="22" borderId="0" xfId="0" applyNumberFormat="1" applyFill="1"/>
    <xf numFmtId="166" fontId="3" fillId="20" borderId="0" xfId="0" applyNumberFormat="1" applyFont="1" applyFill="1"/>
    <xf numFmtId="2" fontId="0" fillId="0" borderId="0" xfId="1" applyNumberFormat="1" applyFont="1"/>
    <xf numFmtId="166" fontId="0" fillId="0" borderId="0" xfId="0" applyNumberFormat="1"/>
    <xf numFmtId="166" fontId="0" fillId="4" borderId="0" xfId="0" applyNumberFormat="1" applyFill="1"/>
    <xf numFmtId="165" fontId="0" fillId="0" borderId="0" xfId="0" applyNumberFormat="1"/>
    <xf numFmtId="0" fontId="0" fillId="25" borderId="0" xfId="0" applyFill="1"/>
    <xf numFmtId="0" fontId="0" fillId="24" borderId="0" xfId="0" applyFill="1"/>
    <xf numFmtId="0" fontId="10" fillId="0" borderId="0" xfId="0" applyFont="1"/>
    <xf numFmtId="0" fontId="11" fillId="0" borderId="0" xfId="0" applyFont="1"/>
    <xf numFmtId="0" fontId="3" fillId="0" borderId="0" xfId="0" applyFont="1"/>
    <xf numFmtId="0" fontId="12" fillId="0" borderId="0" xfId="0" applyFont="1"/>
    <xf numFmtId="0" fontId="13" fillId="0" borderId="0" xfId="0" applyFont="1"/>
    <xf numFmtId="0" fontId="14" fillId="0" borderId="0" xfId="0" applyFont="1" applyAlignment="1">
      <alignment horizontal="left"/>
    </xf>
    <xf numFmtId="0" fontId="14" fillId="0" borderId="0" xfId="0" applyFont="1"/>
    <xf numFmtId="0" fontId="15" fillId="14" borderId="0" xfId="0" applyFont="1" applyFill="1" applyAlignment="1">
      <alignment horizontal="center"/>
    </xf>
    <xf numFmtId="3" fontId="14" fillId="0" borderId="0" xfId="0" applyNumberFormat="1" applyFont="1"/>
    <xf numFmtId="0" fontId="15" fillId="14" borderId="0" xfId="0" applyFont="1" applyFill="1" applyAlignment="1">
      <alignment horizontal="left"/>
    </xf>
    <xf numFmtId="3" fontId="15" fillId="14" borderId="0" xfId="0" applyNumberFormat="1" applyFont="1" applyFill="1"/>
    <xf numFmtId="0" fontId="15" fillId="0" borderId="0" xfId="0" applyFont="1" applyAlignment="1">
      <alignment horizontal="left"/>
    </xf>
    <xf numFmtId="49" fontId="14" fillId="0" borderId="0" xfId="0" applyNumberFormat="1" applyFont="1" applyAlignment="1">
      <alignment horizontal="left"/>
    </xf>
    <xf numFmtId="0" fontId="14" fillId="0" borderId="12" xfId="0" applyFont="1" applyBorder="1"/>
    <xf numFmtId="49" fontId="16" fillId="14" borderId="0" xfId="0" applyNumberFormat="1" applyFont="1" applyFill="1" applyAlignment="1">
      <alignment horizontal="left"/>
    </xf>
    <xf numFmtId="2" fontId="14" fillId="0" borderId="0" xfId="0" applyNumberFormat="1" applyFont="1" applyAlignment="1">
      <alignment horizontal="center"/>
    </xf>
    <xf numFmtId="0" fontId="14" fillId="0" borderId="0" xfId="0" applyFont="1" applyAlignment="1">
      <alignment horizontal="center"/>
    </xf>
    <xf numFmtId="0" fontId="14" fillId="14" borderId="0" xfId="0" applyFont="1" applyFill="1" applyAlignment="1">
      <alignment horizontal="left"/>
    </xf>
    <xf numFmtId="0" fontId="14" fillId="14" borderId="0" xfId="0" applyFont="1" applyFill="1"/>
    <xf numFmtId="9" fontId="14" fillId="0" borderId="0" xfId="1" applyFont="1"/>
    <xf numFmtId="165" fontId="15" fillId="19" borderId="0" xfId="1" applyNumberFormat="1" applyFont="1" applyFill="1"/>
    <xf numFmtId="165" fontId="14" fillId="0" borderId="0" xfId="1" applyNumberFormat="1" applyFont="1"/>
    <xf numFmtId="3" fontId="17" fillId="0" borderId="0" xfId="0" applyNumberFormat="1" applyFont="1"/>
    <xf numFmtId="3" fontId="18" fillId="14" borderId="0" xfId="0" applyNumberFormat="1" applyFont="1" applyFill="1"/>
    <xf numFmtId="49" fontId="18" fillId="14" borderId="0" xfId="0" applyNumberFormat="1" applyFont="1" applyFill="1" applyAlignment="1">
      <alignment horizontal="left"/>
    </xf>
    <xf numFmtId="165" fontId="18" fillId="19" borderId="0" xfId="1" applyNumberFormat="1" applyFont="1" applyFill="1"/>
    <xf numFmtId="9" fontId="17" fillId="0" borderId="12" xfId="0" applyNumberFormat="1" applyFont="1" applyBorder="1" applyAlignment="1">
      <alignment horizontal="center"/>
    </xf>
    <xf numFmtId="0" fontId="19" fillId="24" borderId="0" xfId="0" applyFont="1" applyFill="1"/>
    <xf numFmtId="0" fontId="20" fillId="14" borderId="0" xfId="0" applyFont="1" applyFill="1"/>
    <xf numFmtId="0" fontId="9" fillId="0" borderId="0" xfId="8"/>
    <xf numFmtId="0" fontId="4" fillId="0" borderId="5" xfId="3"/>
    <xf numFmtId="0" fontId="5" fillId="0" borderId="6" xfId="4"/>
    <xf numFmtId="0" fontId="7" fillId="26" borderId="8" xfId="6"/>
    <xf numFmtId="0" fontId="8" fillId="27" borderId="9" xfId="7"/>
    <xf numFmtId="0" fontId="13" fillId="26" borderId="8" xfId="6" applyFont="1" applyAlignment="1">
      <alignment horizontal="center"/>
    </xf>
    <xf numFmtId="0" fontId="6" fillId="0" borderId="7" xfId="5"/>
    <xf numFmtId="0" fontId="0" fillId="28" borderId="0" xfId="0" applyFill="1"/>
    <xf numFmtId="0" fontId="0" fillId="10" borderId="0" xfId="0" applyFill="1" applyAlignment="1">
      <alignment horizontal="center"/>
    </xf>
    <xf numFmtId="0" fontId="13" fillId="28" borderId="8" xfId="6" applyFont="1" applyFill="1" applyAlignment="1">
      <alignment horizontal="center"/>
    </xf>
    <xf numFmtId="0" fontId="13" fillId="28" borderId="8" xfId="6" applyNumberFormat="1" applyFont="1" applyFill="1" applyAlignment="1">
      <alignment horizontal="center"/>
    </xf>
    <xf numFmtId="165" fontId="13" fillId="28" borderId="8" xfId="1" applyNumberFormat="1" applyFont="1" applyFill="1" applyBorder="1" applyAlignment="1">
      <alignment horizontal="center"/>
    </xf>
    <xf numFmtId="0" fontId="13" fillId="10" borderId="8" xfId="6" applyFont="1" applyFill="1" applyAlignment="1">
      <alignment horizontal="center"/>
    </xf>
    <xf numFmtId="165" fontId="13" fillId="10" borderId="8" xfId="1" applyNumberFormat="1" applyFont="1" applyFill="1" applyBorder="1" applyAlignment="1">
      <alignment horizontal="center"/>
    </xf>
    <xf numFmtId="0" fontId="13" fillId="10" borderId="14" xfId="6" applyFont="1" applyFill="1" applyBorder="1" applyAlignment="1">
      <alignment horizontal="center"/>
    </xf>
    <xf numFmtId="0" fontId="0" fillId="0" borderId="0" xfId="1" applyNumberFormat="1" applyFont="1" applyAlignment="1">
      <alignment horizontal="center"/>
    </xf>
    <xf numFmtId="10" fontId="0" fillId="0" borderId="0" xfId="1" applyNumberFormat="1" applyFont="1"/>
    <xf numFmtId="9" fontId="2" fillId="28" borderId="0" xfId="1" applyFont="1" applyFill="1" applyAlignment="1">
      <alignment horizontal="center"/>
    </xf>
    <xf numFmtId="0" fontId="0" fillId="29" borderId="0" xfId="0" applyFill="1"/>
    <xf numFmtId="1" fontId="0" fillId="28" borderId="0" xfId="0" applyNumberFormat="1" applyFill="1" applyAlignment="1">
      <alignment horizontal="center"/>
    </xf>
    <xf numFmtId="9" fontId="0" fillId="29" borderId="0" xfId="1" applyFont="1" applyFill="1"/>
    <xf numFmtId="9" fontId="0" fillId="10" borderId="0" xfId="1" applyFont="1" applyFill="1" applyAlignment="1">
      <alignment horizontal="center"/>
    </xf>
    <xf numFmtId="0" fontId="0" fillId="0" borderId="0" xfId="0" applyAlignment="1">
      <alignment horizontal="center"/>
    </xf>
    <xf numFmtId="0" fontId="2" fillId="28" borderId="0" xfId="0" applyFont="1" applyFill="1" applyAlignment="1">
      <alignment horizontal="center"/>
    </xf>
    <xf numFmtId="168" fontId="0" fillId="28" borderId="0" xfId="2" applyNumberFormat="1" applyFont="1" applyFill="1" applyAlignment="1"/>
    <xf numFmtId="164" fontId="0" fillId="0" borderId="0" xfId="9" applyFont="1"/>
    <xf numFmtId="167" fontId="0" fillId="0" borderId="0" xfId="2" applyNumberFormat="1" applyFont="1"/>
    <xf numFmtId="0" fontId="0" fillId="0" borderId="0" xfId="0" applyAlignment="1">
      <alignment wrapText="1"/>
    </xf>
    <xf numFmtId="0" fontId="22" fillId="0" borderId="0" xfId="0" applyFont="1" applyAlignment="1">
      <alignment wrapText="1"/>
    </xf>
    <xf numFmtId="169" fontId="0" fillId="0" borderId="0" xfId="0" applyNumberFormat="1"/>
    <xf numFmtId="164" fontId="2" fillId="0" borderId="0" xfId="9" applyFont="1"/>
    <xf numFmtId="0" fontId="26" fillId="0" borderId="0" xfId="0" applyFont="1" applyAlignment="1">
      <alignment wrapText="1"/>
    </xf>
    <xf numFmtId="164" fontId="0" fillId="19" borderId="0" xfId="9" applyFont="1" applyFill="1"/>
    <xf numFmtId="0" fontId="2" fillId="7" borderId="0" xfId="0" applyFont="1" applyFill="1"/>
    <xf numFmtId="0" fontId="27" fillId="0" borderId="0" xfId="0" applyFont="1"/>
    <xf numFmtId="0" fontId="3" fillId="21" borderId="0" xfId="0" applyFont="1" applyFill="1"/>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3" xfId="0" applyFont="1" applyBorder="1" applyAlignment="1">
      <alignment horizontal="center" vertical="center"/>
    </xf>
    <xf numFmtId="0" fontId="3" fillId="12" borderId="0" xfId="0" applyFont="1" applyFill="1" applyAlignment="1">
      <alignment horizontal="center"/>
    </xf>
    <xf numFmtId="0" fontId="3" fillId="17" borderId="0" xfId="0" applyFont="1" applyFill="1"/>
  </cellXfs>
  <cellStyles count="10">
    <cellStyle name="Check Cell" xfId="7" builtinId="23"/>
    <cellStyle name="Comma" xfId="9" builtinId="3"/>
    <cellStyle name="Currency" xfId="2" builtinId="4"/>
    <cellStyle name="Explanatory Text" xfId="8" builtinId="53"/>
    <cellStyle name="Heading 1" xfId="3" builtinId="16"/>
    <cellStyle name="Heading 2" xfId="4" builtinId="17"/>
    <cellStyle name="Heading 3" xfId="5" builtinId="18"/>
    <cellStyle name="Normal" xfId="0" builtinId="0"/>
    <cellStyle name="Output" xfId="6" builtinId="21"/>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11</xdr:col>
      <xdr:colOff>114300</xdr:colOff>
      <xdr:row>5</xdr:row>
      <xdr:rowOff>142875</xdr:rowOff>
    </xdr:from>
    <xdr:to>
      <xdr:col>18</xdr:col>
      <xdr:colOff>209550</xdr:colOff>
      <xdr:row>18</xdr:row>
      <xdr:rowOff>47625</xdr:rowOff>
    </xdr:to>
    <xdr:pic>
      <xdr:nvPicPr>
        <xdr:cNvPr id="5" name="Picture 4">
          <a:extLst>
            <a:ext uri="{FF2B5EF4-FFF2-40B4-BE49-F238E27FC236}">
              <a16:creationId xmlns:a16="http://schemas.microsoft.com/office/drawing/2014/main" id="{21CB042D-53B9-F120-19B0-7068BF4FE286}"/>
            </a:ext>
          </a:extLst>
        </xdr:cNvPr>
        <xdr:cNvPicPr>
          <a:picLocks noChangeAspect="1"/>
        </xdr:cNvPicPr>
      </xdr:nvPicPr>
      <xdr:blipFill>
        <a:blip xmlns:r="http://schemas.openxmlformats.org/officeDocument/2006/relationships" r:embed="rId1"/>
        <a:stretch>
          <a:fillRect/>
        </a:stretch>
      </xdr:blipFill>
      <xdr:spPr>
        <a:xfrm>
          <a:off x="9477375" y="1066800"/>
          <a:ext cx="4362450" cy="235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1006475</xdr:colOff>
      <xdr:row>0</xdr:row>
      <xdr:rowOff>76200</xdr:rowOff>
    </xdr:from>
    <xdr:to>
      <xdr:col>11</xdr:col>
      <xdr:colOff>429895</xdr:colOff>
      <xdr:row>23</xdr:row>
      <xdr:rowOff>129540</xdr:rowOff>
    </xdr:to>
    <xdr:pic>
      <xdr:nvPicPr>
        <xdr:cNvPr id="2" name="Picture 1">
          <a:extLst>
            <a:ext uri="{FF2B5EF4-FFF2-40B4-BE49-F238E27FC236}">
              <a16:creationId xmlns:a16="http://schemas.microsoft.com/office/drawing/2014/main" id="{CBC0CB6F-81A3-2098-3518-604761C1AC57}"/>
            </a:ext>
          </a:extLst>
        </xdr:cNvPr>
        <xdr:cNvPicPr>
          <a:picLocks noChangeAspect="1"/>
        </xdr:cNvPicPr>
      </xdr:nvPicPr>
      <xdr:blipFill>
        <a:blip xmlns:r="http://schemas.openxmlformats.org/officeDocument/2006/relationships" r:embed="rId1"/>
        <a:stretch>
          <a:fillRect/>
        </a:stretch>
      </xdr:blipFill>
      <xdr:spPr>
        <a:xfrm>
          <a:off x="8140700" y="76200"/>
          <a:ext cx="4233545" cy="4215765"/>
        </a:xfrm>
        <a:prstGeom prst="rect">
          <a:avLst/>
        </a:prstGeom>
      </xdr:spPr>
    </xdr:pic>
    <xdr:clientData/>
  </xdr:twoCellAnchor>
  <xdr:twoCellAnchor editAs="oneCell">
    <xdr:from>
      <xdr:col>3</xdr:col>
      <xdr:colOff>101386</xdr:colOff>
      <xdr:row>25</xdr:row>
      <xdr:rowOff>6350</xdr:rowOff>
    </xdr:from>
    <xdr:to>
      <xdr:col>10</xdr:col>
      <xdr:colOff>559614</xdr:colOff>
      <xdr:row>30</xdr:row>
      <xdr:rowOff>39537</xdr:rowOff>
    </xdr:to>
    <xdr:pic>
      <xdr:nvPicPr>
        <xdr:cNvPr id="5" name="Picture 2">
          <a:extLst>
            <a:ext uri="{FF2B5EF4-FFF2-40B4-BE49-F238E27FC236}">
              <a16:creationId xmlns:a16="http://schemas.microsoft.com/office/drawing/2014/main" id="{1AB637DD-3EDA-4750-42AC-F70D2B9103BA}"/>
            </a:ext>
          </a:extLst>
        </xdr:cNvPr>
        <xdr:cNvPicPr>
          <a:picLocks noChangeAspect="1"/>
        </xdr:cNvPicPr>
      </xdr:nvPicPr>
      <xdr:blipFill>
        <a:blip xmlns:r="http://schemas.openxmlformats.org/officeDocument/2006/relationships" r:embed="rId2"/>
        <a:stretch>
          <a:fillRect/>
        </a:stretch>
      </xdr:blipFill>
      <xdr:spPr>
        <a:xfrm>
          <a:off x="6626411" y="4648787"/>
          <a:ext cx="5385828" cy="953937"/>
        </a:xfrm>
        <a:prstGeom prst="rect">
          <a:avLst/>
        </a:prstGeom>
      </xdr:spPr>
    </xdr:pic>
    <xdr:clientData/>
  </xdr:twoCellAnchor>
  <xdr:twoCellAnchor editAs="oneCell">
    <xdr:from>
      <xdr:col>3</xdr:col>
      <xdr:colOff>323850</xdr:colOff>
      <xdr:row>35</xdr:row>
      <xdr:rowOff>127000</xdr:rowOff>
    </xdr:from>
    <xdr:to>
      <xdr:col>8</xdr:col>
      <xdr:colOff>552650</xdr:colOff>
      <xdr:row>59</xdr:row>
      <xdr:rowOff>12921</xdr:rowOff>
    </xdr:to>
    <xdr:pic>
      <xdr:nvPicPr>
        <xdr:cNvPr id="4" name="Picture 3">
          <a:extLst>
            <a:ext uri="{FF2B5EF4-FFF2-40B4-BE49-F238E27FC236}">
              <a16:creationId xmlns:a16="http://schemas.microsoft.com/office/drawing/2014/main" id="{FB2F2B58-DF45-4CB1-2DDF-F69F3ECA93B4}"/>
            </a:ext>
          </a:extLst>
        </xdr:cNvPr>
        <xdr:cNvPicPr>
          <a:picLocks noChangeAspect="1"/>
        </xdr:cNvPicPr>
      </xdr:nvPicPr>
      <xdr:blipFill>
        <a:blip xmlns:r="http://schemas.openxmlformats.org/officeDocument/2006/relationships" r:embed="rId3"/>
        <a:stretch>
          <a:fillRect/>
        </a:stretch>
      </xdr:blipFill>
      <xdr:spPr>
        <a:xfrm>
          <a:off x="6997700" y="6572250"/>
          <a:ext cx="3899100" cy="43055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1155700</xdr:colOff>
      <xdr:row>6</xdr:row>
      <xdr:rowOff>82550</xdr:rowOff>
    </xdr:from>
    <xdr:to>
      <xdr:col>9</xdr:col>
      <xdr:colOff>38100</xdr:colOff>
      <xdr:row>36</xdr:row>
      <xdr:rowOff>32458</xdr:rowOff>
    </xdr:to>
    <xdr:pic>
      <xdr:nvPicPr>
        <xdr:cNvPr id="2" name="Picture 1">
          <a:extLst>
            <a:ext uri="{FF2B5EF4-FFF2-40B4-BE49-F238E27FC236}">
              <a16:creationId xmlns:a16="http://schemas.microsoft.com/office/drawing/2014/main" id="{0237777F-C2ED-AF5B-08AF-DE51827C1849}"/>
            </a:ext>
          </a:extLst>
        </xdr:cNvPr>
        <xdr:cNvPicPr>
          <a:picLocks noChangeAspect="1"/>
        </xdr:cNvPicPr>
      </xdr:nvPicPr>
      <xdr:blipFill>
        <a:blip xmlns:r="http://schemas.openxmlformats.org/officeDocument/2006/relationships" r:embed="rId1"/>
        <a:stretch>
          <a:fillRect/>
        </a:stretch>
      </xdr:blipFill>
      <xdr:spPr>
        <a:xfrm>
          <a:off x="3784600" y="1225550"/>
          <a:ext cx="4978400" cy="547440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DE0916-0350-49C2-88A8-3D7FCA9DB343}" name="Table1" displayName="Table1" ref="A1:K6" totalsRowShown="0">
  <autoFilter ref="A1:K6" xr:uid="{9CDE0916-0350-49C2-88A8-3D7FCA9DB343}"/>
  <tableColumns count="11">
    <tableColumn id="1" xr3:uid="{E32EBA77-4CB5-4B40-BBDE-633C80114B26}" name="Year"/>
    <tableColumn id="2" xr3:uid="{E2C9DC40-C05E-4618-BCAE-3702F20A5460}" name="Units Sold"/>
    <tableColumn id="3" xr3:uid="{AA10E9B6-2807-4BFF-A8C7-BFBF8C48B89E}" name="Net Sales"/>
    <tableColumn id="4" xr3:uid="{64F1F3BE-1D13-4B70-93F9-B60038F84FBE}" name="Operating Result"/>
    <tableColumn id="5" xr3:uid="{1A69D62D-EE9E-4CF3-BBE2-634291CE43FB}" name="Column2"/>
    <tableColumn id="6" xr3:uid="{2BD79F0E-894C-4309-B5B7-D9494F8A5413}" name="Result for the year"/>
    <tableColumn id="7" xr3:uid="{0B701C59-8108-42D6-93E3-E462DD5AE771}" name="Investments"/>
    <tableColumn id="8" xr3:uid="{33524468-3F55-4F0B-BA2C-33D1BC44AAA2}" name="Operating Cashflow"/>
    <tableColumn id="9" xr3:uid="{9A5B1750-984A-442D-8A60-63C5A6D5AA10}" name="Price per unit" dataDxfId="2">
      <calculatedColumnFormula>Table1[[#This Row],[Net Sales]]/Table1[[#This Row],[Units Sold]]</calculatedColumnFormula>
    </tableColumn>
    <tableColumn id="10" xr3:uid="{32BEA4F1-7EF7-46E1-8ABA-8D3D03994245}" name="Units they have " dataDxfId="1">
      <calculatedColumnFormula>'BALANCE SHEET'!B9/Table1[[#This Row],[Price per unit]]</calculatedColumnFormula>
    </tableColumn>
    <tableColumn id="11" xr3:uid="{DDA6435C-7B8B-4909-BCC6-0657D58F4794}" name="Sales per month" dataDxfId="0">
      <calculatedColumnFormula>Table1[[#This Row],[Units Sold]]/12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investopedia.com/terms/f/fixed-charge.asp" TargetMode="External"/><Relationship Id="rId1" Type="http://schemas.openxmlformats.org/officeDocument/2006/relationships/hyperlink" Target="https://www.investopedia.com/terms/f/fixed-charge.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6662E-360F-4476-A1C7-5B2F6826ECAD}">
  <dimension ref="A1:H80"/>
  <sheetViews>
    <sheetView zoomScale="92" workbookViewId="0">
      <selection activeCell="B15" sqref="B15"/>
    </sheetView>
  </sheetViews>
  <sheetFormatPr defaultColWidth="8.81640625" defaultRowHeight="14.5"/>
  <cols>
    <col min="1" max="1" width="27.81640625" customWidth="1"/>
    <col min="2" max="2" width="19.81640625" customWidth="1"/>
    <col min="3" max="3" width="19.453125" customWidth="1"/>
    <col min="6" max="6" width="30.453125" bestFit="1" customWidth="1"/>
    <col min="7" max="8" width="17.453125" bestFit="1" customWidth="1"/>
  </cols>
  <sheetData>
    <row r="1" spans="1:8">
      <c r="A1" t="s">
        <v>132</v>
      </c>
    </row>
    <row r="2" spans="1:8">
      <c r="A2" t="s">
        <v>133</v>
      </c>
    </row>
    <row r="4" spans="1:8">
      <c r="A4" s="40" t="s">
        <v>134</v>
      </c>
      <c r="B4" s="41">
        <v>2022</v>
      </c>
      <c r="C4" s="41">
        <v>2021</v>
      </c>
    </row>
    <row r="5" spans="1:8">
      <c r="A5" s="42" t="s">
        <v>135</v>
      </c>
      <c r="B5" s="52">
        <f>SUM(B6:B10)</f>
        <v>4416900000</v>
      </c>
      <c r="C5" s="52">
        <f>SUM(C6:C10)</f>
        <v>4440800000</v>
      </c>
    </row>
    <row r="6" spans="1:8">
      <c r="A6" s="38" t="s">
        <v>136</v>
      </c>
      <c r="B6" s="51">
        <v>1694400000</v>
      </c>
      <c r="C6" s="51">
        <v>1610700000</v>
      </c>
    </row>
    <row r="7" spans="1:8">
      <c r="A7" s="38" t="s">
        <v>137</v>
      </c>
      <c r="B7" s="50">
        <v>1461500000</v>
      </c>
      <c r="C7" s="50">
        <v>1631700000</v>
      </c>
    </row>
    <row r="8" spans="1:8">
      <c r="A8" s="38" t="s">
        <v>138</v>
      </c>
      <c r="B8" s="50">
        <v>755400000</v>
      </c>
      <c r="C8" s="50">
        <v>756200000</v>
      </c>
    </row>
    <row r="9" spans="1:8">
      <c r="A9" s="38" t="s">
        <v>139</v>
      </c>
      <c r="B9" s="50">
        <v>22700000</v>
      </c>
      <c r="C9" s="50">
        <v>6400000</v>
      </c>
    </row>
    <row r="10" spans="1:8">
      <c r="A10" s="38" t="s">
        <v>140</v>
      </c>
      <c r="B10" s="50">
        <v>482900000</v>
      </c>
      <c r="C10" s="50">
        <v>435800000</v>
      </c>
    </row>
    <row r="11" spans="1:8">
      <c r="A11" s="48"/>
      <c r="B11" s="53"/>
      <c r="C11" s="53"/>
    </row>
    <row r="12" spans="1:8">
      <c r="A12" s="42" t="s">
        <v>141</v>
      </c>
      <c r="B12" s="52">
        <f>SUM(B13:B18)</f>
        <v>1824600000</v>
      </c>
      <c r="C12" s="52">
        <f>SUM(C13:C18)</f>
        <v>1121600000</v>
      </c>
    </row>
    <row r="13" spans="1:8">
      <c r="A13" s="38" t="s">
        <v>142</v>
      </c>
      <c r="B13" s="51">
        <v>874200000</v>
      </c>
      <c r="C13" s="51">
        <v>453900000</v>
      </c>
      <c r="F13" t="s">
        <v>143</v>
      </c>
    </row>
    <row r="14" spans="1:8">
      <c r="A14" s="38" t="s">
        <v>144</v>
      </c>
      <c r="B14" s="51">
        <v>837200000</v>
      </c>
      <c r="C14" s="51">
        <v>593000000</v>
      </c>
      <c r="G14">
        <v>2022</v>
      </c>
      <c r="H14">
        <v>2021</v>
      </c>
    </row>
    <row r="15" spans="1:8">
      <c r="A15" s="38" t="s">
        <v>145</v>
      </c>
      <c r="B15" s="51">
        <v>82500000</v>
      </c>
      <c r="C15" s="51">
        <v>64700000</v>
      </c>
      <c r="F15" t="s">
        <v>146</v>
      </c>
      <c r="G15" s="59">
        <v>37500000</v>
      </c>
      <c r="H15" s="59">
        <v>44000000</v>
      </c>
    </row>
    <row r="16" spans="1:8">
      <c r="A16" s="38" t="s">
        <v>147</v>
      </c>
      <c r="B16" s="51">
        <v>22700000</v>
      </c>
      <c r="C16" s="51">
        <v>4400000</v>
      </c>
      <c r="F16" t="s">
        <v>148</v>
      </c>
      <c r="G16" s="59">
        <v>575200000</v>
      </c>
      <c r="H16" s="59">
        <v>474100000</v>
      </c>
    </row>
    <row r="17" spans="1:8">
      <c r="A17" s="38" t="s">
        <v>149</v>
      </c>
      <c r="B17" s="51">
        <v>8000000</v>
      </c>
      <c r="C17" s="51">
        <v>5600000</v>
      </c>
      <c r="F17" t="s">
        <v>150</v>
      </c>
      <c r="G17" s="59">
        <v>32800000</v>
      </c>
      <c r="H17" s="59">
        <v>32500000</v>
      </c>
    </row>
    <row r="18" spans="1:8">
      <c r="A18" s="38" t="s">
        <v>151</v>
      </c>
      <c r="B18" s="51">
        <v>0</v>
      </c>
      <c r="C18" s="51">
        <v>0</v>
      </c>
      <c r="F18" t="s">
        <v>152</v>
      </c>
      <c r="G18" s="59">
        <v>700000</v>
      </c>
      <c r="H18" s="59">
        <v>900000</v>
      </c>
    </row>
    <row r="19" spans="1:8">
      <c r="A19" s="38"/>
      <c r="B19" s="51"/>
      <c r="C19" s="51"/>
      <c r="F19" t="s">
        <v>153</v>
      </c>
      <c r="G19" s="59">
        <v>35800000</v>
      </c>
      <c r="H19" s="59">
        <v>2600000</v>
      </c>
    </row>
    <row r="20" spans="1:8">
      <c r="A20" s="44" t="s">
        <v>154</v>
      </c>
      <c r="B20" s="52">
        <f>B5+B12</f>
        <v>6241500000</v>
      </c>
      <c r="C20" s="52">
        <f>C5+C12</f>
        <v>5562400000</v>
      </c>
      <c r="F20" t="s">
        <v>155</v>
      </c>
      <c r="G20" s="59">
        <v>155200000</v>
      </c>
      <c r="H20" s="59">
        <v>38.9</v>
      </c>
    </row>
    <row r="21" spans="1:8">
      <c r="A21" s="38"/>
      <c r="B21" s="51"/>
      <c r="C21" s="51"/>
      <c r="F21" t="s">
        <v>156</v>
      </c>
      <c r="G21" s="59">
        <f>SUM(G15:G20)</f>
        <v>837200000</v>
      </c>
      <c r="H21" s="59">
        <f>SUM(H15:H20)</f>
        <v>554100038.89999998</v>
      </c>
    </row>
    <row r="22" spans="1:8">
      <c r="A22" s="46" t="s">
        <v>157</v>
      </c>
      <c r="B22" s="47">
        <v>2022</v>
      </c>
      <c r="C22" s="47">
        <v>2021</v>
      </c>
    </row>
    <row r="23" spans="1:8">
      <c r="A23" s="45" t="s">
        <v>158</v>
      </c>
      <c r="B23" s="54">
        <f>SUM(B24:B26)</f>
        <v>1297400000</v>
      </c>
      <c r="C23" s="54">
        <f>SUM(C24:C26)</f>
        <v>1207700000</v>
      </c>
    </row>
    <row r="24" spans="1:8">
      <c r="A24" s="38" t="s">
        <v>159</v>
      </c>
      <c r="B24" s="50">
        <v>1312700000</v>
      </c>
      <c r="C24" s="50">
        <v>1245200000</v>
      </c>
    </row>
    <row r="25" spans="1:8">
      <c r="A25" s="38" t="s">
        <v>160</v>
      </c>
      <c r="B25" s="50">
        <v>-22200000</v>
      </c>
      <c r="C25" s="50">
        <v>-39400000</v>
      </c>
    </row>
    <row r="26" spans="1:8">
      <c r="A26" s="38" t="s">
        <v>161</v>
      </c>
      <c r="B26" s="50">
        <v>6900000</v>
      </c>
      <c r="C26" s="50">
        <v>1900000</v>
      </c>
    </row>
    <row r="27" spans="1:8">
      <c r="A27" s="38"/>
      <c r="B27" s="50"/>
      <c r="C27" s="50"/>
    </row>
    <row r="28" spans="1:8">
      <c r="A28" s="42" t="s">
        <v>162</v>
      </c>
      <c r="B28" s="55">
        <f>SUM(B29:B32)</f>
        <v>1026400000</v>
      </c>
      <c r="C28" s="55">
        <f>SUM(C29:C32)</f>
        <v>692900000</v>
      </c>
    </row>
    <row r="29" spans="1:8">
      <c r="A29" s="38" t="s">
        <v>163</v>
      </c>
      <c r="B29" s="50">
        <v>708200000</v>
      </c>
      <c r="C29" s="50">
        <v>425600000</v>
      </c>
    </row>
    <row r="30" spans="1:8">
      <c r="A30" s="38" t="s">
        <v>164</v>
      </c>
      <c r="B30" s="50">
        <v>120900000</v>
      </c>
      <c r="C30" s="50">
        <v>69200000</v>
      </c>
    </row>
    <row r="31" spans="1:8">
      <c r="A31" s="38" t="s">
        <v>165</v>
      </c>
      <c r="B31" s="50">
        <v>18500000</v>
      </c>
      <c r="C31" s="50">
        <v>8200000</v>
      </c>
    </row>
    <row r="32" spans="1:8">
      <c r="A32" s="38" t="s">
        <v>166</v>
      </c>
      <c r="B32" s="50">
        <v>178800000</v>
      </c>
      <c r="C32" s="50">
        <v>189900000</v>
      </c>
    </row>
    <row r="33" spans="1:3">
      <c r="A33" s="38"/>
      <c r="B33" s="50"/>
      <c r="C33" s="50"/>
    </row>
    <row r="34" spans="1:3">
      <c r="A34" s="42" t="s">
        <v>167</v>
      </c>
      <c r="B34" s="55">
        <f>SUM(B35:B39)</f>
        <v>3917700000</v>
      </c>
      <c r="C34" s="55">
        <f>SUM(C35:C39)</f>
        <v>3661800000</v>
      </c>
    </row>
    <row r="35" spans="1:3">
      <c r="A35" s="38" t="s">
        <v>168</v>
      </c>
      <c r="B35" s="50">
        <v>953000000</v>
      </c>
      <c r="C35" s="50">
        <v>945600000</v>
      </c>
    </row>
    <row r="36" spans="1:3">
      <c r="A36" s="38" t="s">
        <v>169</v>
      </c>
      <c r="B36" s="50">
        <v>118500000</v>
      </c>
      <c r="C36" s="50">
        <v>137000000</v>
      </c>
    </row>
    <row r="37" spans="1:3">
      <c r="A37" s="38" t="s">
        <v>170</v>
      </c>
      <c r="B37" s="50">
        <v>532800000</v>
      </c>
      <c r="C37" s="50">
        <v>497500000</v>
      </c>
    </row>
    <row r="38" spans="1:3">
      <c r="A38" s="38" t="s">
        <v>171</v>
      </c>
      <c r="B38" s="50">
        <v>2196100000</v>
      </c>
      <c r="C38" s="50">
        <v>1960900000</v>
      </c>
    </row>
    <row r="39" spans="1:3">
      <c r="A39" s="38" t="s">
        <v>172</v>
      </c>
      <c r="B39" s="50">
        <v>117300000</v>
      </c>
      <c r="C39" s="50">
        <v>120800000</v>
      </c>
    </row>
    <row r="40" spans="1:3">
      <c r="A40" s="44" t="s">
        <v>154</v>
      </c>
      <c r="B40" s="52">
        <f>B23+B28+B34</f>
        <v>6241500000</v>
      </c>
      <c r="C40" s="52">
        <f>C34+C28+C23</f>
        <v>5562400000</v>
      </c>
    </row>
    <row r="44" spans="1:3">
      <c r="A44" s="46" t="s">
        <v>134</v>
      </c>
      <c r="B44" s="47">
        <v>2022</v>
      </c>
      <c r="C44" s="47">
        <v>2021</v>
      </c>
    </row>
    <row r="45" spans="1:3">
      <c r="A45" s="42" t="s">
        <v>135</v>
      </c>
      <c r="B45" s="43">
        <v>4416900000</v>
      </c>
      <c r="C45" s="43">
        <v>4440800000</v>
      </c>
    </row>
    <row r="46" spans="1:3">
      <c r="A46" s="38" t="s">
        <v>136</v>
      </c>
      <c r="B46" s="51">
        <v>1694400000</v>
      </c>
      <c r="C46" s="51">
        <v>1610700000</v>
      </c>
    </row>
    <row r="47" spans="1:3">
      <c r="A47" s="38" t="s">
        <v>137</v>
      </c>
      <c r="B47" s="50">
        <v>1461500000</v>
      </c>
      <c r="C47" s="50">
        <v>1631700000</v>
      </c>
    </row>
    <row r="48" spans="1:3">
      <c r="A48" s="38" t="s">
        <v>138</v>
      </c>
      <c r="B48" s="50">
        <v>755400000</v>
      </c>
      <c r="C48" s="50">
        <v>756200000</v>
      </c>
    </row>
    <row r="49" spans="1:3">
      <c r="A49" s="38" t="s">
        <v>139</v>
      </c>
      <c r="B49" s="50">
        <v>22700000</v>
      </c>
      <c r="C49" s="50">
        <v>6400000</v>
      </c>
    </row>
    <row r="50" spans="1:3">
      <c r="A50" s="38" t="s">
        <v>140</v>
      </c>
      <c r="B50" s="50">
        <v>482900000</v>
      </c>
      <c r="C50" s="50">
        <v>435800000</v>
      </c>
    </row>
    <row r="51" spans="1:3">
      <c r="A51" s="48"/>
      <c r="B51" s="48">
        <v>1824.6</v>
      </c>
      <c r="C51" s="48">
        <v>1121.5999999999999</v>
      </c>
    </row>
    <row r="52" spans="1:3">
      <c r="A52" s="42" t="s">
        <v>141</v>
      </c>
      <c r="B52" s="52">
        <f>SUM(B53:B58)</f>
        <v>1824600000</v>
      </c>
      <c r="C52" s="52">
        <f>SUM(C53:C58)</f>
        <v>1121600000</v>
      </c>
    </row>
    <row r="53" spans="1:3">
      <c r="A53" s="38" t="s">
        <v>142</v>
      </c>
      <c r="B53" s="51">
        <v>874200000</v>
      </c>
      <c r="C53" s="51">
        <v>453900000</v>
      </c>
    </row>
    <row r="54" spans="1:3">
      <c r="A54" s="38" t="s">
        <v>144</v>
      </c>
      <c r="B54" s="51">
        <v>837200000</v>
      </c>
      <c r="C54" s="51">
        <v>593000000</v>
      </c>
    </row>
    <row r="55" spans="1:3">
      <c r="A55" s="38" t="s">
        <v>145</v>
      </c>
      <c r="B55" s="51">
        <v>82500000</v>
      </c>
      <c r="C55" s="51">
        <v>64700000</v>
      </c>
    </row>
    <row r="56" spans="1:3">
      <c r="A56" s="38" t="s">
        <v>147</v>
      </c>
      <c r="B56" s="51">
        <v>22700000</v>
      </c>
      <c r="C56" s="51">
        <v>4400000</v>
      </c>
    </row>
    <row r="57" spans="1:3">
      <c r="A57" s="38" t="s">
        <v>149</v>
      </c>
      <c r="B57" s="51">
        <v>8000000</v>
      </c>
      <c r="C57" s="51">
        <v>5600000</v>
      </c>
    </row>
    <row r="58" spans="1:3">
      <c r="A58" s="38" t="s">
        <v>151</v>
      </c>
      <c r="B58" s="51">
        <v>0</v>
      </c>
      <c r="C58" s="51">
        <v>0</v>
      </c>
    </row>
    <row r="59" spans="1:3">
      <c r="A59" s="38"/>
      <c r="B59" s="51"/>
      <c r="C59" s="51"/>
    </row>
    <row r="60" spans="1:3">
      <c r="A60" s="44" t="s">
        <v>154</v>
      </c>
      <c r="B60" s="52">
        <f>B45+B52</f>
        <v>6241500000</v>
      </c>
      <c r="C60" s="52">
        <f>C45+C52</f>
        <v>5562400000</v>
      </c>
    </row>
    <row r="61" spans="1:3">
      <c r="A61" s="38"/>
      <c r="B61" s="51"/>
      <c r="C61" s="51"/>
    </row>
    <row r="62" spans="1:3">
      <c r="A62" s="46" t="s">
        <v>157</v>
      </c>
      <c r="B62" s="47">
        <v>2022</v>
      </c>
      <c r="C62" s="47">
        <v>2021</v>
      </c>
    </row>
    <row r="63" spans="1:3">
      <c r="A63" s="42" t="s">
        <v>158</v>
      </c>
      <c r="B63" s="54">
        <f>SUM(B64:B66)</f>
        <v>1297400000</v>
      </c>
      <c r="C63" s="54">
        <f>SUM(C64:C66)</f>
        <v>1207700000</v>
      </c>
    </row>
    <row r="64" spans="1:3">
      <c r="A64" s="38" t="s">
        <v>159</v>
      </c>
      <c r="B64" s="50">
        <v>1312700000</v>
      </c>
      <c r="C64" s="50">
        <v>1245200000</v>
      </c>
    </row>
    <row r="65" spans="1:3">
      <c r="A65" s="38" t="s">
        <v>160</v>
      </c>
      <c r="B65" s="50">
        <v>-22200000</v>
      </c>
      <c r="C65" s="50">
        <v>-39400000</v>
      </c>
    </row>
    <row r="66" spans="1:3">
      <c r="A66" s="38" t="s">
        <v>161</v>
      </c>
      <c r="B66" s="50">
        <v>6900000</v>
      </c>
      <c r="C66" s="50">
        <v>1900000</v>
      </c>
    </row>
    <row r="67" spans="1:3">
      <c r="A67" s="38"/>
      <c r="B67" s="50"/>
      <c r="C67" s="50"/>
    </row>
    <row r="68" spans="1:3">
      <c r="A68" s="42" t="s">
        <v>162</v>
      </c>
      <c r="B68" s="55">
        <f>SUM(B69:B72)</f>
        <v>1026400000</v>
      </c>
      <c r="C68" s="55">
        <f>SUM(C69:C72)</f>
        <v>692900000</v>
      </c>
    </row>
    <row r="69" spans="1:3">
      <c r="A69" s="38" t="s">
        <v>163</v>
      </c>
      <c r="B69" s="50">
        <v>708200000</v>
      </c>
      <c r="C69" s="50">
        <v>425600000</v>
      </c>
    </row>
    <row r="70" spans="1:3">
      <c r="A70" s="38" t="s">
        <v>164</v>
      </c>
      <c r="B70" s="50">
        <v>120900000</v>
      </c>
      <c r="C70" s="50">
        <v>69200000</v>
      </c>
    </row>
    <row r="71" spans="1:3">
      <c r="A71" s="38" t="s">
        <v>165</v>
      </c>
      <c r="B71" s="50">
        <v>18500000</v>
      </c>
      <c r="C71" s="50">
        <v>8200000</v>
      </c>
    </row>
    <row r="72" spans="1:3">
      <c r="A72" s="38" t="s">
        <v>166</v>
      </c>
      <c r="B72" s="50">
        <v>178800000</v>
      </c>
      <c r="C72" s="50">
        <v>189900000</v>
      </c>
    </row>
    <row r="73" spans="1:3">
      <c r="A73" s="38"/>
      <c r="B73" s="50"/>
      <c r="C73" s="50"/>
    </row>
    <row r="74" spans="1:3">
      <c r="A74" s="42" t="s">
        <v>167</v>
      </c>
      <c r="B74" s="55">
        <f>SUM(B75:B79)</f>
        <v>3917700000</v>
      </c>
      <c r="C74" s="55">
        <f>SUM(C75:C79)</f>
        <v>3661800000</v>
      </c>
    </row>
    <row r="75" spans="1:3">
      <c r="A75" s="38" t="s">
        <v>168</v>
      </c>
      <c r="B75" s="50">
        <v>953000000</v>
      </c>
      <c r="C75" s="50">
        <v>945600000</v>
      </c>
    </row>
    <row r="76" spans="1:3">
      <c r="A76" s="38" t="s">
        <v>169</v>
      </c>
      <c r="B76" s="50">
        <v>118500000</v>
      </c>
      <c r="C76" s="50">
        <v>137000000</v>
      </c>
    </row>
    <row r="77" spans="1:3">
      <c r="A77" s="38" t="s">
        <v>170</v>
      </c>
      <c r="B77" s="50">
        <v>532800000</v>
      </c>
      <c r="C77" s="50">
        <v>497500000</v>
      </c>
    </row>
    <row r="78" spans="1:3">
      <c r="A78" s="38" t="s">
        <v>171</v>
      </c>
      <c r="B78" s="50">
        <v>2196100000</v>
      </c>
      <c r="C78" s="50">
        <v>1960900000</v>
      </c>
    </row>
    <row r="79" spans="1:3">
      <c r="A79" s="38" t="s">
        <v>172</v>
      </c>
      <c r="B79" s="50">
        <v>117300000</v>
      </c>
      <c r="C79" s="50">
        <v>120800000</v>
      </c>
    </row>
    <row r="80" spans="1:3">
      <c r="A80" s="44" t="s">
        <v>154</v>
      </c>
      <c r="B80" s="52">
        <f>B63+B68+B74</f>
        <v>6241500000</v>
      </c>
      <c r="C80" s="52">
        <f>C74+C68+C63</f>
        <v>5562400000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8B3D-94C9-405C-8D12-3A7306013DDE}">
  <dimension ref="A1:G50"/>
  <sheetViews>
    <sheetView topLeftCell="A21" zoomScale="92" workbookViewId="0">
      <selection activeCell="C27" sqref="C27"/>
    </sheetView>
  </sheetViews>
  <sheetFormatPr defaultColWidth="8.81640625" defaultRowHeight="14.5"/>
  <cols>
    <col min="1" max="1" width="55.08984375" bestFit="1" customWidth="1"/>
    <col min="2" max="2" width="20.08984375" bestFit="1" customWidth="1"/>
    <col min="3" max="3" width="20" bestFit="1" customWidth="1"/>
    <col min="5" max="5" width="17.6328125" bestFit="1" customWidth="1"/>
  </cols>
  <sheetData>
    <row r="1" spans="1:7" ht="14.5" customHeight="1">
      <c r="A1" s="128" t="s">
        <v>173</v>
      </c>
      <c r="B1" s="128"/>
      <c r="C1" s="128"/>
      <c r="D1" s="39"/>
      <c r="E1" s="39"/>
      <c r="F1" s="39"/>
      <c r="G1" s="39"/>
    </row>
    <row r="2" spans="1:7">
      <c r="A2" s="128" t="s">
        <v>174</v>
      </c>
      <c r="B2" s="128"/>
      <c r="C2" s="128"/>
      <c r="D2" s="6"/>
      <c r="E2" s="6"/>
      <c r="F2" s="6"/>
      <c r="G2" s="6"/>
    </row>
    <row r="3" spans="1:7">
      <c r="A3" s="49" t="s">
        <v>175</v>
      </c>
      <c r="B3" s="49">
        <v>2022</v>
      </c>
      <c r="C3" s="49">
        <v>2021</v>
      </c>
      <c r="D3" s="6"/>
      <c r="E3" s="6"/>
      <c r="F3" s="6"/>
      <c r="G3" s="6"/>
    </row>
    <row r="4" spans="1:7">
      <c r="A4" s="38" t="s">
        <v>176</v>
      </c>
      <c r="B4" s="56">
        <v>10513400000</v>
      </c>
      <c r="C4" s="56">
        <v>9256500000</v>
      </c>
      <c r="D4" s="6"/>
      <c r="E4" s="6"/>
      <c r="F4" s="6"/>
      <c r="G4" s="6"/>
    </row>
    <row r="5" spans="1:7">
      <c r="A5" s="38" t="s">
        <v>177</v>
      </c>
      <c r="B5" s="56">
        <v>334100000</v>
      </c>
      <c r="C5" s="56">
        <v>-24300000</v>
      </c>
      <c r="D5" s="6" t="s">
        <v>236</v>
      </c>
      <c r="E5" s="6"/>
      <c r="F5" s="6"/>
      <c r="G5" s="6"/>
    </row>
    <row r="6" spans="1:7">
      <c r="A6" s="38" t="s">
        <v>178</v>
      </c>
      <c r="B6" s="56">
        <v>352100000</v>
      </c>
      <c r="C6" s="56">
        <v>376500000</v>
      </c>
      <c r="D6" s="6" t="s">
        <v>236</v>
      </c>
      <c r="E6" s="6"/>
      <c r="F6" s="6"/>
      <c r="G6" s="6"/>
    </row>
    <row r="7" spans="1:7">
      <c r="A7" s="38" t="s">
        <v>179</v>
      </c>
      <c r="B7" s="56">
        <v>-8196500000</v>
      </c>
      <c r="C7" s="56">
        <v>-7052400000</v>
      </c>
      <c r="D7" s="6" t="s">
        <v>236</v>
      </c>
      <c r="E7" s="6"/>
      <c r="F7" s="6"/>
      <c r="G7" s="6"/>
    </row>
    <row r="8" spans="1:7">
      <c r="A8" s="38" t="s">
        <v>180</v>
      </c>
      <c r="B8" s="56">
        <v>421000000</v>
      </c>
      <c r="C8" s="56">
        <v>307400000</v>
      </c>
      <c r="D8" s="6"/>
      <c r="E8" s="60"/>
      <c r="F8" s="6"/>
      <c r="G8" s="6"/>
    </row>
    <row r="9" spans="1:7">
      <c r="A9" s="38" t="s">
        <v>181</v>
      </c>
      <c r="B9" s="56">
        <v>-1211200000</v>
      </c>
      <c r="C9" s="56">
        <v>-899100000</v>
      </c>
      <c r="D9" t="s">
        <v>237</v>
      </c>
    </row>
    <row r="10" spans="1:7">
      <c r="A10" s="38" t="s">
        <v>182</v>
      </c>
      <c r="B10" s="56">
        <v>-1755000000</v>
      </c>
      <c r="C10" s="56">
        <v>-1729100000</v>
      </c>
      <c r="D10" t="s">
        <v>236</v>
      </c>
    </row>
    <row r="11" spans="1:7">
      <c r="A11" s="38" t="s">
        <v>183</v>
      </c>
      <c r="B11" s="56">
        <v>-621800000</v>
      </c>
      <c r="C11" s="56">
        <v>-642500000</v>
      </c>
      <c r="D11" s="6" t="s">
        <v>237</v>
      </c>
    </row>
    <row r="12" spans="1:7">
      <c r="A12" s="38" t="s">
        <v>184</v>
      </c>
      <c r="B12" s="56">
        <v>9400000</v>
      </c>
      <c r="C12" s="56">
        <v>900000</v>
      </c>
      <c r="D12" s="6" t="s">
        <v>237</v>
      </c>
    </row>
    <row r="13" spans="1:7">
      <c r="A13" s="38" t="s">
        <v>185</v>
      </c>
      <c r="B13" s="56">
        <v>33500000</v>
      </c>
      <c r="C13" s="56">
        <v>39000000</v>
      </c>
      <c r="D13" s="6" t="s">
        <v>237</v>
      </c>
      <c r="E13" t="s">
        <v>238</v>
      </c>
    </row>
    <row r="14" spans="1:7">
      <c r="A14" s="38" t="s">
        <v>186</v>
      </c>
      <c r="B14" s="56">
        <v>7300000</v>
      </c>
      <c r="C14" s="56">
        <v>-3500000</v>
      </c>
      <c r="D14" s="6" t="s">
        <v>237</v>
      </c>
    </row>
    <row r="15" spans="1:7">
      <c r="A15" s="49" t="s">
        <v>187</v>
      </c>
      <c r="B15" s="57">
        <f>SUM(B4:B14)</f>
        <v>-113700000</v>
      </c>
      <c r="C15" s="57">
        <f>SUM(C4:C14)</f>
        <v>-370600000</v>
      </c>
    </row>
    <row r="16" spans="1:7">
      <c r="A16" s="38" t="s">
        <v>188</v>
      </c>
      <c r="B16" s="56">
        <v>84100000</v>
      </c>
      <c r="C16" s="56">
        <v>300000</v>
      </c>
      <c r="D16" s="6" t="s">
        <v>237</v>
      </c>
    </row>
    <row r="17" spans="1:4">
      <c r="A17" s="38" t="s">
        <v>189</v>
      </c>
      <c r="B17" s="56">
        <v>29300000</v>
      </c>
      <c r="C17" s="56">
        <v>-2600000</v>
      </c>
      <c r="D17" s="6" t="s">
        <v>237</v>
      </c>
    </row>
    <row r="18" spans="1:4">
      <c r="A18" s="38" t="s">
        <v>190</v>
      </c>
      <c r="B18" s="56">
        <v>-1600000</v>
      </c>
      <c r="C18" s="56">
        <v>3700000</v>
      </c>
      <c r="D18" s="6" t="s">
        <v>237</v>
      </c>
    </row>
    <row r="19" spans="1:4">
      <c r="A19" s="38" t="s">
        <v>191</v>
      </c>
      <c r="B19" s="56">
        <v>-5300000</v>
      </c>
      <c r="C19" s="56">
        <v>-4500000</v>
      </c>
      <c r="D19" s="6" t="s">
        <v>237</v>
      </c>
    </row>
    <row r="20" spans="1:4">
      <c r="A20" s="49" t="s">
        <v>192</v>
      </c>
      <c r="B20" s="57">
        <f>SUM(B16:B19)</f>
        <v>106500000</v>
      </c>
      <c r="C20" s="57">
        <f>SUM(C16:C19)</f>
        <v>-3100000</v>
      </c>
    </row>
    <row r="21" spans="1:4">
      <c r="A21" s="49" t="s">
        <v>193</v>
      </c>
      <c r="B21" s="57">
        <f>SUM(B15,B20)</f>
        <v>-7200000</v>
      </c>
      <c r="C21" s="57">
        <f>SUM(C15,C20)</f>
        <v>-373700000</v>
      </c>
    </row>
    <row r="22" spans="1:4">
      <c r="A22" s="38" t="s">
        <v>194</v>
      </c>
      <c r="B22" s="56">
        <v>74700000</v>
      </c>
      <c r="C22" s="56">
        <v>117400000</v>
      </c>
      <c r="D22" s="6" t="s">
        <v>236</v>
      </c>
    </row>
    <row r="23" spans="1:4">
      <c r="A23" s="49" t="s">
        <v>195</v>
      </c>
      <c r="B23" s="57">
        <f>SUM(B21:B22)</f>
        <v>67500000</v>
      </c>
      <c r="C23" s="57">
        <f>SUM(C21:C22)</f>
        <v>-256300000</v>
      </c>
    </row>
    <row r="25" spans="1:4">
      <c r="A25" s="49" t="s">
        <v>481</v>
      </c>
      <c r="B25" s="122">
        <f>B9+SUM(B11:B14)+SUM(B16:B19)</f>
        <v>-1676300000</v>
      </c>
      <c r="C25" s="122">
        <f>C9+SUM(C11:C14)+SUM(C16:C19)</f>
        <v>-1508300000</v>
      </c>
    </row>
    <row r="26" spans="1:4">
      <c r="A26" s="49" t="s">
        <v>482</v>
      </c>
      <c r="B26" s="122">
        <f>SUM(B5:B7)+B10+B22</f>
        <v>-9190600000</v>
      </c>
      <c r="C26" s="122">
        <f>SUM(C5:C7)+C10+C22</f>
        <v>-8311900000</v>
      </c>
    </row>
    <row r="29" spans="1:4">
      <c r="A29" t="s">
        <v>240</v>
      </c>
      <c r="B29">
        <v>2022</v>
      </c>
      <c r="C29">
        <v>2021</v>
      </c>
    </row>
    <row r="30" spans="1:4">
      <c r="A30" t="s">
        <v>241</v>
      </c>
      <c r="B30" s="31">
        <v>-2000000</v>
      </c>
      <c r="C30" s="31">
        <v>-2400000</v>
      </c>
    </row>
    <row r="32" spans="1:4">
      <c r="B32">
        <v>2022</v>
      </c>
      <c r="C32">
        <v>2021</v>
      </c>
    </row>
    <row r="33" spans="1:5">
      <c r="A33" t="s">
        <v>486</v>
      </c>
      <c r="B33" s="118">
        <v>1297400000</v>
      </c>
      <c r="C33" s="118">
        <v>1207700000</v>
      </c>
    </row>
    <row r="35" spans="1:5">
      <c r="E35" t="s">
        <v>243</v>
      </c>
    </row>
    <row r="49" spans="1:3">
      <c r="B49">
        <v>2022</v>
      </c>
      <c r="C49">
        <v>2021</v>
      </c>
    </row>
    <row r="50" spans="1:3">
      <c r="A50" t="s">
        <v>486</v>
      </c>
      <c r="B50" s="118">
        <v>1297400000</v>
      </c>
      <c r="C50" s="118">
        <v>1207700000</v>
      </c>
    </row>
  </sheetData>
  <mergeCells count="2">
    <mergeCell ref="A1:C1"/>
    <mergeCell ref="A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19CE2-9FAD-4F2B-9F67-A428308F6EE6}">
  <dimension ref="A1:K6"/>
  <sheetViews>
    <sheetView workbookViewId="0">
      <selection activeCell="J8" sqref="J8"/>
    </sheetView>
  </sheetViews>
  <sheetFormatPr defaultColWidth="8.81640625" defaultRowHeight="14.5"/>
  <cols>
    <col min="1" max="1" width="10.08984375" customWidth="1"/>
    <col min="2" max="2" width="11.08984375" customWidth="1"/>
    <col min="3" max="3" width="13.08984375" bestFit="1" customWidth="1"/>
    <col min="4" max="4" width="16.81640625" customWidth="1"/>
    <col min="5" max="5" width="10.08984375" customWidth="1"/>
    <col min="6" max="6" width="18.08984375" customWidth="1"/>
    <col min="7" max="7" width="13.08984375" customWidth="1"/>
    <col min="8" max="8" width="19.08984375" customWidth="1"/>
    <col min="9" max="9" width="10.08984375" customWidth="1"/>
    <col min="10" max="10" width="15.81640625" customWidth="1"/>
  </cols>
  <sheetData>
    <row r="1" spans="1:11">
      <c r="A1" t="s">
        <v>196</v>
      </c>
      <c r="B1" t="s">
        <v>7</v>
      </c>
      <c r="C1" t="s">
        <v>197</v>
      </c>
      <c r="D1" t="s">
        <v>198</v>
      </c>
      <c r="E1" t="s">
        <v>199</v>
      </c>
      <c r="F1" t="s">
        <v>200</v>
      </c>
      <c r="G1" t="s">
        <v>201</v>
      </c>
      <c r="H1" t="s">
        <v>202</v>
      </c>
      <c r="I1" t="s">
        <v>2</v>
      </c>
      <c r="J1" t="s">
        <v>484</v>
      </c>
      <c r="K1" t="s">
        <v>485</v>
      </c>
    </row>
    <row r="2" spans="1:11">
      <c r="A2">
        <v>2018</v>
      </c>
      <c r="B2">
        <v>596181</v>
      </c>
      <c r="C2">
        <v>9991000000</v>
      </c>
      <c r="I2">
        <f>Table1[[#This Row],[Net Sales]]/Table1[[#This Row],[Units Sold]]</f>
        <v>16758.333459134054</v>
      </c>
      <c r="K2">
        <f>Table1[[#This Row],[Units Sold]]/12</f>
        <v>49681.75</v>
      </c>
    </row>
    <row r="3" spans="1:11">
      <c r="A3">
        <v>2019</v>
      </c>
      <c r="B3">
        <v>651998</v>
      </c>
      <c r="C3">
        <v>11157300000</v>
      </c>
      <c r="I3">
        <f>Table1[[#This Row],[Net Sales]]/Table1[[#This Row],[Units Sold]]</f>
        <v>17112.475805140508</v>
      </c>
      <c r="K3">
        <f>Table1[[#This Row],[Units Sold]]/12</f>
        <v>54333.166666666664</v>
      </c>
    </row>
    <row r="4" spans="1:11">
      <c r="A4">
        <v>2020</v>
      </c>
      <c r="B4">
        <v>468403</v>
      </c>
      <c r="C4">
        <v>8784000000</v>
      </c>
      <c r="I4">
        <f>Table1[[#This Row],[Net Sales]]/Table1[[#This Row],[Units Sold]]</f>
        <v>18753.082281710409</v>
      </c>
      <c r="K4">
        <f>Table1[[#This Row],[Units Sold]]/12</f>
        <v>39033.583333333336</v>
      </c>
    </row>
    <row r="5" spans="1:11">
      <c r="A5">
        <v>2021</v>
      </c>
      <c r="B5">
        <v>474401</v>
      </c>
      <c r="C5">
        <v>9256500000</v>
      </c>
      <c r="I5">
        <f>Table1[[#This Row],[Net Sales]]/Table1[[#This Row],[Units Sold]]</f>
        <v>19511.974047272244</v>
      </c>
      <c r="K5">
        <f>Table1[[#This Row],[Units Sold]]/12</f>
        <v>39533.416666666664</v>
      </c>
    </row>
    <row r="6" spans="1:11">
      <c r="A6">
        <v>2022</v>
      </c>
      <c r="B6">
        <v>455297</v>
      </c>
      <c r="C6">
        <v>10513400000</v>
      </c>
      <c r="I6">
        <f>Table1[[#This Row],[Net Sales]]/Table1[[#This Row],[Units Sold]]</f>
        <v>23091.300843185876</v>
      </c>
      <c r="J6" s="28">
        <f>'BALANCE SHEET'!B13/Table1[[#This Row],[Price per unit]]</f>
        <v>37858.412825536936</v>
      </c>
      <c r="K6">
        <f>Table1[[#This Row],[Units Sold]]/12</f>
        <v>37941.416666666664</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E9CE-C848-44B4-99B6-677B10B3060F}">
  <dimension ref="A1:Y54"/>
  <sheetViews>
    <sheetView topLeftCell="A8" zoomScale="75" workbookViewId="0">
      <selection activeCell="H18" sqref="H18"/>
    </sheetView>
  </sheetViews>
  <sheetFormatPr defaultColWidth="8.81640625" defaultRowHeight="14.5"/>
  <cols>
    <col min="1" max="1" width="25.54296875" bestFit="1" customWidth="1"/>
    <col min="2" max="2" width="19.1796875" customWidth="1"/>
    <col min="3" max="3" width="18.7265625" customWidth="1"/>
    <col min="8" max="8" width="19.08984375" bestFit="1" customWidth="1"/>
    <col min="12" max="12" width="10" customWidth="1"/>
    <col min="17" max="17" width="53" bestFit="1" customWidth="1"/>
    <col min="18" max="18" width="16.36328125" bestFit="1" customWidth="1"/>
    <col min="19" max="19" width="16.08984375" bestFit="1" customWidth="1"/>
    <col min="20" max="20" width="24.6328125" bestFit="1" customWidth="1"/>
    <col min="22" max="22" width="51.81640625" bestFit="1" customWidth="1"/>
    <col min="23" max="23" width="16.36328125" bestFit="1" customWidth="1"/>
    <col min="24" max="24" width="13.453125" bestFit="1" customWidth="1"/>
    <col min="25" max="25" width="16.36328125" bestFit="1" customWidth="1"/>
  </cols>
  <sheetData>
    <row r="1" spans="1:25" ht="17.5">
      <c r="A1" s="32" t="s">
        <v>0</v>
      </c>
      <c r="B1" s="32"/>
      <c r="C1" s="32"/>
      <c r="H1" s="9" t="s">
        <v>505</v>
      </c>
      <c r="I1" s="126"/>
      <c r="J1" s="9"/>
      <c r="K1" s="9"/>
      <c r="L1" s="9"/>
      <c r="M1" s="9"/>
      <c r="O1" s="6"/>
      <c r="P1" s="6"/>
      <c r="Q1" s="69" t="s">
        <v>301</v>
      </c>
      <c r="R1" s="70"/>
      <c r="S1" s="70"/>
      <c r="T1" s="70"/>
      <c r="V1" s="81" t="s">
        <v>326</v>
      </c>
      <c r="W1" s="82"/>
      <c r="X1" s="82"/>
      <c r="Y1" s="82"/>
    </row>
    <row r="2" spans="1:25" ht="17.5">
      <c r="A2" t="s">
        <v>483</v>
      </c>
      <c r="B2">
        <v>2022</v>
      </c>
      <c r="C2">
        <v>2021</v>
      </c>
      <c r="I2" s="22"/>
      <c r="Q2" s="69"/>
      <c r="R2" s="70"/>
      <c r="S2" s="70"/>
      <c r="T2" s="70"/>
    </row>
    <row r="3" spans="1:25" ht="18">
      <c r="A3" t="s">
        <v>1</v>
      </c>
      <c r="B3" s="123">
        <f>-'INCOME STATEMENT'!B25</f>
        <v>1676300000</v>
      </c>
      <c r="C3" s="118">
        <f>-'INCOME STATEMENT'!C25</f>
        <v>1508300000</v>
      </c>
      <c r="H3" t="s">
        <v>495</v>
      </c>
      <c r="I3" s="22">
        <v>26000000</v>
      </c>
      <c r="Q3" s="69" t="s">
        <v>307</v>
      </c>
      <c r="R3" s="71" t="s">
        <v>302</v>
      </c>
      <c r="S3" s="71" t="s">
        <v>303</v>
      </c>
      <c r="T3" s="70"/>
      <c r="V3" s="69" t="s">
        <v>307</v>
      </c>
      <c r="W3" s="71" t="s">
        <v>323</v>
      </c>
      <c r="X3" s="70"/>
      <c r="Y3" s="70"/>
    </row>
    <row r="4" spans="1:25" ht="17.5">
      <c r="A4" t="s">
        <v>2</v>
      </c>
      <c r="B4" s="123">
        <f>UNITS!I6</f>
        <v>23091.300843185876</v>
      </c>
      <c r="C4" s="118">
        <f>UNITS!I5</f>
        <v>19511.974047272244</v>
      </c>
      <c r="H4" t="s">
        <v>496</v>
      </c>
      <c r="I4" s="22">
        <v>5200000</v>
      </c>
      <c r="Q4" s="69" t="s">
        <v>308</v>
      </c>
      <c r="R4" s="86">
        <v>100000</v>
      </c>
      <c r="S4" s="86">
        <f>+R4</f>
        <v>100000</v>
      </c>
      <c r="T4" s="70"/>
      <c r="V4" s="69" t="s">
        <v>308</v>
      </c>
      <c r="W4" s="86">
        <v>1000000</v>
      </c>
      <c r="X4" s="72">
        <f>+W4*(1+X11)</f>
        <v>1080000</v>
      </c>
      <c r="Y4" s="72"/>
    </row>
    <row r="5" spans="1:25" ht="17.5">
      <c r="A5" t="s">
        <v>3</v>
      </c>
      <c r="B5" s="123">
        <f>(-'INCOME STATEMENT'!B26)/UNITS!B6</f>
        <v>20185.94455926571</v>
      </c>
      <c r="C5" s="118">
        <f>-'INCOME STATEMENT'!C26/Table1[[#This Row],[Units Sold]]</f>
        <v>17520.831532817174</v>
      </c>
      <c r="H5" t="s">
        <v>501</v>
      </c>
      <c r="I5" s="22">
        <f>I3-I4</f>
        <v>20800000</v>
      </c>
      <c r="Q5" s="69" t="s">
        <v>309</v>
      </c>
      <c r="R5" s="86">
        <v>10</v>
      </c>
      <c r="S5" s="86">
        <v>10</v>
      </c>
      <c r="T5" s="70"/>
      <c r="V5" s="69" t="s">
        <v>309</v>
      </c>
      <c r="W5" s="86">
        <v>108</v>
      </c>
      <c r="X5" s="70"/>
      <c r="Y5" s="72"/>
    </row>
    <row r="6" spans="1:25" ht="17.5">
      <c r="A6" t="s">
        <v>4</v>
      </c>
      <c r="B6" s="22">
        <f>Table1[[#This Row],[Net Sales]]</f>
        <v>10513400000</v>
      </c>
      <c r="C6">
        <f>UNITS!C5</f>
        <v>9256500000</v>
      </c>
      <c r="I6" s="22"/>
      <c r="J6" t="s">
        <v>497</v>
      </c>
      <c r="K6" t="s">
        <v>500</v>
      </c>
      <c r="L6" t="s">
        <v>498</v>
      </c>
      <c r="M6" t="s">
        <v>499</v>
      </c>
      <c r="Q6" s="69" t="s">
        <v>3</v>
      </c>
      <c r="R6" s="86">
        <v>2</v>
      </c>
      <c r="S6" s="86">
        <v>6</v>
      </c>
      <c r="T6" s="70"/>
      <c r="V6" s="69" t="s">
        <v>3</v>
      </c>
      <c r="W6" s="86">
        <v>72</v>
      </c>
      <c r="X6" s="70"/>
      <c r="Y6" s="72"/>
    </row>
    <row r="7" spans="1:25" ht="17.5">
      <c r="A7" t="s">
        <v>7</v>
      </c>
      <c r="B7" s="123">
        <f>UNITS!B6</f>
        <v>455297</v>
      </c>
      <c r="C7">
        <f>UNITS!B5</f>
        <v>474401</v>
      </c>
      <c r="I7" s="22"/>
      <c r="J7">
        <v>1</v>
      </c>
      <c r="K7">
        <v>99.99</v>
      </c>
      <c r="L7">
        <v>0.22</v>
      </c>
      <c r="M7">
        <v>0.49</v>
      </c>
      <c r="Q7" s="69" t="s">
        <v>310</v>
      </c>
      <c r="R7" s="86">
        <v>500000</v>
      </c>
      <c r="S7" s="86">
        <v>150000</v>
      </c>
      <c r="T7" s="70"/>
      <c r="V7" s="69" t="s">
        <v>310</v>
      </c>
      <c r="W7" s="86">
        <v>22500000</v>
      </c>
      <c r="X7" s="70"/>
      <c r="Y7" s="72"/>
    </row>
    <row r="8" spans="1:25" ht="17.5">
      <c r="A8" t="s">
        <v>8</v>
      </c>
      <c r="B8" s="22">
        <f>-'INCOME STATEMENT'!B30</f>
        <v>2000000</v>
      </c>
      <c r="C8">
        <f>-'INCOME STATEMENT'!C30</f>
        <v>2400000</v>
      </c>
      <c r="H8" t="s">
        <v>2</v>
      </c>
      <c r="I8" s="22">
        <f>K7*L7+K8*L8+K9*L9+K10*L10+K11*L11</f>
        <v>93.242799999999988</v>
      </c>
      <c r="J8">
        <v>2</v>
      </c>
      <c r="K8">
        <v>85</v>
      </c>
      <c r="L8">
        <v>0.14000000000000001</v>
      </c>
      <c r="M8">
        <v>0.5</v>
      </c>
      <c r="Q8" s="69" t="s">
        <v>311</v>
      </c>
      <c r="R8" s="86">
        <v>100000</v>
      </c>
      <c r="S8" s="86">
        <v>50000</v>
      </c>
      <c r="T8" s="70"/>
      <c r="V8" s="69" t="s">
        <v>311</v>
      </c>
      <c r="W8" s="86">
        <v>9000000</v>
      </c>
      <c r="X8" s="70"/>
      <c r="Y8" s="72"/>
    </row>
    <row r="9" spans="1:25" ht="17.5">
      <c r="A9" t="s">
        <v>5</v>
      </c>
      <c r="B9">
        <f>'INCOME STATEMENT'!B23</f>
        <v>67500000</v>
      </c>
      <c r="C9">
        <f>'INCOME STATEMENT'!C23</f>
        <v>-256300000</v>
      </c>
      <c r="H9" t="s">
        <v>502</v>
      </c>
      <c r="I9">
        <f>I8*M19</f>
        <v>49.110982759999999</v>
      </c>
      <c r="J9">
        <v>3</v>
      </c>
      <c r="K9">
        <v>89.99</v>
      </c>
      <c r="L9">
        <v>0.5</v>
      </c>
      <c r="M9">
        <v>0.52</v>
      </c>
      <c r="T9" s="70"/>
      <c r="V9" s="69"/>
      <c r="W9" s="70"/>
      <c r="X9" s="70"/>
      <c r="Y9" s="70"/>
    </row>
    <row r="10" spans="1:25" ht="18">
      <c r="I10" s="22"/>
      <c r="J10">
        <v>4</v>
      </c>
      <c r="K10">
        <v>100</v>
      </c>
      <c r="L10">
        <v>7.0000000000000007E-2</v>
      </c>
      <c r="M10">
        <v>0.6</v>
      </c>
      <c r="Q10" s="69"/>
      <c r="R10" s="71" t="s">
        <v>302</v>
      </c>
      <c r="S10" s="71" t="s">
        <v>303</v>
      </c>
      <c r="T10" s="70"/>
      <c r="V10" s="75" t="s">
        <v>312</v>
      </c>
      <c r="W10" s="70"/>
      <c r="X10" s="80" t="s">
        <v>324</v>
      </c>
      <c r="Y10" s="70"/>
    </row>
    <row r="11" spans="1:25" ht="17.5">
      <c r="A11" s="33" t="s">
        <v>9</v>
      </c>
      <c r="B11" s="33"/>
      <c r="C11" s="33"/>
      <c r="I11" s="22"/>
      <c r="J11">
        <v>5</v>
      </c>
      <c r="K11">
        <v>105</v>
      </c>
      <c r="L11">
        <v>7.0000000000000007E-2</v>
      </c>
      <c r="M11">
        <v>0.67</v>
      </c>
      <c r="Q11" s="69" t="s">
        <v>304</v>
      </c>
      <c r="R11" s="72">
        <f>+R4*R5</f>
        <v>1000000</v>
      </c>
      <c r="S11" s="72">
        <f>+S4*S5</f>
        <v>1000000</v>
      </c>
      <c r="T11" s="70"/>
      <c r="V11" s="69" t="s">
        <v>20</v>
      </c>
      <c r="W11" s="72">
        <f>+W4*W5</f>
        <v>108000000</v>
      </c>
      <c r="X11" s="90">
        <v>0.08</v>
      </c>
      <c r="Y11" s="72">
        <f>+X4*W5</f>
        <v>116640000</v>
      </c>
    </row>
    <row r="12" spans="1:25" ht="17.5">
      <c r="A12" t="s">
        <v>10</v>
      </c>
      <c r="B12">
        <f>B3/(B4-B5)</f>
        <v>576968.82453885709</v>
      </c>
      <c r="C12">
        <f>C3/(C4-C5)</f>
        <v>757504.79388100794</v>
      </c>
      <c r="Q12" s="69" t="s">
        <v>305</v>
      </c>
      <c r="R12" s="72">
        <f>+(R7)+(R4*R6)</f>
        <v>700000</v>
      </c>
      <c r="S12" s="72">
        <f>+(S7)+(S4*S6)</f>
        <v>750000</v>
      </c>
      <c r="T12" s="70"/>
      <c r="V12" s="76" t="s">
        <v>313</v>
      </c>
      <c r="W12" s="72">
        <f>+W4*W6</f>
        <v>72000000</v>
      </c>
      <c r="X12" s="83">
        <f>+(Y12/W12)-1</f>
        <v>8.0000000000000071E-2</v>
      </c>
      <c r="Y12" s="72">
        <f>+X4*W6</f>
        <v>77760000</v>
      </c>
    </row>
    <row r="13" spans="1:25" ht="17.5">
      <c r="H13" t="s">
        <v>504</v>
      </c>
      <c r="I13" s="22">
        <f>I5/(I8-I9)</f>
        <v>471315.28454593965</v>
      </c>
      <c r="J13" t="s">
        <v>503</v>
      </c>
      <c r="Q13" s="69" t="s">
        <v>35</v>
      </c>
      <c r="R13" s="72">
        <f>+R11-R12</f>
        <v>300000</v>
      </c>
      <c r="S13" s="72">
        <f>+S11-S12</f>
        <v>250000</v>
      </c>
      <c r="T13" s="70"/>
      <c r="V13" s="76" t="s">
        <v>314</v>
      </c>
      <c r="W13" s="72">
        <f>+W11-W12</f>
        <v>36000000</v>
      </c>
      <c r="X13" s="83">
        <f t="shared" ref="X13:X17" si="0">+(Y13/W13)-1</f>
        <v>8.0000000000000071E-2</v>
      </c>
      <c r="Y13" s="72">
        <f>+Y11-Y12</f>
        <v>38880000</v>
      </c>
    </row>
    <row r="14" spans="1:25" ht="17.5">
      <c r="A14" s="33" t="s">
        <v>487</v>
      </c>
      <c r="B14" s="33"/>
      <c r="C14" s="33"/>
      <c r="I14" s="22"/>
      <c r="Q14" s="69" t="s">
        <v>306</v>
      </c>
      <c r="R14" s="72">
        <f>+R8</f>
        <v>100000</v>
      </c>
      <c r="S14" s="72">
        <f>+S8</f>
        <v>50000</v>
      </c>
      <c r="T14" s="70"/>
      <c r="V14" s="76" t="s">
        <v>315</v>
      </c>
      <c r="W14" s="72">
        <f>+W7</f>
        <v>22500000</v>
      </c>
      <c r="X14" s="83">
        <f t="shared" si="0"/>
        <v>0</v>
      </c>
      <c r="Y14" s="72">
        <f>+W14</f>
        <v>22500000</v>
      </c>
    </row>
    <row r="15" spans="1:25" ht="18">
      <c r="A15" t="s">
        <v>12</v>
      </c>
      <c r="B15">
        <f>(B7*(B4-B5))/(B7*(B4-B5)-B3)</f>
        <v>-3.7420084865629386</v>
      </c>
      <c r="C15">
        <f>(C7*(C4-C5))/(C7*(C4-C5)-C3)</f>
        <v>-1.6757140322866768</v>
      </c>
      <c r="I15" s="22"/>
      <c r="Q15" s="73" t="s">
        <v>6</v>
      </c>
      <c r="R15" s="74">
        <f>+R13-R14</f>
        <v>200000</v>
      </c>
      <c r="S15" s="74">
        <f>+S13-S14</f>
        <v>200000</v>
      </c>
      <c r="T15" s="70"/>
      <c r="V15" s="76" t="s">
        <v>316</v>
      </c>
      <c r="W15" s="72">
        <f>+W13-W14</f>
        <v>13500000</v>
      </c>
      <c r="X15" s="84">
        <f t="shared" si="0"/>
        <v>0.21333333333333337</v>
      </c>
      <c r="Y15" s="72">
        <f>+Y13-Y14</f>
        <v>16380000</v>
      </c>
    </row>
    <row r="16" spans="1:25" ht="17.5">
      <c r="I16" s="22"/>
      <c r="Q16" s="69"/>
      <c r="R16" s="70"/>
      <c r="S16" s="70"/>
      <c r="T16" s="70"/>
      <c r="V16" s="76" t="s">
        <v>317</v>
      </c>
      <c r="W16" s="72">
        <f>+W8</f>
        <v>9000000</v>
      </c>
      <c r="X16" s="85">
        <f t="shared" si="0"/>
        <v>0</v>
      </c>
      <c r="Y16" s="72">
        <f>+W16</f>
        <v>9000000</v>
      </c>
    </row>
    <row r="17" spans="1:25" ht="18">
      <c r="A17" s="25" t="s">
        <v>488</v>
      </c>
      <c r="B17" s="25"/>
      <c r="C17" s="25"/>
      <c r="I17" s="22"/>
      <c r="Q17" s="75" t="s">
        <v>312</v>
      </c>
      <c r="R17" s="70"/>
      <c r="S17" s="70"/>
      <c r="T17" s="70" t="s">
        <v>325</v>
      </c>
      <c r="V17" s="78" t="s">
        <v>318</v>
      </c>
      <c r="W17" s="87">
        <f>+W15-W16</f>
        <v>4500000</v>
      </c>
      <c r="X17" s="89">
        <f t="shared" si="0"/>
        <v>0.6399999999999999</v>
      </c>
      <c r="Y17" s="87">
        <f>+Y15-Y16</f>
        <v>7380000</v>
      </c>
    </row>
    <row r="18" spans="1:25" ht="17.5">
      <c r="A18" t="s">
        <v>14</v>
      </c>
      <c r="B18">
        <f>B9/(B9-B8)</f>
        <v>1.0305343511450382</v>
      </c>
      <c r="C18">
        <f>C9/(C9-C8)</f>
        <v>0.99072284499420182</v>
      </c>
      <c r="I18" s="22"/>
      <c r="Q18" s="69" t="s">
        <v>20</v>
      </c>
      <c r="R18" s="72">
        <f>+R11</f>
        <v>1000000</v>
      </c>
      <c r="S18" s="72">
        <f>+S11</f>
        <v>1000000</v>
      </c>
      <c r="T18" s="83">
        <f>+(S18/R18)-1</f>
        <v>0</v>
      </c>
      <c r="V18" s="69"/>
      <c r="W18" s="70"/>
      <c r="X18" s="70"/>
      <c r="Y18" s="70"/>
    </row>
    <row r="19" spans="1:25" ht="18">
      <c r="I19" s="22"/>
      <c r="M19" s="22">
        <f>(L7*M7+L8*M8+L9*M9+L10*M10+L11*M11)</f>
        <v>0.52670000000000006</v>
      </c>
      <c r="Q19" s="76" t="s">
        <v>313</v>
      </c>
      <c r="R19" s="72">
        <f>+(R4*R6)</f>
        <v>200000</v>
      </c>
      <c r="S19" s="72">
        <f>+(S4*S6)</f>
        <v>600000</v>
      </c>
      <c r="T19" s="83">
        <f>+(S19/R19)-1</f>
        <v>2</v>
      </c>
      <c r="V19" s="69" t="s">
        <v>11</v>
      </c>
      <c r="W19" s="71" t="str">
        <f>+W3</f>
        <v>Company</v>
      </c>
      <c r="X19" s="71"/>
      <c r="Y19" s="71"/>
    </row>
    <row r="20" spans="1:25" ht="17.5">
      <c r="A20" s="25" t="s">
        <v>489</v>
      </c>
      <c r="B20" s="25"/>
      <c r="C20" s="25"/>
      <c r="I20" s="22"/>
      <c r="Q20" s="76" t="s">
        <v>314</v>
      </c>
      <c r="R20" s="72">
        <f>+R18-R19</f>
        <v>800000</v>
      </c>
      <c r="S20" s="72">
        <f>+S18-S19</f>
        <v>400000</v>
      </c>
      <c r="T20" s="83">
        <f t="shared" ref="T20:T30" si="1">+(S20/R20)-1</f>
        <v>-0.5</v>
      </c>
      <c r="V20" s="69" t="s">
        <v>319</v>
      </c>
      <c r="W20" s="79">
        <f>+(W4*(W5-W6))/(W4*(W5-W6)-W7)</f>
        <v>2.6666666666666665</v>
      </c>
      <c r="X20" s="79"/>
      <c r="Y20" s="79"/>
    </row>
    <row r="21" spans="1:25" ht="17.5">
      <c r="A21" t="s">
        <v>15</v>
      </c>
      <c r="B21">
        <f>(B7*(B4-B5))/(B7*(B4-B5)-B3-B8)</f>
        <v>-3.7209563994374091</v>
      </c>
      <c r="C21">
        <f>(C7*(C4-C5))/(C7*(C4-C5)-C3-C8)</f>
        <v>-1.6686097862568445</v>
      </c>
      <c r="I21" s="22"/>
      <c r="Q21" s="76" t="s">
        <v>315</v>
      </c>
      <c r="R21" s="72">
        <f>+R7</f>
        <v>500000</v>
      </c>
      <c r="S21" s="72">
        <f>+S7</f>
        <v>150000</v>
      </c>
      <c r="T21" s="83">
        <f t="shared" si="1"/>
        <v>-0.7</v>
      </c>
      <c r="V21" s="69" t="s">
        <v>320</v>
      </c>
      <c r="W21" s="79">
        <f>(W4*(W5-W6)-W7)/(W4*(W5-W6)-W7-W8)</f>
        <v>3</v>
      </c>
      <c r="X21" s="79"/>
      <c r="Y21" s="79"/>
    </row>
    <row r="22" spans="1:25" ht="17.5">
      <c r="I22" s="22"/>
      <c r="Q22" s="76" t="s">
        <v>316</v>
      </c>
      <c r="R22" s="72">
        <f>+R20-R21</f>
        <v>300000</v>
      </c>
      <c r="S22" s="72">
        <f>+S20-S21</f>
        <v>250000</v>
      </c>
      <c r="T22" s="83">
        <f t="shared" si="1"/>
        <v>-0.16666666666666663</v>
      </c>
      <c r="V22" s="69" t="s">
        <v>321</v>
      </c>
      <c r="W22" s="79">
        <f>+(W4*(W5-W6)/((W4*(W5-W6))-W14-W16))</f>
        <v>8</v>
      </c>
      <c r="X22" s="79"/>
      <c r="Y22" s="79"/>
    </row>
    <row r="23" spans="1:25" ht="17.5">
      <c r="I23" s="22"/>
      <c r="Q23" s="76" t="s">
        <v>317</v>
      </c>
      <c r="R23" s="72">
        <f>+R14</f>
        <v>100000</v>
      </c>
      <c r="S23" s="72">
        <f>+S14</f>
        <v>50000</v>
      </c>
      <c r="T23" s="83">
        <f t="shared" si="1"/>
        <v>-0.5</v>
      </c>
      <c r="V23" s="69" t="s">
        <v>322</v>
      </c>
      <c r="W23" s="79">
        <f>+W13/W17</f>
        <v>8</v>
      </c>
      <c r="X23" s="79"/>
      <c r="Y23" s="79"/>
    </row>
    <row r="24" spans="1:25" ht="18">
      <c r="I24" s="22"/>
      <c r="Q24" s="88" t="s">
        <v>318</v>
      </c>
      <c r="R24" s="87">
        <f>+R22-R23</f>
        <v>200000</v>
      </c>
      <c r="S24" s="87">
        <f>+S22-S23</f>
        <v>200000</v>
      </c>
      <c r="T24" s="83">
        <f t="shared" si="1"/>
        <v>0</v>
      </c>
    </row>
    <row r="25" spans="1:25" ht="17.5">
      <c r="I25" s="22"/>
      <c r="P25" s="129" t="s">
        <v>11</v>
      </c>
      <c r="Q25" s="69"/>
      <c r="R25" s="70"/>
      <c r="S25" s="70"/>
      <c r="T25" s="83"/>
    </row>
    <row r="26" spans="1:25" ht="18">
      <c r="I26" s="22"/>
      <c r="P26" s="130"/>
      <c r="Q26" s="69" t="s">
        <v>11</v>
      </c>
      <c r="R26" s="71" t="s">
        <v>302</v>
      </c>
      <c r="S26" s="71" t="s">
        <v>303</v>
      </c>
      <c r="T26" s="83"/>
    </row>
    <row r="27" spans="1:25" ht="17.5">
      <c r="I27" s="22"/>
      <c r="P27" s="77"/>
      <c r="Q27" s="69" t="s">
        <v>319</v>
      </c>
      <c r="R27" s="79">
        <f>+(R4*(R5-R6))/(R4*(R5-R6)-R7)</f>
        <v>2.6666666666666665</v>
      </c>
      <c r="S27" s="79">
        <f>+(S4*(S5-S6))/(S4*(S5-S6)-S7)</f>
        <v>1.6</v>
      </c>
      <c r="T27" s="83">
        <f t="shared" si="1"/>
        <v>-0.39999999999999991</v>
      </c>
    </row>
    <row r="28" spans="1:25" ht="17.5">
      <c r="I28" s="22"/>
      <c r="P28" s="129" t="s">
        <v>13</v>
      </c>
      <c r="Q28" s="69" t="s">
        <v>320</v>
      </c>
      <c r="R28" s="79">
        <f>(R4*(R5-R6)-R7)/(R4*(R5-R6)-R7-R8)</f>
        <v>1.5</v>
      </c>
      <c r="S28" s="80">
        <f>(S4*(S5-S6)-S7)/(S4*(S5-S6)-S7-S8)</f>
        <v>1.25</v>
      </c>
      <c r="T28" s="83">
        <f t="shared" si="1"/>
        <v>-0.16666666666666663</v>
      </c>
    </row>
    <row r="29" spans="1:25" ht="17.5">
      <c r="I29" s="22"/>
      <c r="P29" s="131"/>
      <c r="Q29" s="69" t="s">
        <v>321</v>
      </c>
      <c r="R29" s="79">
        <f>+(R4*(R5-R6)/((R4*(R5-R6))-R21-R23))</f>
        <v>4</v>
      </c>
      <c r="S29" s="79">
        <f>+(S4*(S5-S6)/((S4*(S5-S6))-S21-S23))</f>
        <v>2</v>
      </c>
      <c r="T29" s="83">
        <f t="shared" si="1"/>
        <v>-0.5</v>
      </c>
    </row>
    <row r="30" spans="1:25" ht="17.5">
      <c r="I30" s="22"/>
      <c r="Q30" s="69" t="s">
        <v>322</v>
      </c>
      <c r="R30" s="79">
        <f>+R20/R24</f>
        <v>4</v>
      </c>
      <c r="S30" s="79">
        <f>+S20/S24</f>
        <v>2</v>
      </c>
      <c r="T30" s="83">
        <f t="shared" si="1"/>
        <v>-0.5</v>
      </c>
    </row>
    <row r="31" spans="1:25" ht="17.5">
      <c r="I31" s="22"/>
      <c r="Q31" s="69"/>
      <c r="R31" s="70"/>
      <c r="S31" s="70"/>
      <c r="T31" s="70"/>
    </row>
    <row r="54" spans="17:20" ht="17.5">
      <c r="Q54" s="69"/>
      <c r="R54" s="70"/>
      <c r="S54" s="70"/>
      <c r="T54" s="70"/>
    </row>
  </sheetData>
  <mergeCells count="2">
    <mergeCell ref="P25:P26"/>
    <mergeCell ref="P28:P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F7293-0679-4D39-AE64-1B2C215AB0B6}">
  <dimension ref="A1:AH48"/>
  <sheetViews>
    <sheetView topLeftCell="A27" workbookViewId="0">
      <selection activeCell="A35" sqref="A35"/>
    </sheetView>
  </sheetViews>
  <sheetFormatPr defaultColWidth="9.08984375" defaultRowHeight="14.5"/>
  <cols>
    <col min="1" max="1" width="25.08984375" customWidth="1"/>
    <col min="2" max="2" width="20.1796875" bestFit="1" customWidth="1"/>
    <col min="3" max="3" width="18.1796875" bestFit="1" customWidth="1"/>
    <col min="4" max="4" width="9.08984375" bestFit="1" customWidth="1"/>
    <col min="6" max="6" width="90.54296875" customWidth="1"/>
  </cols>
  <sheetData>
    <row r="1" spans="1:34">
      <c r="A1" s="133" t="s">
        <v>17</v>
      </c>
      <c r="B1" s="133"/>
      <c r="C1" s="133"/>
      <c r="D1" s="133"/>
      <c r="E1" s="32"/>
      <c r="AB1" t="s">
        <v>242</v>
      </c>
      <c r="AE1" s="32" t="s">
        <v>16</v>
      </c>
      <c r="AF1" s="32"/>
      <c r="AG1" s="32"/>
      <c r="AH1" s="32"/>
    </row>
    <row r="2" spans="1:34">
      <c r="A2" s="132" t="s">
        <v>19</v>
      </c>
      <c r="B2" s="132"/>
      <c r="C2" s="132"/>
      <c r="D2" s="132"/>
      <c r="AE2" s="14" t="s">
        <v>18</v>
      </c>
    </row>
    <row r="3" spans="1:34" ht="15" thickBot="1">
      <c r="A3" s="37"/>
      <c r="B3" s="37">
        <v>2022</v>
      </c>
      <c r="C3" s="37">
        <v>2021</v>
      </c>
      <c r="D3" s="37"/>
      <c r="AE3" s="37"/>
      <c r="AF3" s="37"/>
      <c r="AG3" s="37"/>
      <c r="AH3" s="37"/>
    </row>
    <row r="4" spans="1:34">
      <c r="A4" t="s">
        <v>20</v>
      </c>
      <c r="B4" s="119">
        <f>'INCOME STATEMENT'!B4</f>
        <v>10513400000</v>
      </c>
      <c r="C4" s="119">
        <f>'INCOME STATEMENT'!C4</f>
        <v>9256500000</v>
      </c>
      <c r="AE4" t="s">
        <v>20</v>
      </c>
      <c r="AF4" s="22">
        <v>100000</v>
      </c>
    </row>
    <row r="5" spans="1:34">
      <c r="A5" t="s">
        <v>21</v>
      </c>
      <c r="B5" s="119">
        <f>'BALANCE SHEET'!G15</f>
        <v>37500000</v>
      </c>
      <c r="C5" s="119">
        <f>'BALANCE SHEET'!H15</f>
        <v>44000000</v>
      </c>
      <c r="AE5" t="s">
        <v>21</v>
      </c>
      <c r="AF5" s="22">
        <v>120000</v>
      </c>
    </row>
    <row r="6" spans="1:34">
      <c r="A6" t="s">
        <v>22</v>
      </c>
      <c r="B6" s="119">
        <f>B4/365</f>
        <v>28803835.616438355</v>
      </c>
      <c r="C6" s="119">
        <f>C4/365</f>
        <v>25360273.97260274</v>
      </c>
      <c r="AE6" t="s">
        <v>22</v>
      </c>
      <c r="AF6">
        <f>AF4/365</f>
        <v>273.97260273972603</v>
      </c>
    </row>
    <row r="7" spans="1:34">
      <c r="B7" s="119"/>
      <c r="C7" s="119"/>
    </row>
    <row r="8" spans="1:34">
      <c r="A8" t="s">
        <v>23</v>
      </c>
      <c r="B8" s="119">
        <f>'BALANCE SHEET'!B20</f>
        <v>6241500000</v>
      </c>
      <c r="C8" s="119">
        <f>'BALANCE SHEET'!C20</f>
        <v>5562400000</v>
      </c>
      <c r="AE8" t="s">
        <v>23</v>
      </c>
      <c r="AF8" s="22">
        <v>200000</v>
      </c>
    </row>
    <row r="9" spans="1:34">
      <c r="A9" t="s">
        <v>24</v>
      </c>
      <c r="B9" s="119">
        <f>'BALANCE SHEET'!B18</f>
        <v>0</v>
      </c>
      <c r="C9" s="119">
        <f>'BALANCE SHEET'!C18</f>
        <v>0</v>
      </c>
      <c r="AE9" t="s">
        <v>24</v>
      </c>
      <c r="AF9" s="22">
        <v>4000</v>
      </c>
    </row>
    <row r="10" spans="1:34">
      <c r="A10" t="s">
        <v>25</v>
      </c>
      <c r="B10" s="119">
        <f>'BALANCE SHEET'!B14</f>
        <v>837200000</v>
      </c>
      <c r="C10" s="119">
        <f>'BALANCE SHEET'!C14</f>
        <v>593000000</v>
      </c>
      <c r="AE10" t="s">
        <v>25</v>
      </c>
      <c r="AF10" s="22">
        <v>20000</v>
      </c>
    </row>
    <row r="11" spans="1:34">
      <c r="A11" t="s">
        <v>26</v>
      </c>
      <c r="B11" s="119">
        <f>'BALANCE SHEET'!B13</f>
        <v>874200000</v>
      </c>
      <c r="C11" s="119">
        <f>'BALANCE SHEET'!C13</f>
        <v>453900000</v>
      </c>
      <c r="AE11" t="s">
        <v>26</v>
      </c>
      <c r="AF11" s="22">
        <v>5000</v>
      </c>
    </row>
    <row r="12" spans="1:34">
      <c r="B12" s="119"/>
      <c r="C12" s="119"/>
    </row>
    <row r="13" spans="1:34">
      <c r="A13" t="s">
        <v>27</v>
      </c>
      <c r="B13" s="119">
        <f>'BALANCE SHEET'!B12</f>
        <v>1824600000</v>
      </c>
      <c r="C13" s="119">
        <f>'BALANCE SHEET'!C12</f>
        <v>1121600000</v>
      </c>
      <c r="AE13" t="s">
        <v>27</v>
      </c>
      <c r="AF13">
        <f>AF11+AF10+AF9</f>
        <v>29000</v>
      </c>
    </row>
    <row r="14" spans="1:34">
      <c r="A14" t="s">
        <v>28</v>
      </c>
      <c r="B14" s="119">
        <f>'BALANCE SHEET'!B5</f>
        <v>4416900000</v>
      </c>
      <c r="C14" s="119">
        <f>'BALANCE SHEET'!C5</f>
        <v>4440800000</v>
      </c>
      <c r="AE14" t="s">
        <v>28</v>
      </c>
      <c r="AF14" s="22">
        <v>40000</v>
      </c>
    </row>
    <row r="15" spans="1:34">
      <c r="B15" s="119"/>
      <c r="C15" s="119"/>
    </row>
    <row r="16" spans="1:34">
      <c r="A16" t="s">
        <v>29</v>
      </c>
      <c r="B16" s="119">
        <f>'BALANCE SHEET'!B28+'BALANCE SHEET'!B34</f>
        <v>4944100000</v>
      </c>
      <c r="C16" s="119">
        <f>'BALANCE SHEET'!C28+'BALANCE SHEET'!C34</f>
        <v>4354700000</v>
      </c>
      <c r="AE16" t="s">
        <v>29</v>
      </c>
      <c r="AF16" s="22">
        <v>7000</v>
      </c>
    </row>
    <row r="17" spans="1:34">
      <c r="A17" t="s">
        <v>30</v>
      </c>
      <c r="B17" s="119">
        <f>'BALANCE SHEET'!B34</f>
        <v>3917700000</v>
      </c>
      <c r="C17" s="119">
        <f>'BALANCE SHEET'!C34</f>
        <v>3661800000</v>
      </c>
      <c r="AE17" t="s">
        <v>30</v>
      </c>
      <c r="AF17">
        <v>17000</v>
      </c>
    </row>
    <row r="18" spans="1:34">
      <c r="B18" s="119"/>
      <c r="C18" s="119"/>
    </row>
    <row r="19" spans="1:34">
      <c r="A19" t="s">
        <v>8</v>
      </c>
      <c r="B19" s="119">
        <f>'INCOME STATEMENT'!B30</f>
        <v>-2000000</v>
      </c>
      <c r="C19" s="119">
        <f>'INCOME STATEMENT'!C30</f>
        <v>-2400000</v>
      </c>
      <c r="D19" t="s">
        <v>31</v>
      </c>
      <c r="AE19" t="s">
        <v>8</v>
      </c>
      <c r="AF19" s="22">
        <v>200</v>
      </c>
      <c r="AG19" t="s">
        <v>31</v>
      </c>
    </row>
    <row r="20" spans="1:34">
      <c r="A20" t="s">
        <v>32</v>
      </c>
      <c r="B20" s="119">
        <f>'INCOME STATEMENT'!B9+'INCOME STATEMENT'!B11+'INCOME STATEMENT'!B12+'INCOME STATEMENT'!B13+'INCOME STATEMENT'!B14+'INCOME STATEMENT'!B17+'INCOME STATEMENT'!B19</f>
        <v>-1758800000</v>
      </c>
      <c r="C20" s="119">
        <f>'INCOME STATEMENT'!C9+'INCOME STATEMENT'!C11+'INCOME STATEMENT'!C12+'INCOME STATEMENT'!C13+'INCOME STATEMENT'!C14+'INCOME STATEMENT'!C17+'INCOME STATEMENT'!C19</f>
        <v>-1512300000</v>
      </c>
      <c r="D20" t="s">
        <v>239</v>
      </c>
      <c r="AE20" t="s">
        <v>32</v>
      </c>
      <c r="AF20" s="22">
        <v>20</v>
      </c>
    </row>
    <row r="21" spans="1:34">
      <c r="A21" t="s">
        <v>33</v>
      </c>
      <c r="B21" s="119">
        <f>'INCOME STATEMENT'!B4+'INCOME STATEMENT'!B5+'INCOME STATEMENT'!B6+'INCOME STATEMENT'!B7+'INCOME STATEMENT'!B8+'INCOME STATEMENT'!B10</f>
        <v>1669100000</v>
      </c>
      <c r="C21" s="119">
        <f>'INCOME STATEMENT'!C4+'INCOME STATEMENT'!C5+'INCOME STATEMENT'!C6+'INCOME STATEMENT'!C7+'INCOME STATEMENT'!C8+'INCOME STATEMENT'!C10</f>
        <v>1134600000</v>
      </c>
      <c r="D21" t="s">
        <v>34</v>
      </c>
      <c r="AE21" t="s">
        <v>33</v>
      </c>
      <c r="AF21" s="22">
        <v>10200</v>
      </c>
      <c r="AG21" t="s">
        <v>34</v>
      </c>
    </row>
    <row r="22" spans="1:34">
      <c r="A22" t="s">
        <v>35</v>
      </c>
      <c r="B22" s="119">
        <f>'INCOME STATEMENT'!B15</f>
        <v>-113700000</v>
      </c>
      <c r="C22" s="119">
        <f>'INCOME STATEMENT'!C15</f>
        <v>-370600000</v>
      </c>
      <c r="D22" t="s">
        <v>36</v>
      </c>
      <c r="AE22" t="s">
        <v>35</v>
      </c>
      <c r="AG22" t="s">
        <v>36</v>
      </c>
    </row>
    <row r="23" spans="1:34">
      <c r="A23" t="s">
        <v>37</v>
      </c>
      <c r="B23" s="119">
        <f>'INCOME STATEMENT'!B21-'INCOME STATEMENT'!B30</f>
        <v>-5200000</v>
      </c>
      <c r="C23" s="119">
        <f>'INCOME STATEMENT'!C21-'INCOME STATEMENT'!C30</f>
        <v>-371300000</v>
      </c>
      <c r="D23" t="s">
        <v>38</v>
      </c>
      <c r="AE23" t="s">
        <v>37</v>
      </c>
      <c r="AF23" s="22">
        <v>10000</v>
      </c>
      <c r="AG23" t="s">
        <v>38</v>
      </c>
    </row>
    <row r="24" spans="1:34">
      <c r="A24" t="s">
        <v>39</v>
      </c>
      <c r="B24" s="119" t="s">
        <v>244</v>
      </c>
      <c r="C24" s="119" t="s">
        <v>244</v>
      </c>
      <c r="AE24" t="s">
        <v>39</v>
      </c>
      <c r="AF24" s="22">
        <v>50</v>
      </c>
    </row>
    <row r="25" spans="1:34">
      <c r="A25" t="s">
        <v>5</v>
      </c>
      <c r="B25" s="119">
        <f>'INCOME STATEMENT'!B23</f>
        <v>67500000</v>
      </c>
      <c r="C25" s="119">
        <f>'INCOME STATEMENT'!C23</f>
        <v>-256300000</v>
      </c>
      <c r="AE25" t="s">
        <v>5</v>
      </c>
      <c r="AF25" s="22">
        <v>8000</v>
      </c>
    </row>
    <row r="26" spans="1:34">
      <c r="A26" t="s">
        <v>40</v>
      </c>
      <c r="B26" s="119">
        <f>'BALANCE SHEET'!B23</f>
        <v>1297400000</v>
      </c>
      <c r="C26" s="119">
        <f>'BALANCE SHEET'!C23</f>
        <v>1207700000</v>
      </c>
      <c r="AE26" t="s">
        <v>40</v>
      </c>
      <c r="AF26" s="22">
        <v>5000</v>
      </c>
    </row>
    <row r="27" spans="1:34">
      <c r="A27" s="8" t="s">
        <v>41</v>
      </c>
      <c r="B27" s="8"/>
      <c r="C27" s="8"/>
      <c r="D27" s="8" t="s">
        <v>470</v>
      </c>
      <c r="E27" s="8"/>
      <c r="AE27" s="8" t="s">
        <v>41</v>
      </c>
      <c r="AF27" s="8"/>
      <c r="AG27" s="36" t="s">
        <v>42</v>
      </c>
    </row>
    <row r="28" spans="1:34" ht="29">
      <c r="A28" t="s">
        <v>43</v>
      </c>
      <c r="B28" s="2">
        <f>B25/B4</f>
        <v>6.4203778035649738E-3</v>
      </c>
      <c r="C28" s="61">
        <f>C25/C4</f>
        <v>-2.7688651218062982E-2</v>
      </c>
      <c r="F28" s="120" t="s">
        <v>471</v>
      </c>
      <c r="AE28" t="s">
        <v>43</v>
      </c>
      <c r="AF28" s="35">
        <f>AF25/AF4</f>
        <v>0.08</v>
      </c>
      <c r="AG28" t="str">
        <f>_xlfn.CONCAT("This shows us that the company has a ", AF28," return on the salles dollar")</f>
        <v>This shows us that the company has a 0.08 return on the salles dollar</v>
      </c>
    </row>
    <row r="29" spans="1:34" ht="43.5">
      <c r="A29" t="s">
        <v>469</v>
      </c>
      <c r="B29" s="2">
        <f>(B25/B8)</f>
        <v>1.0814708002883922E-2</v>
      </c>
      <c r="C29" s="2">
        <f>C25/C8</f>
        <v>-4.6077232849129873E-2</v>
      </c>
      <c r="D29" t="s">
        <v>472</v>
      </c>
      <c r="F29" s="120" t="s">
        <v>491</v>
      </c>
      <c r="AE29" t="s">
        <v>44</v>
      </c>
      <c r="AF29" s="35">
        <f>AF25/AF8</f>
        <v>0.04</v>
      </c>
    </row>
    <row r="30" spans="1:34" ht="29">
      <c r="A30" t="s">
        <v>475</v>
      </c>
      <c r="B30" s="2">
        <f>B25/B26</f>
        <v>5.2027131185447821E-2</v>
      </c>
      <c r="C30" s="2">
        <f>C25/C26</f>
        <v>-0.21222157820650825</v>
      </c>
      <c r="F30" s="120" t="s">
        <v>473</v>
      </c>
      <c r="AE30" t="s">
        <v>45</v>
      </c>
      <c r="AF30" s="35">
        <f>(AF25/AF8)/(1-(AF16/AF8))</f>
        <v>4.145077720207254E-2</v>
      </c>
    </row>
    <row r="31" spans="1:34">
      <c r="F31" s="120"/>
    </row>
    <row r="32" spans="1:34">
      <c r="A32" s="34" t="s">
        <v>46</v>
      </c>
      <c r="B32" s="34"/>
      <c r="C32" s="34"/>
      <c r="D32" s="34"/>
      <c r="E32" s="34"/>
      <c r="F32" s="120"/>
      <c r="AE32" s="34" t="s">
        <v>46</v>
      </c>
      <c r="AF32" s="34"/>
      <c r="AG32" s="34"/>
      <c r="AH32" s="34"/>
    </row>
    <row r="33" spans="1:34" ht="43.5">
      <c r="A33" t="s">
        <v>47</v>
      </c>
      <c r="B33" s="118">
        <f>B4/B10</f>
        <v>12.557811753463927</v>
      </c>
      <c r="C33" s="118">
        <f>C4/C10</f>
        <v>15.609612141652613</v>
      </c>
      <c r="F33" s="120" t="s">
        <v>474</v>
      </c>
      <c r="AE33" t="s">
        <v>47</v>
      </c>
      <c r="AF33">
        <f>AF5/AF10</f>
        <v>6</v>
      </c>
    </row>
    <row r="34" spans="1:34" ht="43.5">
      <c r="A34" t="s">
        <v>47</v>
      </c>
      <c r="B34" s="118">
        <f>B10/B6</f>
        <v>29.065573458633743</v>
      </c>
      <c r="C34" s="118">
        <f>C10/C6</f>
        <v>23.383028142386429</v>
      </c>
      <c r="F34" s="120" t="s">
        <v>476</v>
      </c>
      <c r="AE34" t="s">
        <v>48</v>
      </c>
      <c r="AF34">
        <f>AF10/AF6</f>
        <v>73</v>
      </c>
    </row>
    <row r="35" spans="1:34" ht="43.5">
      <c r="A35" t="s">
        <v>49</v>
      </c>
      <c r="B35" s="118">
        <f>B4/B11</f>
        <v>12.026309768931595</v>
      </c>
      <c r="C35" s="118">
        <f>C4/C11</f>
        <v>20.393258426966291</v>
      </c>
      <c r="F35" s="121" t="s">
        <v>477</v>
      </c>
      <c r="AE35" t="s">
        <v>49</v>
      </c>
      <c r="AF35">
        <f>AF4/AF11</f>
        <v>20</v>
      </c>
    </row>
    <row r="36" spans="1:34" ht="43.5">
      <c r="A36" t="s">
        <v>50</v>
      </c>
      <c r="B36" s="118">
        <f>B4/B14</f>
        <v>2.3802667028911682</v>
      </c>
      <c r="C36" s="118">
        <f>C4/C14</f>
        <v>2.0844217258151683</v>
      </c>
      <c r="F36" s="120" t="s">
        <v>478</v>
      </c>
      <c r="AE36" t="s">
        <v>50</v>
      </c>
      <c r="AF36">
        <f>AF4/AF14</f>
        <v>2.5</v>
      </c>
    </row>
    <row r="37" spans="1:34" ht="43.5">
      <c r="A37" t="s">
        <v>51</v>
      </c>
      <c r="B37" s="118">
        <f>B4/B8</f>
        <v>1.6844348313706641</v>
      </c>
      <c r="C37" s="118">
        <f>C4/C8</f>
        <v>1.664119804400978</v>
      </c>
      <c r="F37" s="120" t="s">
        <v>479</v>
      </c>
      <c r="AE37" t="s">
        <v>51</v>
      </c>
      <c r="AF37">
        <f>AF4/AF8</f>
        <v>0.5</v>
      </c>
    </row>
    <row r="38" spans="1:34">
      <c r="B38" s="118"/>
      <c r="C38" s="118"/>
      <c r="F38" s="120"/>
    </row>
    <row r="39" spans="1:34">
      <c r="A39" s="34" t="s">
        <v>52</v>
      </c>
      <c r="B39" s="125"/>
      <c r="C39" s="125"/>
      <c r="D39" s="34"/>
      <c r="E39" s="34"/>
      <c r="F39" s="120"/>
      <c r="AE39" s="34" t="s">
        <v>52</v>
      </c>
      <c r="AF39" s="34"/>
      <c r="AG39" s="34"/>
      <c r="AH39" s="34"/>
    </row>
    <row r="40" spans="1:34" ht="43.5">
      <c r="A40" t="s">
        <v>53</v>
      </c>
      <c r="B40" s="118">
        <f>B13/B17</f>
        <v>0.46573244505704881</v>
      </c>
      <c r="C40" s="118">
        <f>C13/C17</f>
        <v>0.30629744934185371</v>
      </c>
      <c r="F40" s="124" t="s">
        <v>490</v>
      </c>
      <c r="AE40" t="s">
        <v>53</v>
      </c>
      <c r="AF40" s="58">
        <f>AF13/AF17</f>
        <v>1.7058823529411764</v>
      </c>
    </row>
    <row r="41" spans="1:34" ht="29">
      <c r="A41" t="s">
        <v>54</v>
      </c>
      <c r="B41" s="118">
        <f>(B13-B11)/B17</f>
        <v>0.24259131633356307</v>
      </c>
      <c r="C41" s="118">
        <f>(C13-C11)/C17</f>
        <v>0.18234201758697907</v>
      </c>
      <c r="F41" s="120" t="s">
        <v>480</v>
      </c>
      <c r="AE41" t="s">
        <v>54</v>
      </c>
      <c r="AF41" s="58">
        <f>(AF13-AF11)/AF17</f>
        <v>1.411764705882353</v>
      </c>
    </row>
    <row r="42" spans="1:34">
      <c r="B42" s="118"/>
      <c r="C42" s="118"/>
      <c r="F42" s="120"/>
    </row>
    <row r="43" spans="1:34">
      <c r="A43" s="34" t="s">
        <v>55</v>
      </c>
      <c r="B43" s="125"/>
      <c r="C43" s="125"/>
      <c r="D43" s="34"/>
      <c r="E43" s="34"/>
      <c r="F43" s="120"/>
      <c r="AE43" s="34" t="s">
        <v>55</v>
      </c>
      <c r="AF43" s="34"/>
      <c r="AG43" s="34"/>
      <c r="AH43" s="34"/>
    </row>
    <row r="44" spans="1:34">
      <c r="A44" t="s">
        <v>56</v>
      </c>
      <c r="B44" s="3">
        <f>B16/B8</f>
        <v>0.79213330128975401</v>
      </c>
      <c r="C44" s="3">
        <f>C16/C8</f>
        <v>0.78288149000431473</v>
      </c>
      <c r="D44" s="3"/>
      <c r="E44" s="3"/>
      <c r="F44" s="120"/>
      <c r="AE44" t="s">
        <v>56</v>
      </c>
      <c r="AF44">
        <f>AF16/AF8</f>
        <v>3.5000000000000003E-2</v>
      </c>
    </row>
    <row r="45" spans="1:34">
      <c r="A45" t="s">
        <v>57</v>
      </c>
      <c r="B45" s="118">
        <f>B23/B19</f>
        <v>2.6</v>
      </c>
      <c r="C45" s="118">
        <f>C23/C19</f>
        <v>154.70833333333334</v>
      </c>
      <c r="F45" s="120"/>
      <c r="AE45" t="s">
        <v>57</v>
      </c>
      <c r="AF45">
        <f>AF23/AF19</f>
        <v>50</v>
      </c>
    </row>
    <row r="46" spans="1:34" ht="29">
      <c r="A46" t="s">
        <v>58</v>
      </c>
      <c r="B46" s="118">
        <f>B23/B20</f>
        <v>2.9565612917898565E-3</v>
      </c>
      <c r="C46" s="118">
        <f>C23/C20</f>
        <v>0.24552006876942406</v>
      </c>
      <c r="F46" s="120" t="s">
        <v>59</v>
      </c>
      <c r="AE46" t="s">
        <v>58</v>
      </c>
      <c r="AF46">
        <f>(AF23+AF24)/AF24+AF19</f>
        <v>401</v>
      </c>
      <c r="AG46" t="s">
        <v>59</v>
      </c>
    </row>
    <row r="47" spans="1:34">
      <c r="A47" t="s">
        <v>245</v>
      </c>
      <c r="B47" s="118">
        <f>B16/B26</f>
        <v>3.8107753969477418</v>
      </c>
      <c r="C47" s="118">
        <f>C16/C26</f>
        <v>3.605779581021777</v>
      </c>
      <c r="F47" s="120"/>
    </row>
    <row r="48" spans="1:34">
      <c r="B48" s="118"/>
      <c r="C48" s="118"/>
    </row>
  </sheetData>
  <mergeCells count="2">
    <mergeCell ref="A2:D2"/>
    <mergeCell ref="A1:D1"/>
  </mergeCells>
  <hyperlinks>
    <hyperlink ref="AG46" r:id="rId1" display="The fixed-charge coverage ratio (FCCR) measures a firm's ability to cover its fixed charges, such as debt payments, interest expense, and equipment lease expense. It shows how well a company's earnings can cover its fixed expenses." xr:uid="{4BEF9C83-80EA-426E-8718-6E221A1157DE}"/>
    <hyperlink ref="F46" r:id="rId2" display="The fixed-charge coverage ratio (FCCR) measures a firm's ability to cover its fixed charges, such as debt payments, interest expense, and equipment lease expense. It shows how well a company's earnings can cover its fixed expenses." xr:uid="{C51BACE1-6C4B-44C2-AA17-A59FA8CE78F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84244-BFF5-4947-8850-96D7141A75A7}">
  <dimension ref="A1:K17"/>
  <sheetViews>
    <sheetView workbookViewId="0">
      <selection activeCell="A17" sqref="A17"/>
    </sheetView>
  </sheetViews>
  <sheetFormatPr defaultColWidth="8.81640625" defaultRowHeight="14.5"/>
  <cols>
    <col min="1" max="1" width="33.81640625" bestFit="1" customWidth="1"/>
    <col min="8" max="8" width="12.81640625" bestFit="1" customWidth="1"/>
    <col min="10" max="10" width="10.453125" bestFit="1" customWidth="1"/>
  </cols>
  <sheetData>
    <row r="1" spans="1:11">
      <c r="A1" s="64"/>
      <c r="G1" t="s">
        <v>296</v>
      </c>
    </row>
    <row r="2" spans="1:11">
      <c r="A2" s="66" t="s">
        <v>292</v>
      </c>
      <c r="H2" s="65" t="s">
        <v>293</v>
      </c>
      <c r="I2" s="66" t="s">
        <v>275</v>
      </c>
      <c r="J2" s="66" t="s">
        <v>276</v>
      </c>
      <c r="K2" s="66" t="s">
        <v>277</v>
      </c>
    </row>
    <row r="3" spans="1:11">
      <c r="A3" t="s">
        <v>280</v>
      </c>
      <c r="B3" s="67">
        <f>J7</f>
        <v>200000</v>
      </c>
      <c r="H3" s="68" t="s">
        <v>278</v>
      </c>
      <c r="I3" s="22" t="s">
        <v>279</v>
      </c>
      <c r="J3" s="22">
        <v>20000</v>
      </c>
      <c r="K3" s="35">
        <f>J3/B3</f>
        <v>0.1</v>
      </c>
    </row>
    <row r="4" spans="1:11">
      <c r="A4" t="s">
        <v>294</v>
      </c>
      <c r="B4" s="67">
        <v>960000</v>
      </c>
      <c r="H4" s="68" t="s">
        <v>281</v>
      </c>
      <c r="I4" s="22" t="s">
        <v>282</v>
      </c>
      <c r="J4" s="22">
        <v>30000</v>
      </c>
      <c r="K4" s="35">
        <f>J4/B3</f>
        <v>0.15</v>
      </c>
    </row>
    <row r="5" spans="1:11">
      <c r="A5" t="s">
        <v>283</v>
      </c>
      <c r="B5">
        <f>B4/120</f>
        <v>8000</v>
      </c>
      <c r="C5" t="s">
        <v>284</v>
      </c>
      <c r="H5" s="68" t="s">
        <v>285</v>
      </c>
      <c r="I5" s="22" t="s">
        <v>286</v>
      </c>
      <c r="J5" s="22">
        <v>50000</v>
      </c>
      <c r="K5" s="35">
        <f>J5/B3</f>
        <v>0.25</v>
      </c>
    </row>
    <row r="6" spans="1:11">
      <c r="A6" s="66" t="s">
        <v>287</v>
      </c>
      <c r="B6" s="27">
        <f>B3/B5</f>
        <v>25</v>
      </c>
      <c r="C6" s="66" t="s">
        <v>288</v>
      </c>
      <c r="H6" s="68" t="s">
        <v>289</v>
      </c>
      <c r="I6" s="22" t="s">
        <v>290</v>
      </c>
      <c r="J6" s="22">
        <v>100000</v>
      </c>
      <c r="K6" s="35">
        <f>J6/B3</f>
        <v>0.5</v>
      </c>
    </row>
    <row r="7" spans="1:11">
      <c r="H7" s="66" t="s">
        <v>291</v>
      </c>
      <c r="J7">
        <f>(J3+J4+J5+J6)</f>
        <v>200000</v>
      </c>
      <c r="K7" s="35">
        <f>K3+K4+K5+K6</f>
        <v>1</v>
      </c>
    </row>
    <row r="9" spans="1:11">
      <c r="A9" t="s">
        <v>300</v>
      </c>
    </row>
    <row r="11" spans="1:11">
      <c r="A11" s="66" t="s">
        <v>292</v>
      </c>
      <c r="B11" t="s">
        <v>295</v>
      </c>
      <c r="H11" s="65"/>
      <c r="I11" s="66"/>
      <c r="J11" s="66"/>
      <c r="K11" s="66"/>
    </row>
    <row r="12" spans="1:11">
      <c r="A12" t="s">
        <v>280</v>
      </c>
      <c r="B12" s="22">
        <v>150000</v>
      </c>
      <c r="D12" t="s">
        <v>299</v>
      </c>
      <c r="H12" s="66"/>
      <c r="K12" s="35"/>
    </row>
    <row r="13" spans="1:11">
      <c r="A13" t="s">
        <v>294</v>
      </c>
      <c r="B13" s="22">
        <v>9600000</v>
      </c>
      <c r="D13" t="s">
        <v>298</v>
      </c>
      <c r="H13" s="66"/>
      <c r="K13" s="35"/>
    </row>
    <row r="14" spans="1:11">
      <c r="A14" t="s">
        <v>297</v>
      </c>
      <c r="B14" s="22">
        <v>360</v>
      </c>
      <c r="H14" s="66"/>
      <c r="K14" s="35"/>
    </row>
    <row r="15" spans="1:11">
      <c r="H15" s="66"/>
      <c r="K15" s="35"/>
    </row>
    <row r="16" spans="1:11">
      <c r="A16" t="s">
        <v>283</v>
      </c>
      <c r="B16">
        <f>B13/B14</f>
        <v>26666.666666666668</v>
      </c>
      <c r="C16" t="s">
        <v>284</v>
      </c>
    </row>
    <row r="17" spans="1:3">
      <c r="A17" s="66" t="s">
        <v>287</v>
      </c>
      <c r="B17" s="27">
        <f>B12/B16</f>
        <v>5.625</v>
      </c>
      <c r="C17" s="66"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B14A-97FC-4F8C-A047-D18F54F59BFD}">
  <dimension ref="A1:BG149"/>
  <sheetViews>
    <sheetView topLeftCell="B1" zoomScale="47" workbookViewId="0">
      <selection activeCell="C16" sqref="C16"/>
    </sheetView>
  </sheetViews>
  <sheetFormatPr defaultColWidth="8.81640625" defaultRowHeight="14.5"/>
  <cols>
    <col min="1" max="1" width="27" customWidth="1"/>
    <col min="2" max="2" width="49.453125" customWidth="1"/>
    <col min="3" max="3" width="11.81640625" bestFit="1" customWidth="1"/>
    <col min="4" max="4" width="45.6328125" customWidth="1"/>
    <col min="5" max="5" width="11.81640625" bestFit="1" customWidth="1"/>
    <col min="6" max="6" width="14.08984375" customWidth="1"/>
    <col min="7" max="7" width="42.08984375" bestFit="1" customWidth="1"/>
    <col min="8" max="8" width="10.81640625" customWidth="1"/>
    <col min="9" max="9" width="10.453125" bestFit="1" customWidth="1"/>
    <col min="10" max="10" width="13.36328125" customWidth="1"/>
    <col min="12" max="12" width="34" bestFit="1" customWidth="1"/>
    <col min="15" max="15" width="9.81640625" bestFit="1" customWidth="1"/>
    <col min="16" max="16" width="34" bestFit="1" customWidth="1"/>
    <col min="17" max="17" width="21.81640625" bestFit="1" customWidth="1"/>
    <col min="18" max="18" width="42.453125" bestFit="1" customWidth="1"/>
    <col min="19" max="19" width="14.36328125" customWidth="1"/>
    <col min="21" max="21" width="12.453125" bestFit="1" customWidth="1"/>
    <col min="49" max="49" width="28.08984375" bestFit="1" customWidth="1"/>
    <col min="50" max="50" width="12.36328125" bestFit="1" customWidth="1"/>
    <col min="51" max="51" width="21.81640625" bestFit="1" customWidth="1"/>
    <col min="52" max="52" width="31.08984375" bestFit="1" customWidth="1"/>
    <col min="53" max="53" width="8.81640625" customWidth="1"/>
    <col min="54" max="54" width="18" bestFit="1" customWidth="1"/>
    <col min="55" max="55" width="19.81640625" bestFit="1" customWidth="1"/>
  </cols>
  <sheetData>
    <row r="1" spans="1:59" ht="20" thickBot="1">
      <c r="A1" s="94" t="s">
        <v>338</v>
      </c>
      <c r="B1" s="93" t="s">
        <v>339</v>
      </c>
      <c r="T1" t="s">
        <v>219</v>
      </c>
      <c r="U1">
        <v>45000</v>
      </c>
      <c r="AA1" s="1"/>
      <c r="AS1" t="s">
        <v>346</v>
      </c>
    </row>
    <row r="2" spans="1:59" ht="18" thickTop="1" thickBot="1">
      <c r="A2" s="95" t="s">
        <v>342</v>
      </c>
      <c r="B2" s="97" t="s">
        <v>340</v>
      </c>
      <c r="C2" s="98" t="s">
        <v>343</v>
      </c>
      <c r="G2" s="99" t="s">
        <v>369</v>
      </c>
      <c r="H2" s="99"/>
      <c r="R2" s="1">
        <f>FV(0.0025,12,,100)</f>
        <v>-103.04159569135068</v>
      </c>
      <c r="T2" t="s">
        <v>226</v>
      </c>
      <c r="U2" s="2">
        <v>12000</v>
      </c>
      <c r="AO2" t="s">
        <v>368</v>
      </c>
      <c r="AS2" t="s">
        <v>63</v>
      </c>
      <c r="AT2">
        <v>1</v>
      </c>
      <c r="AU2" t="s">
        <v>219</v>
      </c>
      <c r="AV2" t="s">
        <v>343</v>
      </c>
      <c r="AW2" t="s">
        <v>347</v>
      </c>
      <c r="AX2" t="s">
        <v>348</v>
      </c>
      <c r="AY2" t="s">
        <v>344</v>
      </c>
      <c r="AZ2" t="s">
        <v>355</v>
      </c>
      <c r="BB2" t="s">
        <v>362</v>
      </c>
      <c r="BC2" t="s">
        <v>357</v>
      </c>
      <c r="BE2" t="s">
        <v>359</v>
      </c>
      <c r="BG2" t="s">
        <v>359</v>
      </c>
    </row>
    <row r="3" spans="1:59" ht="15.5" thickTop="1" thickBot="1">
      <c r="B3" s="97" t="str">
        <f>_xlfn.XLOOKUP($C$2,$AU$2:$AU$4,$AW$2:$AW$4)</f>
        <v>Choose Bonds -&gt;</v>
      </c>
      <c r="C3" s="102" t="s">
        <v>343</v>
      </c>
      <c r="D3" s="97" t="str">
        <f>_xlfn.XLOOKUP($C$2,$AU$2:$AU$4,$AW$2:$AW$4)</f>
        <v>Choose Bonds -&gt;</v>
      </c>
      <c r="E3" s="105" t="s">
        <v>343</v>
      </c>
      <c r="G3" s="100" t="s">
        <v>382</v>
      </c>
      <c r="H3" s="117">
        <f>_xlfn.XLOOKUP($C$2,O79:O81,P79:P81)</f>
        <v>255000.00000000003</v>
      </c>
      <c r="L3" t="s">
        <v>465</v>
      </c>
      <c r="M3">
        <f>H3*(1-C9)</f>
        <v>178500</v>
      </c>
      <c r="T3" t="s">
        <v>227</v>
      </c>
      <c r="U3">
        <v>1</v>
      </c>
      <c r="AS3" t="s">
        <v>65</v>
      </c>
      <c r="AT3">
        <v>2</v>
      </c>
      <c r="AU3" t="s">
        <v>343</v>
      </c>
      <c r="AV3" t="s">
        <v>341</v>
      </c>
      <c r="AW3" t="s">
        <v>353</v>
      </c>
      <c r="AY3" t="s">
        <v>439</v>
      </c>
      <c r="AZ3" t="s">
        <v>384</v>
      </c>
      <c r="BB3" t="s">
        <v>356</v>
      </c>
      <c r="BC3" t="s">
        <v>358</v>
      </c>
      <c r="BE3" t="s">
        <v>360</v>
      </c>
      <c r="BG3" t="s">
        <v>360</v>
      </c>
    </row>
    <row r="4" spans="1:59" ht="15.5" thickTop="1" thickBot="1">
      <c r="B4" s="97" t="str">
        <f>_xlfn.XLOOKUP(C2,AU2:AU4,AY2:AY4)</f>
        <v>Market Price of Bond (i.e. 990 )(optional)</v>
      </c>
      <c r="C4" s="103">
        <v>900</v>
      </c>
      <c r="D4" s="97" t="str">
        <f>_xlfn.XLOOKUP(C2,AU2:AU4,AZ2:AZ4)</f>
        <v>Market Price of Bond(optional)(2)</v>
      </c>
      <c r="E4" s="105"/>
      <c r="G4" s="100" t="s">
        <v>383</v>
      </c>
      <c r="H4" s="112">
        <f>_xlfn.XLOOKUP($C$2,O79:O81,R79:R81)</f>
        <v>555000</v>
      </c>
      <c r="T4" t="s">
        <v>229</v>
      </c>
      <c r="U4">
        <v>36</v>
      </c>
      <c r="AS4" t="s">
        <v>332</v>
      </c>
      <c r="AT4">
        <v>4</v>
      </c>
      <c r="AU4" t="s">
        <v>341</v>
      </c>
      <c r="AV4" t="s">
        <v>349</v>
      </c>
      <c r="AW4" t="s">
        <v>354</v>
      </c>
      <c r="AY4" t="s">
        <v>352</v>
      </c>
      <c r="AZ4" t="s">
        <v>77</v>
      </c>
      <c r="BB4" t="s">
        <v>362</v>
      </c>
      <c r="BC4" t="s">
        <v>356</v>
      </c>
      <c r="BE4" t="s">
        <v>361</v>
      </c>
      <c r="BG4" t="s">
        <v>360</v>
      </c>
    </row>
    <row r="5" spans="1:59" ht="15.5" thickTop="1" thickBot="1">
      <c r="B5" s="97" t="str">
        <f>_xlfn.XLOOKUP(C2,AU2:AU4,BB2:BB4)</f>
        <v>Coupon rate</v>
      </c>
      <c r="C5" s="104">
        <v>8.5000000000000006E-2</v>
      </c>
      <c r="D5" s="97" t="str">
        <f>_xlfn.XLOOKUP(C2,AU2:AU4,BC2:BC4)</f>
        <v>Coupon rate(optional)</v>
      </c>
      <c r="E5" s="106">
        <v>2.5000000000000001E-2</v>
      </c>
      <c r="G5" t="s">
        <v>417</v>
      </c>
      <c r="T5" t="s">
        <v>230</v>
      </c>
      <c r="U5" s="2">
        <v>5.6299999999999996E-3</v>
      </c>
      <c r="AS5" t="s">
        <v>70</v>
      </c>
      <c r="AT5">
        <v>12</v>
      </c>
      <c r="AV5" t="s">
        <v>350</v>
      </c>
    </row>
    <row r="6" spans="1:59" ht="15.5" thickTop="1" thickBot="1">
      <c r="B6" s="97" t="str">
        <f>_xlfn.XLOOKUP(C2,AU2:AU4,BE2:BE4)</f>
        <v>Maturity(10 years usually)</v>
      </c>
      <c r="C6" s="102">
        <v>10</v>
      </c>
      <c r="D6" s="97" t="str">
        <f>_xlfn.XLOOKUP(C2,AU2:AU4,BG2:BG4)</f>
        <v>Maturity(10 years usually)</v>
      </c>
      <c r="E6" s="105">
        <v>15</v>
      </c>
      <c r="G6" s="12" t="s">
        <v>380</v>
      </c>
      <c r="H6" s="101">
        <f>_xlfn.XLOOKUP($C$2,O79:O81,Q79:Q81)</f>
        <v>112500</v>
      </c>
      <c r="L6" t="s">
        <v>466</v>
      </c>
      <c r="M6">
        <f>H6*(1-E9)</f>
        <v>78750</v>
      </c>
      <c r="T6" t="s">
        <v>231</v>
      </c>
      <c r="AV6" t="s">
        <v>351</v>
      </c>
    </row>
    <row r="7" spans="1:59" ht="15.5" thickTop="1" thickBot="1">
      <c r="B7" s="97" t="s">
        <v>364</v>
      </c>
      <c r="C7" s="102" t="s">
        <v>63</v>
      </c>
      <c r="D7" s="97" t="s">
        <v>365</v>
      </c>
      <c r="E7" s="105" t="s">
        <v>63</v>
      </c>
      <c r="G7" s="12" t="s">
        <v>381</v>
      </c>
      <c r="H7" s="101">
        <f>_xlfn.XLOOKUP($C$2,O79:O81,S79:S81)</f>
        <v>412500</v>
      </c>
    </row>
    <row r="8" spans="1:59" ht="15" thickTop="1">
      <c r="B8" t="s">
        <v>430</v>
      </c>
      <c r="C8" s="116"/>
      <c r="D8" t="s">
        <v>430</v>
      </c>
      <c r="E8" s="107">
        <v>1000</v>
      </c>
      <c r="G8" t="s">
        <v>418</v>
      </c>
      <c r="AX8" t="s">
        <v>219</v>
      </c>
    </row>
    <row r="9" spans="1:59">
      <c r="B9" t="s">
        <v>431</v>
      </c>
      <c r="C9" s="110">
        <v>0.3</v>
      </c>
      <c r="D9" t="s">
        <v>431</v>
      </c>
      <c r="E9" s="114">
        <v>0.3</v>
      </c>
      <c r="G9" t="s">
        <v>385</v>
      </c>
      <c r="H9" s="108">
        <f>H4/H7</f>
        <v>1.3454545454545455</v>
      </c>
      <c r="I9" t="str">
        <f>IF(H9&lt;1,"1 is cheaper than 2", "2 is cheaper than 1")</f>
        <v>2 is cheaper than 1</v>
      </c>
      <c r="AX9" t="s">
        <v>344</v>
      </c>
    </row>
    <row r="10" spans="1:59">
      <c r="B10" t="s">
        <v>434</v>
      </c>
      <c r="C10" s="110"/>
      <c r="D10" t="s">
        <v>435</v>
      </c>
      <c r="E10" s="114">
        <v>0.03</v>
      </c>
      <c r="G10" t="s">
        <v>463</v>
      </c>
      <c r="AX10" t="s">
        <v>345</v>
      </c>
    </row>
    <row r="11" spans="1:59">
      <c r="B11" t="s">
        <v>443</v>
      </c>
      <c r="C11" s="115">
        <v>300</v>
      </c>
      <c r="D11" t="s">
        <v>444</v>
      </c>
      <c r="E11" s="115">
        <v>300</v>
      </c>
      <c r="G11" t="s">
        <v>464</v>
      </c>
      <c r="W11" s="3">
        <f>(2*12*U2)/((U4+1)*U1)</f>
        <v>0.17297297297297298</v>
      </c>
      <c r="AX11" t="s">
        <v>212</v>
      </c>
    </row>
    <row r="12" spans="1:59">
      <c r="B12" t="s">
        <v>460</v>
      </c>
      <c r="C12">
        <v>15000</v>
      </c>
      <c r="D12" t="s">
        <v>461</v>
      </c>
      <c r="E12">
        <v>15000</v>
      </c>
      <c r="Q12" t="s">
        <v>232</v>
      </c>
      <c r="X12" t="s">
        <v>232</v>
      </c>
      <c r="AB12" t="s">
        <v>235</v>
      </c>
      <c r="AX12" t="s">
        <v>346</v>
      </c>
    </row>
    <row r="13" spans="1:59">
      <c r="Q13" t="s">
        <v>363</v>
      </c>
      <c r="S13">
        <f>C4</f>
        <v>900</v>
      </c>
      <c r="W13">
        <v>1</v>
      </c>
      <c r="X13">
        <f t="shared" ref="X13:X20" si="0">IF($S$19&gt;=W13,$S$15,0)</f>
        <v>85</v>
      </c>
      <c r="AA13">
        <v>1</v>
      </c>
      <c r="AB13">
        <f t="shared" ref="AB13:AB44" si="1">IF($S$53&gt;=AA13,$S$49,0)</f>
        <v>25</v>
      </c>
    </row>
    <row r="14" spans="1:59">
      <c r="Q14" t="s">
        <v>210</v>
      </c>
      <c r="S14" s="61">
        <f>C5</f>
        <v>8.5000000000000006E-2</v>
      </c>
      <c r="W14">
        <v>2</v>
      </c>
      <c r="X14">
        <f t="shared" si="0"/>
        <v>85</v>
      </c>
      <c r="AA14">
        <v>2</v>
      </c>
      <c r="AB14">
        <f t="shared" si="1"/>
        <v>25</v>
      </c>
    </row>
    <row r="15" spans="1:59">
      <c r="Q15" t="s">
        <v>438</v>
      </c>
      <c r="S15">
        <f>S16*S14</f>
        <v>85</v>
      </c>
      <c r="W15">
        <v>3</v>
      </c>
      <c r="X15">
        <f t="shared" si="0"/>
        <v>85</v>
      </c>
      <c r="AA15">
        <v>3</v>
      </c>
      <c r="AB15">
        <f t="shared" si="1"/>
        <v>25</v>
      </c>
    </row>
    <row r="16" spans="1:59">
      <c r="D16" t="s">
        <v>492</v>
      </c>
      <c r="Q16" t="s">
        <v>233</v>
      </c>
      <c r="S16">
        <v>1000</v>
      </c>
      <c r="W16">
        <v>4</v>
      </c>
      <c r="X16">
        <f>IF($S$19&gt;=W16,$S$15,0)</f>
        <v>85</v>
      </c>
      <c r="AA16">
        <v>4</v>
      </c>
      <c r="AB16">
        <f t="shared" si="1"/>
        <v>25</v>
      </c>
    </row>
    <row r="17" spans="1:28">
      <c r="D17" t="s">
        <v>493</v>
      </c>
      <c r="Q17" t="s">
        <v>234</v>
      </c>
      <c r="S17">
        <f>C6</f>
        <v>10</v>
      </c>
      <c r="W17">
        <v>5</v>
      </c>
      <c r="X17">
        <f t="shared" si="0"/>
        <v>85</v>
      </c>
      <c r="AA17">
        <v>5</v>
      </c>
      <c r="AB17">
        <f t="shared" si="1"/>
        <v>25</v>
      </c>
    </row>
    <row r="18" spans="1:28">
      <c r="D18" t="s">
        <v>467</v>
      </c>
      <c r="Q18" t="s">
        <v>366</v>
      </c>
      <c r="R18" t="str">
        <f>C7</f>
        <v>Yearly</v>
      </c>
      <c r="S18">
        <f>_xlfn.XLOOKUP(R18,AS2:AS5,AT2:AT5)</f>
        <v>1</v>
      </c>
      <c r="W18">
        <v>6</v>
      </c>
      <c r="X18">
        <f t="shared" si="0"/>
        <v>85</v>
      </c>
      <c r="AA18">
        <v>6</v>
      </c>
      <c r="AB18">
        <f t="shared" si="1"/>
        <v>25</v>
      </c>
    </row>
    <row r="19" spans="1:28">
      <c r="D19" t="s">
        <v>468</v>
      </c>
      <c r="Q19" t="s">
        <v>367</v>
      </c>
      <c r="S19">
        <f>S17*S18</f>
        <v>10</v>
      </c>
      <c r="W19">
        <v>7</v>
      </c>
      <c r="X19">
        <f t="shared" si="0"/>
        <v>85</v>
      </c>
      <c r="AA19">
        <v>7</v>
      </c>
      <c r="AB19">
        <f t="shared" si="1"/>
        <v>25</v>
      </c>
    </row>
    <row r="20" spans="1:28">
      <c r="Q20" t="s">
        <v>433</v>
      </c>
      <c r="S20">
        <f>C10</f>
        <v>0</v>
      </c>
      <c r="W20">
        <v>8</v>
      </c>
      <c r="X20">
        <f t="shared" si="0"/>
        <v>85</v>
      </c>
      <c r="AA20">
        <v>8</v>
      </c>
      <c r="AB20">
        <f t="shared" si="1"/>
        <v>25</v>
      </c>
    </row>
    <row r="21" spans="1:28">
      <c r="D21" t="s">
        <v>494</v>
      </c>
      <c r="Q21" t="s">
        <v>436</v>
      </c>
      <c r="S21">
        <f>S20/S18</f>
        <v>0</v>
      </c>
      <c r="W21">
        <v>9</v>
      </c>
      <c r="X21">
        <f>IF($S$19&gt;=W21,$S$15,0)</f>
        <v>85</v>
      </c>
      <c r="AA21">
        <v>9</v>
      </c>
      <c r="AB21">
        <f t="shared" si="1"/>
        <v>25</v>
      </c>
    </row>
    <row r="22" spans="1:28">
      <c r="Q22" t="s">
        <v>414</v>
      </c>
      <c r="S22">
        <f>C8</f>
        <v>0</v>
      </c>
      <c r="T22" s="3"/>
      <c r="W22">
        <v>10</v>
      </c>
      <c r="X22">
        <f>IF($S$19&gt;=W22,$S$15,0)</f>
        <v>85</v>
      </c>
      <c r="AA22">
        <v>10</v>
      </c>
      <c r="AB22">
        <f t="shared" si="1"/>
        <v>25</v>
      </c>
    </row>
    <row r="23" spans="1:28">
      <c r="A23" s="63" t="s">
        <v>337</v>
      </c>
      <c r="B23" s="91"/>
      <c r="E23" s="63" t="s">
        <v>220</v>
      </c>
      <c r="F23" s="63" t="s">
        <v>221</v>
      </c>
      <c r="G23" s="63" t="s">
        <v>222</v>
      </c>
      <c r="H23" s="63" t="s">
        <v>8</v>
      </c>
      <c r="I23" s="63" t="s">
        <v>223</v>
      </c>
      <c r="J23" s="63" t="s">
        <v>224</v>
      </c>
      <c r="L23" s="63" t="s">
        <v>333</v>
      </c>
      <c r="W23">
        <v>11</v>
      </c>
      <c r="X23">
        <f>IF($S$19&gt;=W23,$S$15,0)</f>
        <v>0</v>
      </c>
      <c r="AA23">
        <v>11</v>
      </c>
      <c r="AB23">
        <f t="shared" si="1"/>
        <v>25</v>
      </c>
    </row>
    <row r="24" spans="1:28">
      <c r="A24" t="s">
        <v>219</v>
      </c>
      <c r="B24" s="22">
        <f>C4</f>
        <v>900</v>
      </c>
      <c r="E24">
        <f>IF($B$29&gt;1,1)</f>
        <v>1</v>
      </c>
      <c r="F24">
        <f>B24</f>
        <v>900</v>
      </c>
      <c r="G24" s="1">
        <f>B30</f>
        <v>137.16693459802704</v>
      </c>
      <c r="H24" s="1">
        <f>$B$28*F24</f>
        <v>76.5</v>
      </c>
      <c r="I24" s="1" cm="1">
        <f t="array" ref="I24">IF(E24&gt;0,G24-H24,NA)</f>
        <v>60.666934598027041</v>
      </c>
      <c r="J24" s="1" cm="1">
        <f t="array" ref="J24">IF(E24&gt;0,F24-I24,NA)</f>
        <v>839.33306540197293</v>
      </c>
      <c r="L24" t="s">
        <v>331</v>
      </c>
      <c r="Q24" t="s">
        <v>432</v>
      </c>
      <c r="S24" s="1">
        <f>-PV(S21,S19,S15,S16)</f>
        <v>1850</v>
      </c>
      <c r="W24">
        <v>12</v>
      </c>
      <c r="X24">
        <f t="shared" ref="X24:X77" si="2">IF($S$19&gt;=W24,$S$15,0)</f>
        <v>0</v>
      </c>
      <c r="AA24">
        <v>12</v>
      </c>
      <c r="AB24">
        <f t="shared" si="1"/>
        <v>25</v>
      </c>
    </row>
    <row r="25" spans="1:28">
      <c r="A25" t="s">
        <v>327</v>
      </c>
      <c r="B25" s="23">
        <f>C5</f>
        <v>8.5000000000000006E-2</v>
      </c>
      <c r="E25">
        <f>IF($B$29&gt;2,2,0)</f>
        <v>2</v>
      </c>
      <c r="F25" s="1" cm="1">
        <f t="array" ref="F25">IF(E25&gt;1, J24, NA)</f>
        <v>839.33306540197293</v>
      </c>
      <c r="G25" s="1">
        <f t="shared" ref="G25:G56" si="3">IF(E25&gt;0,$B$30,0)</f>
        <v>137.16693459802704</v>
      </c>
      <c r="H25" s="1">
        <f t="shared" ref="H25:H56" si="4">IF(E25&gt;1,$B$28*F25, 0)</f>
        <v>71.343310559167705</v>
      </c>
      <c r="I25" s="1" cm="1">
        <f t="array" ref="I25">IF(E25&gt;0,G25-H25,NA)</f>
        <v>65.823624038859336</v>
      </c>
      <c r="J25" s="1" cm="1">
        <f t="array" ref="J25">IF(E25&gt;0,F25-I25,NA)</f>
        <v>773.50944136311364</v>
      </c>
      <c r="L25" t="s">
        <v>218</v>
      </c>
      <c r="Q25" t="s">
        <v>455</v>
      </c>
      <c r="S25">
        <f>(S19*S16)*S14</f>
        <v>850.00000000000011</v>
      </c>
      <c r="W25">
        <v>13</v>
      </c>
      <c r="X25">
        <f t="shared" si="2"/>
        <v>0</v>
      </c>
      <c r="AA25">
        <v>13</v>
      </c>
      <c r="AB25">
        <f t="shared" si="1"/>
        <v>25</v>
      </c>
    </row>
    <row r="26" spans="1:28">
      <c r="A26" t="s">
        <v>227</v>
      </c>
      <c r="B26" s="22" t="str">
        <f>C7</f>
        <v>Yearly</v>
      </c>
      <c r="C26" s="96">
        <f>_xlfn.XLOOKUP(B26,AS2:AS5,AT2:AT5)</f>
        <v>1</v>
      </c>
      <c r="E26">
        <f>IF($B$29&gt;3,3,0)</f>
        <v>3</v>
      </c>
      <c r="F26" s="1" cm="1">
        <f t="array" ref="F26">IF(E26&gt;1, J25, NA)</f>
        <v>773.50944136311364</v>
      </c>
      <c r="G26" s="1">
        <f t="shared" si="3"/>
        <v>137.16693459802704</v>
      </c>
      <c r="H26" s="1">
        <f t="shared" si="4"/>
        <v>65.748302515864665</v>
      </c>
      <c r="I26" s="1" cm="1">
        <f t="array" ref="I26">IF(E26&gt;0,G26-H26,NA)</f>
        <v>71.418632082162375</v>
      </c>
      <c r="J26" s="1" cm="1">
        <f t="array" ref="J26">IF(E26&gt;0,F26-I26,NA)</f>
        <v>702.09080928095125</v>
      </c>
      <c r="L26" t="s">
        <v>225</v>
      </c>
      <c r="Q26" t="s">
        <v>456</v>
      </c>
      <c r="S26">
        <f>S25*S27</f>
        <v>255000.00000000003</v>
      </c>
      <c r="W26">
        <v>14</v>
      </c>
      <c r="X26">
        <f t="shared" si="2"/>
        <v>0</v>
      </c>
      <c r="AA26">
        <v>14</v>
      </c>
      <c r="AB26">
        <f t="shared" si="1"/>
        <v>25</v>
      </c>
    </row>
    <row r="27" spans="1:28">
      <c r="A27" t="s">
        <v>328</v>
      </c>
      <c r="B27" s="22">
        <f>C6</f>
        <v>10</v>
      </c>
      <c r="E27">
        <f>IF($B$29&gt;=4,4,0)</f>
        <v>4</v>
      </c>
      <c r="F27" s="1" cm="1">
        <f t="array" ref="F27">IF(E27&gt;1, J26, NA)</f>
        <v>702.09080928095125</v>
      </c>
      <c r="G27" s="1">
        <f t="shared" si="3"/>
        <v>137.16693459802704</v>
      </c>
      <c r="H27" s="1">
        <f t="shared" si="4"/>
        <v>59.67771878888086</v>
      </c>
      <c r="I27" s="1" cm="1">
        <f t="array" ref="I27">IF(E27&gt;0,G27-H27,NA)</f>
        <v>77.489215809146174</v>
      </c>
      <c r="J27" s="1" cm="1">
        <f t="array" ref="J27">IF(E27&gt;0,F27-I27,NA)</f>
        <v>624.60159347180502</v>
      </c>
      <c r="L27" t="s">
        <v>228</v>
      </c>
      <c r="Q27" t="s">
        <v>445</v>
      </c>
      <c r="S27">
        <f>C11</f>
        <v>300</v>
      </c>
      <c r="W27">
        <v>15</v>
      </c>
      <c r="X27">
        <f t="shared" si="2"/>
        <v>0</v>
      </c>
      <c r="AA27">
        <v>15</v>
      </c>
      <c r="AB27">
        <f t="shared" si="1"/>
        <v>25</v>
      </c>
    </row>
    <row r="28" spans="1:28">
      <c r="A28" t="s">
        <v>329</v>
      </c>
      <c r="B28" s="2">
        <f>B25/C26</f>
        <v>8.5000000000000006E-2</v>
      </c>
      <c r="E28">
        <f>IF($B$29&gt;=5,5,0)</f>
        <v>5</v>
      </c>
      <c r="F28" s="1" cm="1">
        <f t="array" ref="F28">IF(E28&gt;1, J27, NA)</f>
        <v>624.60159347180502</v>
      </c>
      <c r="G28" s="1">
        <f t="shared" si="3"/>
        <v>137.16693459802704</v>
      </c>
      <c r="H28" s="1">
        <f t="shared" si="4"/>
        <v>53.091135445103433</v>
      </c>
      <c r="I28" s="1" cm="1">
        <f t="array" ref="I28">IF(E28&gt;0,G28-H28,NA)</f>
        <v>84.075799152923608</v>
      </c>
      <c r="J28" s="1" cm="1">
        <f t="array" ref="J28">IF(E28&gt;0,F28-I28,NA)</f>
        <v>540.52579431888137</v>
      </c>
      <c r="Q28" s="111" t="s">
        <v>440</v>
      </c>
      <c r="R28" s="111"/>
      <c r="S28" s="111">
        <f>IF(S24=0,S13,S24)</f>
        <v>1850</v>
      </c>
      <c r="W28">
        <v>16</v>
      </c>
      <c r="X28">
        <f>IF($S$19&gt;=W28,$S$15,0)</f>
        <v>0</v>
      </c>
      <c r="AA28">
        <v>16</v>
      </c>
      <c r="AB28">
        <f t="shared" si="1"/>
        <v>0</v>
      </c>
    </row>
    <row r="29" spans="1:28">
      <c r="A29" t="s">
        <v>330</v>
      </c>
      <c r="B29">
        <f>B27*C26</f>
        <v>10</v>
      </c>
      <c r="E29">
        <f>IF($B$29&gt;=6,6,0)</f>
        <v>6</v>
      </c>
      <c r="F29" s="1" cm="1">
        <f t="array" ref="F29">IF(E29&gt;1, J28, NA)</f>
        <v>540.52579431888137</v>
      </c>
      <c r="G29" s="1">
        <f t="shared" si="3"/>
        <v>137.16693459802704</v>
      </c>
      <c r="H29" s="1">
        <f t="shared" si="4"/>
        <v>45.944692517104919</v>
      </c>
      <c r="I29" s="1" cm="1">
        <f t="array" ref="I29">IF(E29&gt;0,G29-H29,NA)</f>
        <v>91.222242080922115</v>
      </c>
      <c r="J29" s="1" cm="1">
        <f t="array" ref="J29">IF(E29&gt;0,F29-I29,NA)</f>
        <v>449.30355223795925</v>
      </c>
      <c r="W29">
        <v>17</v>
      </c>
      <c r="X29">
        <f t="shared" si="2"/>
        <v>0</v>
      </c>
      <c r="AA29">
        <v>17</v>
      </c>
      <c r="AB29">
        <f t="shared" si="1"/>
        <v>0</v>
      </c>
    </row>
    <row r="30" spans="1:28">
      <c r="A30" t="s">
        <v>222</v>
      </c>
      <c r="B30" s="1">
        <f>-PMT(B28,B29,B24)</f>
        <v>137.16693459802704</v>
      </c>
      <c r="E30">
        <f>IF($B$29&gt;=7,7,0)</f>
        <v>7</v>
      </c>
      <c r="F30" s="1" cm="1">
        <f t="array" ref="F30">IF(E30&gt;1, J29, NA)</f>
        <v>449.30355223795925</v>
      </c>
      <c r="G30" s="1">
        <f t="shared" si="3"/>
        <v>137.16693459802704</v>
      </c>
      <c r="H30" s="1">
        <f t="shared" si="4"/>
        <v>38.190801940226542</v>
      </c>
      <c r="I30" s="1" cm="1">
        <f t="array" ref="I30">IF(E30&gt;0,G30-H30,NA)</f>
        <v>98.976132657800491</v>
      </c>
      <c r="J30" s="1" cm="1">
        <f t="array" ref="J30">IF(E30&gt;0,F30-I30,NA)</f>
        <v>350.32741958015879</v>
      </c>
      <c r="Q30" t="s">
        <v>441</v>
      </c>
      <c r="S30">
        <f>S25+S16</f>
        <v>1850</v>
      </c>
      <c r="W30">
        <v>18</v>
      </c>
      <c r="X30">
        <f t="shared" si="2"/>
        <v>0</v>
      </c>
      <c r="AA30">
        <v>18</v>
      </c>
      <c r="AB30">
        <f t="shared" si="1"/>
        <v>0</v>
      </c>
    </row>
    <row r="31" spans="1:28">
      <c r="A31" t="s">
        <v>411</v>
      </c>
      <c r="B31">
        <f>C8</f>
        <v>0</v>
      </c>
      <c r="E31">
        <f>IF($B$29&gt;=8,8,0)</f>
        <v>8</v>
      </c>
      <c r="F31" s="1" cm="1">
        <f t="array" ref="F31">IF(E31&gt;1, J30, NA)</f>
        <v>350.32741958015879</v>
      </c>
      <c r="G31" s="1">
        <f t="shared" si="3"/>
        <v>137.16693459802704</v>
      </c>
      <c r="H31" s="1">
        <f t="shared" si="4"/>
        <v>29.777830664313498</v>
      </c>
      <c r="I31" s="1" cm="1">
        <f t="array" ref="I31">IF(E31&gt;0,G31-H31,NA)</f>
        <v>107.38910393371354</v>
      </c>
      <c r="J31" s="1" cm="1">
        <f t="array" ref="J31">IF(E31&gt;0,F31-I31,NA)</f>
        <v>242.93831564644523</v>
      </c>
      <c r="Q31" t="s">
        <v>442</v>
      </c>
      <c r="S31">
        <f>S30*S27</f>
        <v>555000</v>
      </c>
      <c r="W31">
        <v>19</v>
      </c>
      <c r="X31">
        <f t="shared" si="2"/>
        <v>0</v>
      </c>
      <c r="AA31">
        <v>19</v>
      </c>
      <c r="AB31">
        <f t="shared" si="1"/>
        <v>0</v>
      </c>
    </row>
    <row r="32" spans="1:28">
      <c r="E32">
        <f>IF($B$29&gt;=9,9,0)</f>
        <v>9</v>
      </c>
      <c r="F32" s="1" cm="1">
        <f t="array" ref="F32">IF(E32&gt;1, J31, NA)</f>
        <v>242.93831564644523</v>
      </c>
      <c r="G32" s="1">
        <f t="shared" si="3"/>
        <v>137.16693459802704</v>
      </c>
      <c r="H32" s="1">
        <f t="shared" si="4"/>
        <v>20.649756829947847</v>
      </c>
      <c r="I32" s="1" cm="1">
        <f t="array" ref="I32">IF(E32&gt;0,G32-H32,NA)</f>
        <v>116.51717776807919</v>
      </c>
      <c r="J32" s="1" cm="1">
        <f t="array" ref="J32">IF(E32&gt;0,F32-I32,NA)</f>
        <v>126.42113787836604</v>
      </c>
      <c r="Q32" s="111" t="s">
        <v>458</v>
      </c>
      <c r="R32" s="111"/>
      <c r="S32" s="113">
        <f>(S14+((S16-S13)/S17))/((0.6*S13)+(0.4*S16))</f>
        <v>1.0728723404255319E-2</v>
      </c>
      <c r="W32">
        <v>20</v>
      </c>
      <c r="X32">
        <f t="shared" si="2"/>
        <v>0</v>
      </c>
      <c r="AA32">
        <v>20</v>
      </c>
      <c r="AB32">
        <f t="shared" si="1"/>
        <v>0</v>
      </c>
    </row>
    <row r="33" spans="1:28">
      <c r="A33" t="s">
        <v>462</v>
      </c>
      <c r="B33">
        <f>(C12+C8)/C6</f>
        <v>1500</v>
      </c>
      <c r="E33">
        <f>IF($B$29&gt;=10,10,0)</f>
        <v>10</v>
      </c>
      <c r="F33" s="1" cm="1">
        <f t="array" ref="F33">IF(E33&gt;1, J32, NA)</f>
        <v>126.42113787836604</v>
      </c>
      <c r="G33" s="1">
        <f t="shared" si="3"/>
        <v>137.16693459802704</v>
      </c>
      <c r="H33" s="1">
        <f t="shared" si="4"/>
        <v>10.745796719661113</v>
      </c>
      <c r="I33" s="1" cm="1">
        <f t="array" ref="I33">IF(E33&gt;0,G33-H33,NA)</f>
        <v>126.42113787836593</v>
      </c>
      <c r="J33" s="1" cm="1">
        <f t="array" ref="J33">IF(E33&gt;0,F33-I33,NA)</f>
        <v>1.1368683772161603E-13</v>
      </c>
      <c r="W33">
        <v>21</v>
      </c>
      <c r="X33">
        <f t="shared" si="2"/>
        <v>0</v>
      </c>
      <c r="AA33">
        <v>21</v>
      </c>
      <c r="AB33">
        <f t="shared" si="1"/>
        <v>0</v>
      </c>
    </row>
    <row r="34" spans="1:28">
      <c r="E34">
        <f>IF($B$29&gt;=11,11,0)</f>
        <v>0</v>
      </c>
      <c r="F34" s="1" t="e" cm="1">
        <f t="array" ref="F34">IF(E34&gt;1, J33, NA)</f>
        <v>#NAME?</v>
      </c>
      <c r="G34" s="1">
        <f t="shared" si="3"/>
        <v>0</v>
      </c>
      <c r="H34" s="1">
        <f t="shared" si="4"/>
        <v>0</v>
      </c>
      <c r="I34" s="1" t="e" cm="1">
        <f t="array" ref="I34">IF(E34&gt;0,G34-H34,NA)</f>
        <v>#NAME?</v>
      </c>
      <c r="J34" s="1" t="e" cm="1">
        <f t="array" ref="J34">IF(E34&gt;0,F34-I34,NA)</f>
        <v>#NAME?</v>
      </c>
      <c r="Q34" s="111" t="s">
        <v>453</v>
      </c>
      <c r="R34" s="111"/>
      <c r="S34" s="111">
        <f>S28*S27</f>
        <v>555000</v>
      </c>
      <c r="W34">
        <v>22</v>
      </c>
      <c r="X34">
        <f t="shared" si="2"/>
        <v>0</v>
      </c>
      <c r="AA34">
        <v>22</v>
      </c>
      <c r="AB34">
        <f t="shared" si="1"/>
        <v>0</v>
      </c>
    </row>
    <row r="35" spans="1:28">
      <c r="E35">
        <f>IF($B$29&gt;=12,12,0)</f>
        <v>0</v>
      </c>
      <c r="F35" s="1" t="e" cm="1">
        <f t="array" ref="F35">IF(E35&gt;1, J34, NA)</f>
        <v>#NAME?</v>
      </c>
      <c r="G35" s="1">
        <f t="shared" si="3"/>
        <v>0</v>
      </c>
      <c r="H35" s="1">
        <f t="shared" si="4"/>
        <v>0</v>
      </c>
      <c r="I35" s="1" t="e" cm="1">
        <f t="array" ref="I35">IF(E35&gt;0,G35-H35,NA)</f>
        <v>#NAME?</v>
      </c>
      <c r="J35" s="1" t="e" cm="1">
        <f t="array" ref="J35">IF(E35&gt;0,F35-I35,NA)</f>
        <v>#NAME?</v>
      </c>
      <c r="Q35" s="111" t="s">
        <v>454</v>
      </c>
      <c r="R35" s="111"/>
      <c r="S35" s="111">
        <f>S31-S34</f>
        <v>0</v>
      </c>
      <c r="W35">
        <v>23</v>
      </c>
      <c r="X35">
        <f t="shared" si="2"/>
        <v>0</v>
      </c>
      <c r="AA35">
        <v>23</v>
      </c>
      <c r="AB35">
        <f t="shared" si="1"/>
        <v>0</v>
      </c>
    </row>
    <row r="36" spans="1:28">
      <c r="E36">
        <f>IF($B$29&gt;=13,13,0)</f>
        <v>0</v>
      </c>
      <c r="F36" s="1" t="e" cm="1">
        <f t="array" ref="F36">IF(E36&gt;1, J35, NA)</f>
        <v>#NAME?</v>
      </c>
      <c r="G36" s="1">
        <f t="shared" si="3"/>
        <v>0</v>
      </c>
      <c r="H36" s="1">
        <f t="shared" si="4"/>
        <v>0</v>
      </c>
      <c r="I36" s="1" t="e" cm="1">
        <f t="array" ref="I36">IF(E36&gt;0,G36-H36,NA)</f>
        <v>#NAME?</v>
      </c>
      <c r="J36" s="1" t="e" cm="1">
        <f t="array" ref="J36">IF(E36&gt;0,F36-I36,NA)</f>
        <v>#NAME?</v>
      </c>
      <c r="W36">
        <v>24</v>
      </c>
      <c r="X36">
        <f t="shared" si="2"/>
        <v>0</v>
      </c>
      <c r="AA36">
        <v>24</v>
      </c>
      <c r="AB36">
        <f t="shared" si="1"/>
        <v>0</v>
      </c>
    </row>
    <row r="37" spans="1:28">
      <c r="E37">
        <f>IF($B$29&gt;=14,14,0)</f>
        <v>0</v>
      </c>
      <c r="F37" s="1" t="e" cm="1">
        <f t="array" ref="F37">IF(E37&gt;1, J36, NA)</f>
        <v>#NAME?</v>
      </c>
      <c r="G37" s="1">
        <f t="shared" si="3"/>
        <v>0</v>
      </c>
      <c r="H37" s="1">
        <f t="shared" si="4"/>
        <v>0</v>
      </c>
      <c r="I37" s="1" t="e" cm="1">
        <f t="array" ref="I37">IF(E37&gt;0,G37-H37,NA)</f>
        <v>#NAME?</v>
      </c>
      <c r="J37" s="1" t="e" cm="1">
        <f t="array" ref="J37">IF(E37&gt;0,F37-I37,NA)</f>
        <v>#NAME?</v>
      </c>
      <c r="W37">
        <v>25</v>
      </c>
      <c r="X37">
        <f t="shared" si="2"/>
        <v>0</v>
      </c>
      <c r="AA37">
        <v>25</v>
      </c>
      <c r="AB37">
        <f t="shared" si="1"/>
        <v>0</v>
      </c>
    </row>
    <row r="38" spans="1:28">
      <c r="E38">
        <f>IF($B$29&gt;=15,15,0)</f>
        <v>0</v>
      </c>
      <c r="F38" s="1" t="e" cm="1">
        <f t="array" ref="F38">IF(E38&gt;1, J37, NA)</f>
        <v>#NAME?</v>
      </c>
      <c r="G38" s="1">
        <f t="shared" si="3"/>
        <v>0</v>
      </c>
      <c r="H38" s="1">
        <f t="shared" si="4"/>
        <v>0</v>
      </c>
      <c r="I38" s="1" t="e" cm="1">
        <f t="array" ref="I38">IF(E38&gt;0,G38-H38,NA)</f>
        <v>#NAME?</v>
      </c>
      <c r="J38" s="1" t="e" cm="1">
        <f t="array" ref="J38">IF(E38&gt;0,F38-I38,NA)</f>
        <v>#NAME?</v>
      </c>
      <c r="W38">
        <v>26</v>
      </c>
      <c r="X38">
        <f t="shared" si="2"/>
        <v>0</v>
      </c>
      <c r="AA38">
        <v>26</v>
      </c>
      <c r="AB38">
        <f t="shared" si="1"/>
        <v>0</v>
      </c>
    </row>
    <row r="39" spans="1:28">
      <c r="E39">
        <f>IF($B$29&gt;=16,16,0)</f>
        <v>0</v>
      </c>
      <c r="F39" s="1" t="e" cm="1">
        <f t="array" ref="F39">IF(E39&gt;1, J38, NA)</f>
        <v>#NAME?</v>
      </c>
      <c r="G39" s="1">
        <f t="shared" si="3"/>
        <v>0</v>
      </c>
      <c r="H39" s="1">
        <f t="shared" si="4"/>
        <v>0</v>
      </c>
      <c r="I39" s="1" t="e" cm="1">
        <f t="array" ref="I39">IF(E39&gt;0,G39-H39,NA)</f>
        <v>#NAME?</v>
      </c>
      <c r="J39" s="1" t="e" cm="1">
        <f t="array" ref="J39">IF(E39&gt;0,F39-I39,NA)</f>
        <v>#NAME?</v>
      </c>
      <c r="W39">
        <v>27</v>
      </c>
      <c r="X39">
        <f t="shared" si="2"/>
        <v>0</v>
      </c>
      <c r="AA39">
        <v>27</v>
      </c>
      <c r="AB39">
        <f t="shared" si="1"/>
        <v>0</v>
      </c>
    </row>
    <row r="40" spans="1:28">
      <c r="E40">
        <f>IF($B$29&gt;=17,17,0)</f>
        <v>0</v>
      </c>
      <c r="F40" s="1" t="e" cm="1">
        <f t="array" ref="F40">IF(E40&gt;1, J39, NA)</f>
        <v>#NAME?</v>
      </c>
      <c r="G40" s="1">
        <f t="shared" si="3"/>
        <v>0</v>
      </c>
      <c r="H40" s="1">
        <f t="shared" si="4"/>
        <v>0</v>
      </c>
      <c r="I40" s="1" t="e" cm="1">
        <f t="array" ref="I40">IF(E40&gt;0,G40-H40,NA)</f>
        <v>#NAME?</v>
      </c>
      <c r="J40" s="1" t="e" cm="1">
        <f t="array" ref="J40">IF(E40&gt;0,F40-I40,NA)</f>
        <v>#NAME?</v>
      </c>
      <c r="W40">
        <v>28</v>
      </c>
      <c r="X40">
        <f t="shared" si="2"/>
        <v>0</v>
      </c>
      <c r="AA40">
        <v>28</v>
      </c>
      <c r="AB40">
        <f t="shared" si="1"/>
        <v>0</v>
      </c>
    </row>
    <row r="41" spans="1:28">
      <c r="A41" s="63" t="s">
        <v>334</v>
      </c>
      <c r="B41" s="63"/>
      <c r="E41">
        <f>IF($B$29&gt;=18,18,0)</f>
        <v>0</v>
      </c>
      <c r="F41" s="1" t="e" cm="1">
        <f t="array" ref="F41">IF(E41&gt;1, J40, NA)</f>
        <v>#NAME?</v>
      </c>
      <c r="G41" s="1">
        <f t="shared" si="3"/>
        <v>0</v>
      </c>
      <c r="H41" s="1">
        <f t="shared" si="4"/>
        <v>0</v>
      </c>
      <c r="I41" s="1" t="e" cm="1">
        <f t="array" ref="I41">IF(E41&gt;0,G41-H41,NA)</f>
        <v>#NAME?</v>
      </c>
      <c r="J41" s="1" t="e" cm="1">
        <f t="array" ref="J41">IF(E41&gt;0,F41-I41,NA)</f>
        <v>#NAME?</v>
      </c>
      <c r="W41">
        <v>29</v>
      </c>
      <c r="X41">
        <f t="shared" si="2"/>
        <v>0</v>
      </c>
      <c r="AA41">
        <v>29</v>
      </c>
      <c r="AB41">
        <f t="shared" si="1"/>
        <v>0</v>
      </c>
    </row>
    <row r="42" spans="1:28">
      <c r="A42" t="s">
        <v>335</v>
      </c>
      <c r="B42" s="1">
        <f>SUM(H24:H82)</f>
        <v>471.66934598027052</v>
      </c>
      <c r="E42">
        <f>IF($B$29&gt;=20,20,0)</f>
        <v>0</v>
      </c>
      <c r="F42" s="1" t="e" cm="1">
        <f t="array" ref="F42">IF(E42&gt;1, J41, NA)</f>
        <v>#NAME?</v>
      </c>
      <c r="G42" s="1">
        <f t="shared" si="3"/>
        <v>0</v>
      </c>
      <c r="H42" s="1">
        <f t="shared" si="4"/>
        <v>0</v>
      </c>
      <c r="I42" s="1" t="e" cm="1">
        <f t="array" ref="I42">IF(E42&gt;0,G42-H42,NA)</f>
        <v>#NAME?</v>
      </c>
      <c r="J42" s="1" t="e" cm="1">
        <f t="array" ref="J42">IF(E42&gt;0,F42-I42,NA)</f>
        <v>#NAME?</v>
      </c>
      <c r="W42">
        <v>30</v>
      </c>
      <c r="X42">
        <f t="shared" si="2"/>
        <v>0</v>
      </c>
      <c r="AA42">
        <v>30</v>
      </c>
      <c r="AB42">
        <f t="shared" si="1"/>
        <v>0</v>
      </c>
    </row>
    <row r="43" spans="1:28">
      <c r="A43" t="s">
        <v>412</v>
      </c>
      <c r="B43" s="1">
        <f>B31+B42</f>
        <v>471.66934598027052</v>
      </c>
      <c r="E43">
        <f>IF($B$29&gt;=19,19,0)</f>
        <v>0</v>
      </c>
      <c r="F43" s="1" t="e" cm="1">
        <f t="array" ref="F43">IF(E43&gt;1, J42, NA)</f>
        <v>#NAME?</v>
      </c>
      <c r="G43" s="1">
        <f t="shared" si="3"/>
        <v>0</v>
      </c>
      <c r="H43" s="1">
        <f t="shared" si="4"/>
        <v>0</v>
      </c>
      <c r="I43" s="1" t="e" cm="1">
        <f t="array" ref="I43">IF(E43&gt;0,G43-H43,NA)</f>
        <v>#NAME?</v>
      </c>
      <c r="J43" s="1" t="e" cm="1">
        <f t="array" ref="J43">IF(E43&gt;0,F43-I43,NA)</f>
        <v>#NAME?</v>
      </c>
      <c r="W43">
        <v>31</v>
      </c>
      <c r="X43">
        <f t="shared" si="2"/>
        <v>0</v>
      </c>
      <c r="AA43">
        <v>31</v>
      </c>
      <c r="AB43">
        <f t="shared" si="1"/>
        <v>0</v>
      </c>
    </row>
    <row r="44" spans="1:28">
      <c r="A44" t="s">
        <v>336</v>
      </c>
      <c r="B44" s="1">
        <f>SUM(G24:G82)+B31</f>
        <v>1371.6693459802702</v>
      </c>
      <c r="E44">
        <f>IF($B$29&gt;=21,21,0)</f>
        <v>0</v>
      </c>
      <c r="F44" s="1" t="e" cm="1">
        <f t="array" ref="F44">IF(E44&gt;1, J43, NA)</f>
        <v>#NAME?</v>
      </c>
      <c r="G44" s="1">
        <f t="shared" si="3"/>
        <v>0</v>
      </c>
      <c r="H44" s="1">
        <f t="shared" si="4"/>
        <v>0</v>
      </c>
      <c r="I44" s="1" t="e" cm="1">
        <f t="array" ref="I44">IF(E44&gt;0,G44-H44,NA)</f>
        <v>#NAME?</v>
      </c>
      <c r="J44" s="1" t="e" cm="1">
        <f t="array" ref="J44">IF(E44&gt;0,F44-I44,NA)</f>
        <v>#NAME?</v>
      </c>
      <c r="W44">
        <v>32</v>
      </c>
      <c r="X44">
        <f t="shared" si="2"/>
        <v>0</v>
      </c>
      <c r="AA44">
        <v>32</v>
      </c>
      <c r="AB44">
        <f t="shared" si="1"/>
        <v>0</v>
      </c>
    </row>
    <row r="45" spans="1:28">
      <c r="E45">
        <f>IF($B$29&gt;=22,22,0)</f>
        <v>0</v>
      </c>
      <c r="F45" s="1" t="e" cm="1">
        <f t="array" ref="F45">IF(E45&gt;1, J44, NA)</f>
        <v>#NAME?</v>
      </c>
      <c r="G45" s="1">
        <f t="shared" si="3"/>
        <v>0</v>
      </c>
      <c r="H45" s="1">
        <f t="shared" si="4"/>
        <v>0</v>
      </c>
      <c r="I45" s="1" t="e" cm="1">
        <f t="array" ref="I45">IF(E45&gt;0,G45-H45,NA)</f>
        <v>#NAME?</v>
      </c>
      <c r="J45" s="1" t="e" cm="1">
        <f t="array" ref="J45">IF(E45&gt;0,F45-I45,NA)</f>
        <v>#NAME?</v>
      </c>
      <c r="W45">
        <v>33</v>
      </c>
      <c r="X45">
        <f t="shared" si="2"/>
        <v>0</v>
      </c>
      <c r="AA45">
        <v>33</v>
      </c>
      <c r="AB45">
        <f t="shared" ref="AB45:AB76" si="5">IF($S$53&gt;=AA45,$S$49,0)</f>
        <v>0</v>
      </c>
    </row>
    <row r="46" spans="1:28">
      <c r="A46" t="s">
        <v>419</v>
      </c>
      <c r="B46" s="21">
        <f>B43/B24</f>
        <v>0.52407705108918945</v>
      </c>
      <c r="E46">
        <f>IF($B$29&gt;=23,23,0)</f>
        <v>0</v>
      </c>
      <c r="F46" s="1" t="e" cm="1">
        <f t="array" ref="F46">IF(E46&gt;1, J45, NA)</f>
        <v>#NAME?</v>
      </c>
      <c r="G46" s="1">
        <f t="shared" si="3"/>
        <v>0</v>
      </c>
      <c r="H46" s="1">
        <f t="shared" si="4"/>
        <v>0</v>
      </c>
      <c r="I46" s="1" t="e" cm="1">
        <f t="array" ref="I46">IF(E46&gt;0,G46-H46,NA)</f>
        <v>#NAME?</v>
      </c>
      <c r="J46" s="1" t="e" cm="1">
        <f t="array" ref="J46">IF(E46&gt;0,F46-I46,NA)</f>
        <v>#NAME?</v>
      </c>
      <c r="Q46" t="s">
        <v>235</v>
      </c>
      <c r="W46">
        <v>34</v>
      </c>
      <c r="X46">
        <f t="shared" si="2"/>
        <v>0</v>
      </c>
      <c r="AA46">
        <v>34</v>
      </c>
      <c r="AB46">
        <f t="shared" si="5"/>
        <v>0</v>
      </c>
    </row>
    <row r="47" spans="1:28">
      <c r="E47">
        <f>IF($B$29&gt;=24,24,0)</f>
        <v>0</v>
      </c>
      <c r="F47" s="1" t="e" cm="1">
        <f t="array" ref="F47">IF(E47&gt;1, J46, NA)</f>
        <v>#NAME?</v>
      </c>
      <c r="G47" s="1">
        <f t="shared" si="3"/>
        <v>0</v>
      </c>
      <c r="H47" s="1">
        <f t="shared" si="4"/>
        <v>0</v>
      </c>
      <c r="I47" s="1" t="e" cm="1">
        <f t="array" ref="I47">IF(E47&gt;0,G47-H47,NA)</f>
        <v>#NAME?</v>
      </c>
      <c r="J47" s="1" t="e" cm="1">
        <f t="array" ref="J47">IF(E47&gt;0,F47-I47,NA)</f>
        <v>#NAME?</v>
      </c>
      <c r="Q47" t="s">
        <v>363</v>
      </c>
      <c r="S47">
        <f>E4</f>
        <v>0</v>
      </c>
      <c r="W47">
        <v>35</v>
      </c>
      <c r="X47">
        <f t="shared" si="2"/>
        <v>0</v>
      </c>
      <c r="AA47">
        <v>35</v>
      </c>
      <c r="AB47">
        <f t="shared" si="5"/>
        <v>0</v>
      </c>
    </row>
    <row r="48" spans="1:28">
      <c r="E48">
        <f>IF($B$29&gt;=25,25,0)</f>
        <v>0</v>
      </c>
      <c r="F48" s="1" t="e" cm="1">
        <f t="array" ref="F48">IF(E48&gt;1, J47, NA)</f>
        <v>#NAME?</v>
      </c>
      <c r="G48" s="1">
        <f t="shared" si="3"/>
        <v>0</v>
      </c>
      <c r="H48" s="1">
        <f t="shared" si="4"/>
        <v>0</v>
      </c>
      <c r="I48" s="1" t="e" cm="1">
        <f t="array" ref="I48">IF(E48&gt;0,G48-H48,NA)</f>
        <v>#NAME?</v>
      </c>
      <c r="J48" s="1" t="e" cm="1">
        <f t="array" ref="J48">IF(E48&gt;0,F48-I48,NA)</f>
        <v>#NAME?</v>
      </c>
      <c r="Q48" t="s">
        <v>210</v>
      </c>
      <c r="S48" s="61">
        <f>E5</f>
        <v>2.5000000000000001E-2</v>
      </c>
      <c r="W48">
        <v>36</v>
      </c>
      <c r="X48">
        <f t="shared" si="2"/>
        <v>0</v>
      </c>
      <c r="AA48">
        <v>36</v>
      </c>
      <c r="AB48">
        <f t="shared" si="5"/>
        <v>0</v>
      </c>
    </row>
    <row r="49" spans="5:28">
      <c r="E49">
        <f>IF($B$29&gt;=26,26,0)</f>
        <v>0</v>
      </c>
      <c r="F49" s="1" t="e" cm="1">
        <f t="array" ref="F49">IF(E49&gt;1, J48, NA)</f>
        <v>#NAME?</v>
      </c>
      <c r="G49" s="1">
        <f t="shared" si="3"/>
        <v>0</v>
      </c>
      <c r="H49" s="1">
        <f t="shared" si="4"/>
        <v>0</v>
      </c>
      <c r="I49" s="1" t="e" cm="1">
        <f t="array" ref="I49">IF(E49&gt;0,G49-H49,NA)</f>
        <v>#NAME?</v>
      </c>
      <c r="J49" s="1" t="e" cm="1">
        <f t="array" ref="J49">IF(E49&gt;0,F49-I49,NA)</f>
        <v>#NAME?</v>
      </c>
      <c r="Q49" t="s">
        <v>438</v>
      </c>
      <c r="S49">
        <f>S48*S50</f>
        <v>25</v>
      </c>
      <c r="W49">
        <v>37</v>
      </c>
      <c r="X49">
        <f t="shared" si="2"/>
        <v>0</v>
      </c>
      <c r="AA49">
        <v>37</v>
      </c>
      <c r="AB49">
        <f t="shared" si="5"/>
        <v>0</v>
      </c>
    </row>
    <row r="50" spans="5:28">
      <c r="E50">
        <f>IF($B$29&gt;=27,27,0)</f>
        <v>0</v>
      </c>
      <c r="F50" s="1" t="e" cm="1">
        <f t="array" ref="F50">IF(E50&gt;1, J49, NA)</f>
        <v>#NAME?</v>
      </c>
      <c r="G50" s="1">
        <f t="shared" si="3"/>
        <v>0</v>
      </c>
      <c r="H50" s="1">
        <f t="shared" si="4"/>
        <v>0</v>
      </c>
      <c r="I50" s="1" t="e" cm="1">
        <f t="array" ref="I50">IF(E50&gt;0,G50-H50,NA)</f>
        <v>#NAME?</v>
      </c>
      <c r="J50" s="1" t="e" cm="1">
        <f t="array" ref="J50">IF(E50&gt;0,F50-I50,NA)</f>
        <v>#NAME?</v>
      </c>
      <c r="Q50" t="s">
        <v>233</v>
      </c>
      <c r="S50">
        <v>1000</v>
      </c>
      <c r="W50">
        <v>38</v>
      </c>
      <c r="X50">
        <f t="shared" si="2"/>
        <v>0</v>
      </c>
      <c r="AA50">
        <v>38</v>
      </c>
      <c r="AB50">
        <f t="shared" si="5"/>
        <v>0</v>
      </c>
    </row>
    <row r="51" spans="5:28">
      <c r="E51">
        <f>IF($B$29&gt;=28,28,0)</f>
        <v>0</v>
      </c>
      <c r="F51" s="1" t="e" cm="1">
        <f t="array" ref="F51">IF(E51&gt;1, J50, NA)</f>
        <v>#NAME?</v>
      </c>
      <c r="G51" s="1">
        <f t="shared" si="3"/>
        <v>0</v>
      </c>
      <c r="H51" s="1">
        <f t="shared" si="4"/>
        <v>0</v>
      </c>
      <c r="I51" s="1" t="e" cm="1">
        <f t="array" ref="I51">IF(E51&gt;0,G51-H51,NA)</f>
        <v>#NAME?</v>
      </c>
      <c r="J51" s="1" t="e" cm="1">
        <f t="array" ref="J51">IF(E51&gt;0,F51-I51,NA)</f>
        <v>#NAME?</v>
      </c>
      <c r="Q51" t="s">
        <v>234</v>
      </c>
      <c r="S51">
        <f>E6</f>
        <v>15</v>
      </c>
      <c r="W51">
        <v>39</v>
      </c>
      <c r="X51">
        <f t="shared" si="2"/>
        <v>0</v>
      </c>
      <c r="AA51">
        <v>39</v>
      </c>
      <c r="AB51">
        <f t="shared" si="5"/>
        <v>0</v>
      </c>
    </row>
    <row r="52" spans="5:28">
      <c r="E52">
        <f>IF($B$29&gt;=29,29,0)</f>
        <v>0</v>
      </c>
      <c r="F52" s="1" t="e" cm="1">
        <f t="array" ref="F52">IF(E52&gt;1, J51, NA)</f>
        <v>#NAME?</v>
      </c>
      <c r="G52" s="1">
        <f t="shared" si="3"/>
        <v>0</v>
      </c>
      <c r="H52" s="1">
        <f t="shared" si="4"/>
        <v>0</v>
      </c>
      <c r="I52" s="1" t="e" cm="1">
        <f t="array" ref="I52">IF(E52&gt;0,G52-H52,NA)</f>
        <v>#NAME?</v>
      </c>
      <c r="J52" s="1" t="e" cm="1">
        <f t="array" ref="J52">IF(E52&gt;0,F52-I52,NA)</f>
        <v>#NAME?</v>
      </c>
      <c r="Q52" t="s">
        <v>366</v>
      </c>
      <c r="R52" t="str">
        <f>E7</f>
        <v>Yearly</v>
      </c>
      <c r="S52">
        <f>_xlfn.XLOOKUP(R52,AS2:AS5,AT2:AT5)</f>
        <v>1</v>
      </c>
      <c r="W52">
        <v>40</v>
      </c>
      <c r="X52">
        <f t="shared" si="2"/>
        <v>0</v>
      </c>
      <c r="AA52">
        <v>40</v>
      </c>
      <c r="AB52">
        <f t="shared" si="5"/>
        <v>0</v>
      </c>
    </row>
    <row r="53" spans="5:28">
      <c r="E53">
        <f>IF($B$29&gt;=30,30,0)</f>
        <v>0</v>
      </c>
      <c r="F53" s="1" t="e" cm="1">
        <f t="array" ref="F53">IF(E53&gt;1, J52, NA)</f>
        <v>#NAME?</v>
      </c>
      <c r="G53" s="1">
        <f t="shared" si="3"/>
        <v>0</v>
      </c>
      <c r="H53" s="1">
        <f t="shared" si="4"/>
        <v>0</v>
      </c>
      <c r="I53" s="1" t="e" cm="1">
        <f t="array" ref="I53">IF(E53&gt;0,G53-H53,NA)</f>
        <v>#NAME?</v>
      </c>
      <c r="J53" s="1" t="e" cm="1">
        <f t="array" ref="J53">IF(E53&gt;0,F53-I53,NA)</f>
        <v>#NAME?</v>
      </c>
      <c r="Q53" t="s">
        <v>367</v>
      </c>
      <c r="S53">
        <f>S51*S52</f>
        <v>15</v>
      </c>
      <c r="W53">
        <v>41</v>
      </c>
      <c r="X53">
        <f t="shared" si="2"/>
        <v>0</v>
      </c>
      <c r="AA53">
        <v>41</v>
      </c>
      <c r="AB53">
        <f t="shared" si="5"/>
        <v>0</v>
      </c>
    </row>
    <row r="54" spans="5:28">
      <c r="E54">
        <f>IF($B$29&gt;=31,31,0)</f>
        <v>0</v>
      </c>
      <c r="F54" s="1" t="e" cm="1">
        <f t="array" ref="F54">IF(E54&gt;1, J53, NA)</f>
        <v>#NAME?</v>
      </c>
      <c r="G54" s="1">
        <f t="shared" si="3"/>
        <v>0</v>
      </c>
      <c r="H54" s="1">
        <f t="shared" si="4"/>
        <v>0</v>
      </c>
      <c r="I54" s="1" t="e" cm="1">
        <f t="array" ref="I54">IF(E54&gt;0,G54-H54,NA)</f>
        <v>#NAME?</v>
      </c>
      <c r="J54" s="1" t="e" cm="1">
        <f t="array" ref="J54">IF(E54&gt;0,F54-I54,NA)</f>
        <v>#NAME?</v>
      </c>
      <c r="Q54" t="s">
        <v>449</v>
      </c>
      <c r="S54" s="35">
        <f>E10</f>
        <v>0.03</v>
      </c>
      <c r="W54">
        <v>42</v>
      </c>
      <c r="X54">
        <f t="shared" si="2"/>
        <v>0</v>
      </c>
      <c r="AA54">
        <v>42</v>
      </c>
      <c r="AB54">
        <f t="shared" si="5"/>
        <v>0</v>
      </c>
    </row>
    <row r="55" spans="5:28">
      <c r="E55">
        <f>IF($B$29&gt;=32,32,0)</f>
        <v>0</v>
      </c>
      <c r="F55" s="1" t="e" cm="1">
        <f t="array" ref="F55">IF(E55&gt;1, J54, NA)</f>
        <v>#NAME?</v>
      </c>
      <c r="G55" s="1">
        <f t="shared" si="3"/>
        <v>0</v>
      </c>
      <c r="H55" s="1">
        <f t="shared" si="4"/>
        <v>0</v>
      </c>
      <c r="I55" s="1" t="e" cm="1">
        <f t="array" ref="I55">IF(E55&gt;0,G55-H55,NA)</f>
        <v>#NAME?</v>
      </c>
      <c r="J55" s="1" t="e" cm="1">
        <f t="array" ref="J55">IF(E55&gt;0,F55-I55,NA)</f>
        <v>#NAME?</v>
      </c>
      <c r="Q55" t="s">
        <v>450</v>
      </c>
      <c r="S55">
        <f>S54/S52</f>
        <v>0.03</v>
      </c>
      <c r="W55">
        <v>43</v>
      </c>
      <c r="X55">
        <f t="shared" si="2"/>
        <v>0</v>
      </c>
      <c r="AA55">
        <v>43</v>
      </c>
      <c r="AB55">
        <f t="shared" si="5"/>
        <v>0</v>
      </c>
    </row>
    <row r="56" spans="5:28">
      <c r="E56">
        <f>IF($B$29&gt;=33,33,0)</f>
        <v>0</v>
      </c>
      <c r="F56" s="1" t="e" cm="1">
        <f t="array" ref="F56">IF(E56&gt;1, J55, NA)</f>
        <v>#NAME?</v>
      </c>
      <c r="G56" s="1">
        <f t="shared" si="3"/>
        <v>0</v>
      </c>
      <c r="H56" s="1">
        <f t="shared" si="4"/>
        <v>0</v>
      </c>
      <c r="I56" s="1" t="e" cm="1">
        <f t="array" ref="I56">IF(E56&gt;0,G56-H56,NA)</f>
        <v>#NAME?</v>
      </c>
      <c r="J56" s="1" t="e" cm="1">
        <f t="array" ref="J56">IF(E56&gt;0,F56-I56,NA)</f>
        <v>#NAME?</v>
      </c>
      <c r="Q56" t="s">
        <v>415</v>
      </c>
      <c r="S56">
        <f>E8</f>
        <v>1000</v>
      </c>
      <c r="W56">
        <v>44</v>
      </c>
      <c r="X56">
        <f t="shared" si="2"/>
        <v>0</v>
      </c>
      <c r="AA56">
        <v>44</v>
      </c>
      <c r="AB56">
        <f t="shared" si="5"/>
        <v>0</v>
      </c>
    </row>
    <row r="57" spans="5:28">
      <c r="E57">
        <f>IF($B$29&gt;=34,34,0)</f>
        <v>0</v>
      </c>
      <c r="F57" s="1" t="e" cm="1">
        <f t="array" ref="F57">IF(E57&gt;1, J56, NA)</f>
        <v>#NAME?</v>
      </c>
      <c r="G57" s="1">
        <f t="shared" ref="G57:G82" si="6">IF(E57&gt;0,$B$30,0)</f>
        <v>0</v>
      </c>
      <c r="H57" s="1">
        <f t="shared" ref="H57:H82" si="7">IF(E57&gt;1,$B$28*F57, 0)</f>
        <v>0</v>
      </c>
      <c r="I57" s="1" t="e" cm="1">
        <f t="array" ref="I57">IF(E57&gt;0,G57-H57,NA)</f>
        <v>#NAME?</v>
      </c>
      <c r="J57" s="1" t="e" cm="1">
        <f t="array" ref="J57">IF(E57&gt;0,F57-I57,NA)</f>
        <v>#NAME?</v>
      </c>
      <c r="W57">
        <v>45</v>
      </c>
      <c r="X57">
        <f t="shared" si="2"/>
        <v>0</v>
      </c>
      <c r="AA57">
        <v>45</v>
      </c>
      <c r="AB57">
        <f t="shared" si="5"/>
        <v>0</v>
      </c>
    </row>
    <row r="58" spans="5:28">
      <c r="E58">
        <f>IF($B$29&gt;=35,35,0)</f>
        <v>0</v>
      </c>
      <c r="F58" s="1" t="e" cm="1">
        <f t="array" ref="F58">IF(E58&gt;1, J57, NA)</f>
        <v>#NAME?</v>
      </c>
      <c r="G58" s="1">
        <f t="shared" si="6"/>
        <v>0</v>
      </c>
      <c r="H58" s="1">
        <f t="shared" si="7"/>
        <v>0</v>
      </c>
      <c r="I58" s="1" t="e" cm="1">
        <f t="array" ref="I58">IF(E58&gt;0,G58-H58,NA)</f>
        <v>#NAME?</v>
      </c>
      <c r="J58" s="1" t="e" cm="1">
        <f t="array" ref="J58">IF(E58&gt;0,F58-I58,NA)</f>
        <v>#NAME?</v>
      </c>
      <c r="Q58" t="s">
        <v>432</v>
      </c>
      <c r="S58" s="1">
        <f>-PV(S54,S53,S49,S50)</f>
        <v>940.31032456611968</v>
      </c>
      <c r="W58">
        <v>46</v>
      </c>
      <c r="X58">
        <f t="shared" si="2"/>
        <v>0</v>
      </c>
      <c r="AA58">
        <v>46</v>
      </c>
      <c r="AB58">
        <f t="shared" si="5"/>
        <v>0</v>
      </c>
    </row>
    <row r="59" spans="5:28">
      <c r="E59">
        <f>IF($B$29&gt;=36,36,0)</f>
        <v>0</v>
      </c>
      <c r="F59" s="1" t="e" cm="1">
        <f t="array" ref="F59">IF(E59&gt;1, J58, NA)</f>
        <v>#NAME?</v>
      </c>
      <c r="G59" s="1">
        <f t="shared" si="6"/>
        <v>0</v>
      </c>
      <c r="H59" s="1">
        <f t="shared" si="7"/>
        <v>0</v>
      </c>
      <c r="I59" s="1" t="e" cm="1">
        <f t="array" ref="I59">IF(E59&gt;0,G59-H59,NA)</f>
        <v>#NAME?</v>
      </c>
      <c r="J59" s="1" t="e" cm="1">
        <f t="array" ref="J59">IF(E59&gt;0,F59-I59,NA)</f>
        <v>#NAME?</v>
      </c>
      <c r="Q59" t="s">
        <v>446</v>
      </c>
      <c r="S59">
        <f>(S53*S50)*S48</f>
        <v>375</v>
      </c>
      <c r="W59">
        <v>47</v>
      </c>
      <c r="X59">
        <f t="shared" si="2"/>
        <v>0</v>
      </c>
      <c r="AA59">
        <v>47</v>
      </c>
      <c r="AB59">
        <f t="shared" si="5"/>
        <v>0</v>
      </c>
    </row>
    <row r="60" spans="5:28">
      <c r="E60">
        <f>IF($B$29&gt;=37,37,0)</f>
        <v>0</v>
      </c>
      <c r="F60" s="1" t="e" cm="1">
        <f t="array" ref="F60">IF(E60&gt;1, J59, NA)</f>
        <v>#NAME?</v>
      </c>
      <c r="G60" s="1">
        <f t="shared" si="6"/>
        <v>0</v>
      </c>
      <c r="H60" s="1">
        <f t="shared" si="7"/>
        <v>0</v>
      </c>
      <c r="I60" s="1" t="e" cm="1">
        <f t="array" ref="I60">IF(E60&gt;0,G60-H60,NA)</f>
        <v>#NAME?</v>
      </c>
      <c r="J60" s="1" t="e" cm="1">
        <f t="array" ref="J60">IF(E60&gt;0,F60-I60,NA)</f>
        <v>#NAME?</v>
      </c>
      <c r="Q60" t="s">
        <v>457</v>
      </c>
      <c r="S60">
        <f>S59*S61</f>
        <v>112500</v>
      </c>
      <c r="W60">
        <v>48</v>
      </c>
      <c r="X60">
        <f t="shared" si="2"/>
        <v>0</v>
      </c>
      <c r="AA60">
        <v>48</v>
      </c>
      <c r="AB60">
        <f t="shared" si="5"/>
        <v>0</v>
      </c>
    </row>
    <row r="61" spans="5:28">
      <c r="E61">
        <f>IF($B$29&gt;=38,38,0)</f>
        <v>0</v>
      </c>
      <c r="F61" s="1" t="e" cm="1">
        <f t="array" ref="F61">IF(E61&gt;1, J60, NA)</f>
        <v>#NAME?</v>
      </c>
      <c r="G61" s="1">
        <f t="shared" si="6"/>
        <v>0</v>
      </c>
      <c r="H61" s="1">
        <f t="shared" si="7"/>
        <v>0</v>
      </c>
      <c r="I61" s="1" t="e" cm="1">
        <f t="array" ref="I61">IF(E61&gt;0,G61-H61,NA)</f>
        <v>#NAME?</v>
      </c>
      <c r="J61" s="1" t="e" cm="1">
        <f t="array" ref="J61">IF(E61&gt;0,F61-I61,NA)</f>
        <v>#NAME?</v>
      </c>
      <c r="Q61" t="s">
        <v>451</v>
      </c>
      <c r="S61">
        <f>E11</f>
        <v>300</v>
      </c>
      <c r="W61">
        <v>49</v>
      </c>
      <c r="X61">
        <f t="shared" si="2"/>
        <v>0</v>
      </c>
      <c r="AA61">
        <v>49</v>
      </c>
      <c r="AB61">
        <f t="shared" si="5"/>
        <v>0</v>
      </c>
    </row>
    <row r="62" spans="5:28">
      <c r="E62">
        <f>IF($B$29&gt;=39,39,0)</f>
        <v>0</v>
      </c>
      <c r="F62" s="1" t="e" cm="1">
        <f t="array" ref="F62">IF(E62&gt;1, J61, NA)</f>
        <v>#NAME?</v>
      </c>
      <c r="G62" s="1">
        <f t="shared" si="6"/>
        <v>0</v>
      </c>
      <c r="H62" s="1">
        <f t="shared" si="7"/>
        <v>0</v>
      </c>
      <c r="I62" s="1" t="e" cm="1">
        <f t="array" ref="I62">IF(E62&gt;0,G62-H62,NA)</f>
        <v>#NAME?</v>
      </c>
      <c r="J62" s="1" t="e" cm="1">
        <f t="array" ref="J62">IF(E62&gt;0,F62-I62,NA)</f>
        <v>#NAME?</v>
      </c>
      <c r="Q62" s="111" t="s">
        <v>452</v>
      </c>
      <c r="R62" s="111"/>
      <c r="S62" s="111">
        <f>IF(S58=0,S47,S58)</f>
        <v>940.31032456611968</v>
      </c>
      <c r="W62">
        <v>50</v>
      </c>
      <c r="X62">
        <f t="shared" si="2"/>
        <v>0</v>
      </c>
      <c r="AA62">
        <v>50</v>
      </c>
      <c r="AB62">
        <f t="shared" si="5"/>
        <v>0</v>
      </c>
    </row>
    <row r="63" spans="5:28">
      <c r="E63">
        <f>IF($B$29&gt;=40,40,0)</f>
        <v>0</v>
      </c>
      <c r="F63" s="1" t="e" cm="1">
        <f t="array" ref="F63">IF(E63&gt;1, J62, NA)</f>
        <v>#NAME?</v>
      </c>
      <c r="G63" s="1">
        <f t="shared" si="6"/>
        <v>0</v>
      </c>
      <c r="H63" s="1">
        <f t="shared" si="7"/>
        <v>0</v>
      </c>
      <c r="I63" s="1" t="e" cm="1">
        <f t="array" ref="I63">IF(E63&gt;0,G63-H63,NA)</f>
        <v>#NAME?</v>
      </c>
      <c r="J63" s="1" t="e" cm="1">
        <f t="array" ref="J63">IF(E63&gt;0,F63-I63,NA)</f>
        <v>#NAME?</v>
      </c>
      <c r="W63">
        <v>51</v>
      </c>
      <c r="X63">
        <f t="shared" si="2"/>
        <v>0</v>
      </c>
      <c r="AA63">
        <v>51</v>
      </c>
      <c r="AB63">
        <f t="shared" si="5"/>
        <v>0</v>
      </c>
    </row>
    <row r="64" spans="5:28">
      <c r="E64">
        <f>IF($B$29&gt;=41,41,0)</f>
        <v>0</v>
      </c>
      <c r="F64" s="1" t="e" cm="1">
        <f t="array" ref="F64">IF(E64&gt;1, J63, NA)</f>
        <v>#NAME?</v>
      </c>
      <c r="G64" s="1">
        <f t="shared" si="6"/>
        <v>0</v>
      </c>
      <c r="H64" s="1">
        <f t="shared" si="7"/>
        <v>0</v>
      </c>
      <c r="I64" s="1" t="e" cm="1">
        <f t="array" ref="I64">IF(E64&gt;0,G64-H64,NA)</f>
        <v>#NAME?</v>
      </c>
      <c r="J64" s="1" t="e" cm="1">
        <f t="array" ref="J64">IF(E64&gt;0,F64-I64,NA)</f>
        <v>#NAME?</v>
      </c>
      <c r="Q64" t="s">
        <v>447</v>
      </c>
      <c r="S64">
        <f>S59+S47+S56</f>
        <v>1375</v>
      </c>
      <c r="W64">
        <v>52</v>
      </c>
      <c r="X64">
        <f t="shared" si="2"/>
        <v>0</v>
      </c>
      <c r="AA64">
        <v>52</v>
      </c>
      <c r="AB64">
        <f t="shared" si="5"/>
        <v>0</v>
      </c>
    </row>
    <row r="65" spans="5:28">
      <c r="E65">
        <f>IF($B$29&gt;=42,42,0)</f>
        <v>0</v>
      </c>
      <c r="F65" s="1" t="e" cm="1">
        <f t="array" ref="F65">IF(E65&gt;1, J64, NA)</f>
        <v>#NAME?</v>
      </c>
      <c r="G65" s="1">
        <f t="shared" si="6"/>
        <v>0</v>
      </c>
      <c r="H65" s="1">
        <f t="shared" si="7"/>
        <v>0</v>
      </c>
      <c r="I65" s="1" t="e" cm="1">
        <f t="array" ref="I65">IF(E65&gt;0,G65-H65,NA)</f>
        <v>#NAME?</v>
      </c>
      <c r="J65" s="1" t="e" cm="1">
        <f t="array" ref="J65">IF(E65&gt;0,F65-I65,NA)</f>
        <v>#NAME?</v>
      </c>
      <c r="Q65" t="s">
        <v>448</v>
      </c>
      <c r="S65">
        <f>S64*S61</f>
        <v>412500</v>
      </c>
      <c r="W65">
        <v>53</v>
      </c>
      <c r="X65">
        <f t="shared" si="2"/>
        <v>0</v>
      </c>
      <c r="AA65">
        <v>53</v>
      </c>
      <c r="AB65">
        <f t="shared" si="5"/>
        <v>0</v>
      </c>
    </row>
    <row r="66" spans="5:28">
      <c r="E66">
        <f>IF($B$29&gt;=43,43,0)</f>
        <v>0</v>
      </c>
      <c r="F66" s="1" t="e" cm="1">
        <f t="array" ref="F66">IF(E66&gt;1, J65, NA)</f>
        <v>#NAME?</v>
      </c>
      <c r="G66" s="1">
        <f t="shared" si="6"/>
        <v>0</v>
      </c>
      <c r="H66" s="1">
        <f t="shared" si="7"/>
        <v>0</v>
      </c>
      <c r="I66" s="1" t="e" cm="1">
        <f t="array" ref="I66">IF(E66&gt;0,G66-H66,NA)</f>
        <v>#NAME?</v>
      </c>
      <c r="J66" s="1" t="e" cm="1">
        <f t="array" ref="J66">IF(E66&gt;0,F66-I66,NA)</f>
        <v>#NAME?</v>
      </c>
      <c r="Q66" s="111" t="s">
        <v>459</v>
      </c>
      <c r="R66" s="111"/>
      <c r="S66" s="113">
        <f>(S48+((S50-S47)/S51))/((0.6*S47)+(0.4*S50))</f>
        <v>0.16672916666666671</v>
      </c>
      <c r="W66">
        <v>54</v>
      </c>
      <c r="X66">
        <f t="shared" si="2"/>
        <v>0</v>
      </c>
      <c r="AA66">
        <v>54</v>
      </c>
      <c r="AB66">
        <f t="shared" si="5"/>
        <v>0</v>
      </c>
    </row>
    <row r="67" spans="5:28">
      <c r="E67">
        <f>IF($B$29&gt;=44,44,0)</f>
        <v>0</v>
      </c>
      <c r="F67" s="1" t="e" cm="1">
        <f t="array" ref="F67">IF(E67&gt;1, J66, NA)</f>
        <v>#NAME?</v>
      </c>
      <c r="G67" s="1">
        <f t="shared" si="6"/>
        <v>0</v>
      </c>
      <c r="H67" s="1">
        <f t="shared" si="7"/>
        <v>0</v>
      </c>
      <c r="I67" s="1" t="e" cm="1">
        <f t="array" ref="I67">IF(E67&gt;0,G67-H67,NA)</f>
        <v>#NAME?</v>
      </c>
      <c r="J67" s="1" t="e" cm="1">
        <f t="array" ref="J67">IF(E67&gt;0,F67-I67,NA)</f>
        <v>#NAME?</v>
      </c>
      <c r="W67">
        <v>55</v>
      </c>
      <c r="X67">
        <f t="shared" si="2"/>
        <v>0</v>
      </c>
      <c r="AA67">
        <v>55</v>
      </c>
      <c r="AB67">
        <f t="shared" si="5"/>
        <v>0</v>
      </c>
    </row>
    <row r="68" spans="5:28">
      <c r="E68">
        <f>IF($B$29&gt;=45,45,0)</f>
        <v>0</v>
      </c>
      <c r="F68" s="1" t="e" cm="1">
        <f t="array" ref="F68">IF(E68&gt;1, J67, NA)</f>
        <v>#NAME?</v>
      </c>
      <c r="G68" s="1">
        <f t="shared" si="6"/>
        <v>0</v>
      </c>
      <c r="H68" s="1">
        <f t="shared" si="7"/>
        <v>0</v>
      </c>
      <c r="I68" s="1" t="e" cm="1">
        <f t="array" ref="I68">IF(E68&gt;0,G68-H68,NA)</f>
        <v>#NAME?</v>
      </c>
      <c r="J68" s="1" t="e" cm="1">
        <f t="array" ref="J68">IF(E68&gt;0,F68-I68,NA)</f>
        <v>#NAME?</v>
      </c>
      <c r="Q68" s="111" t="s">
        <v>453</v>
      </c>
      <c r="R68" s="111"/>
      <c r="S68" s="111">
        <f>S62*S61</f>
        <v>282093.09736983589</v>
      </c>
      <c r="W68">
        <v>56</v>
      </c>
      <c r="X68">
        <f t="shared" si="2"/>
        <v>0</v>
      </c>
      <c r="AA68">
        <v>56</v>
      </c>
      <c r="AB68">
        <f t="shared" si="5"/>
        <v>0</v>
      </c>
    </row>
    <row r="69" spans="5:28">
      <c r="E69">
        <f>IF($B$29&gt;=46,46,0)</f>
        <v>0</v>
      </c>
      <c r="F69" s="1" t="e" cm="1">
        <f t="array" ref="F69">IF(E69&gt;1, J68, NA)</f>
        <v>#NAME?</v>
      </c>
      <c r="G69" s="1">
        <f t="shared" si="6"/>
        <v>0</v>
      </c>
      <c r="H69" s="1">
        <f t="shared" si="7"/>
        <v>0</v>
      </c>
      <c r="I69" s="1" t="e" cm="1">
        <f t="array" ref="I69">IF(E69&gt;0,G69-H69,NA)</f>
        <v>#NAME?</v>
      </c>
      <c r="J69" s="1" t="e" cm="1">
        <f t="array" ref="J69">IF(E69&gt;0,F69-I69,NA)</f>
        <v>#NAME?</v>
      </c>
      <c r="Q69" s="111" t="s">
        <v>454</v>
      </c>
      <c r="R69" s="111"/>
      <c r="S69" s="111">
        <f>S65-S68</f>
        <v>130406.90263016411</v>
      </c>
      <c r="W69">
        <v>57</v>
      </c>
      <c r="X69">
        <f t="shared" si="2"/>
        <v>0</v>
      </c>
      <c r="AA69">
        <v>57</v>
      </c>
      <c r="AB69">
        <f t="shared" si="5"/>
        <v>0</v>
      </c>
    </row>
    <row r="70" spans="5:28">
      <c r="E70">
        <f>IF($B$29&gt;=47,47,0)</f>
        <v>0</v>
      </c>
      <c r="F70" s="1" t="e" cm="1">
        <f t="array" ref="F70">IF(E70&gt;1, J69, NA)</f>
        <v>#NAME?</v>
      </c>
      <c r="G70" s="1">
        <f t="shared" si="6"/>
        <v>0</v>
      </c>
      <c r="H70" s="1">
        <f t="shared" si="7"/>
        <v>0</v>
      </c>
      <c r="I70" s="1" t="e" cm="1">
        <f t="array" ref="I70">IF(E70&gt;0,G70-H70,NA)</f>
        <v>#NAME?</v>
      </c>
      <c r="J70" s="1" t="e" cm="1">
        <f t="array" ref="J70">IF(E70&gt;0,F70-I70,NA)</f>
        <v>#NAME?</v>
      </c>
      <c r="W70">
        <v>58</v>
      </c>
      <c r="X70">
        <f t="shared" si="2"/>
        <v>0</v>
      </c>
      <c r="AA70">
        <v>58</v>
      </c>
      <c r="AB70">
        <f t="shared" si="5"/>
        <v>0</v>
      </c>
    </row>
    <row r="71" spans="5:28">
      <c r="E71">
        <f>IF($B$29&gt;=48,48,0)</f>
        <v>0</v>
      </c>
      <c r="F71" s="1" t="e" cm="1">
        <f t="array" ref="F71">IF(E71&gt;1, J70, NA)</f>
        <v>#NAME?</v>
      </c>
      <c r="G71" s="1">
        <f t="shared" si="6"/>
        <v>0</v>
      </c>
      <c r="H71" s="1">
        <f t="shared" si="7"/>
        <v>0</v>
      </c>
      <c r="I71" s="1" t="e" cm="1">
        <f t="array" ref="I71">IF(E71&gt;0,G71-H71,NA)</f>
        <v>#NAME?</v>
      </c>
      <c r="J71" s="1" t="e" cm="1">
        <f t="array" ref="J71">IF(E71&gt;0,F71-I71,NA)</f>
        <v>#NAME?</v>
      </c>
      <c r="W71">
        <v>59</v>
      </c>
      <c r="X71">
        <f t="shared" si="2"/>
        <v>0</v>
      </c>
      <c r="AA71">
        <v>59</v>
      </c>
      <c r="AB71">
        <f t="shared" si="5"/>
        <v>0</v>
      </c>
    </row>
    <row r="72" spans="5:28">
      <c r="E72">
        <f>IF($B$29&gt;=49,49,0)</f>
        <v>0</v>
      </c>
      <c r="F72" s="1" t="e" cm="1">
        <f t="array" ref="F72">IF(E72&gt;1, J71, NA)</f>
        <v>#NAME?</v>
      </c>
      <c r="G72" s="1">
        <f t="shared" si="6"/>
        <v>0</v>
      </c>
      <c r="H72" s="1">
        <f t="shared" si="7"/>
        <v>0</v>
      </c>
      <c r="I72" s="1" t="e" cm="1">
        <f t="array" ref="I72">IF(E72&gt;0,G72-H72,NA)</f>
        <v>#NAME?</v>
      </c>
      <c r="J72" s="1" t="e" cm="1">
        <f t="array" ref="J72">IF(E72&gt;0,F72-I72,NA)</f>
        <v>#NAME?</v>
      </c>
      <c r="W72">
        <v>60</v>
      </c>
      <c r="X72">
        <f t="shared" si="2"/>
        <v>0</v>
      </c>
      <c r="AA72">
        <v>60</v>
      </c>
      <c r="AB72">
        <f t="shared" si="5"/>
        <v>0</v>
      </c>
    </row>
    <row r="73" spans="5:28">
      <c r="E73">
        <f>IF($B$29&gt;=50,50,0)</f>
        <v>0</v>
      </c>
      <c r="F73" s="1" t="e" cm="1">
        <f t="array" ref="F73">IF(E73&gt;1, J72, NA)</f>
        <v>#NAME?</v>
      </c>
      <c r="G73" s="1">
        <f t="shared" si="6"/>
        <v>0</v>
      </c>
      <c r="H73" s="1">
        <f t="shared" si="7"/>
        <v>0</v>
      </c>
      <c r="I73" s="1" t="e" cm="1">
        <f t="array" ref="I73">IF(E73&gt;0,G73-H73,NA)</f>
        <v>#NAME?</v>
      </c>
      <c r="J73" s="1" t="e" cm="1">
        <f t="array" ref="J73">IF(E73&gt;0,F73-I73,NA)</f>
        <v>#NAME?</v>
      </c>
      <c r="W73">
        <v>61</v>
      </c>
      <c r="X73">
        <f t="shared" si="2"/>
        <v>0</v>
      </c>
      <c r="AA73">
        <v>61</v>
      </c>
      <c r="AB73">
        <f t="shared" si="5"/>
        <v>0</v>
      </c>
    </row>
    <row r="74" spans="5:28">
      <c r="E74">
        <f>IF($B$29&gt;=51,51,0)</f>
        <v>0</v>
      </c>
      <c r="F74" s="1" t="e" cm="1">
        <f t="array" ref="F74">IF(E74&gt;1, J73, NA)</f>
        <v>#NAME?</v>
      </c>
      <c r="G74" s="1">
        <f t="shared" si="6"/>
        <v>0</v>
      </c>
      <c r="H74" s="1">
        <f t="shared" si="7"/>
        <v>0</v>
      </c>
      <c r="I74" s="1" t="e" cm="1">
        <f t="array" ref="I74">IF(E74&gt;0,G74-H74,NA)</f>
        <v>#NAME?</v>
      </c>
      <c r="J74" s="1" t="e" cm="1">
        <f t="array" ref="J74">IF(E74&gt;0,F74-I74,NA)</f>
        <v>#NAME?</v>
      </c>
      <c r="W74">
        <v>62</v>
      </c>
      <c r="X74">
        <f t="shared" si="2"/>
        <v>0</v>
      </c>
      <c r="AA74">
        <v>62</v>
      </c>
      <c r="AB74">
        <f t="shared" si="5"/>
        <v>0</v>
      </c>
    </row>
    <row r="75" spans="5:28">
      <c r="E75">
        <f>IF($B$29&gt;=52,52,0)</f>
        <v>0</v>
      </c>
      <c r="F75" s="1" t="e" cm="1">
        <f t="array" ref="F75">IF(E75&gt;1, J74, NA)</f>
        <v>#NAME?</v>
      </c>
      <c r="G75" s="1">
        <f t="shared" si="6"/>
        <v>0</v>
      </c>
      <c r="H75" s="1">
        <f t="shared" si="7"/>
        <v>0</v>
      </c>
      <c r="I75" s="1" t="e" cm="1">
        <f t="array" ref="I75">IF(E75&gt;0,G75-H75,NA)</f>
        <v>#NAME?</v>
      </c>
      <c r="J75" s="1" t="e" cm="1">
        <f t="array" ref="J75">IF(E75&gt;0,F75-I75,NA)</f>
        <v>#NAME?</v>
      </c>
      <c r="W75">
        <v>63</v>
      </c>
      <c r="X75">
        <f t="shared" si="2"/>
        <v>0</v>
      </c>
      <c r="AA75">
        <v>63</v>
      </c>
      <c r="AB75">
        <f t="shared" si="5"/>
        <v>0</v>
      </c>
    </row>
    <row r="76" spans="5:28">
      <c r="E76">
        <f>IF($B$29&gt;=53,53,0)</f>
        <v>0</v>
      </c>
      <c r="F76" s="1" t="e" cm="1">
        <f t="array" ref="F76">IF(E76&gt;1, J75, NA)</f>
        <v>#NAME?</v>
      </c>
      <c r="G76" s="1">
        <f t="shared" si="6"/>
        <v>0</v>
      </c>
      <c r="H76" s="1">
        <f t="shared" si="7"/>
        <v>0</v>
      </c>
      <c r="I76" s="1" t="e" cm="1">
        <f t="array" ref="I76">IF(E76&gt;0,G76-H76,NA)</f>
        <v>#NAME?</v>
      </c>
      <c r="J76" s="1" t="e" cm="1">
        <f t="array" ref="J76">IF(E76&gt;0,F76-I76,NA)</f>
        <v>#NAME?</v>
      </c>
      <c r="W76">
        <v>64</v>
      </c>
      <c r="X76">
        <f t="shared" si="2"/>
        <v>0</v>
      </c>
      <c r="AA76">
        <v>64</v>
      </c>
      <c r="AB76">
        <f t="shared" si="5"/>
        <v>0</v>
      </c>
    </row>
    <row r="77" spans="5:28">
      <c r="E77">
        <f>IF($B$29&gt;=54,54,0)</f>
        <v>0</v>
      </c>
      <c r="F77" s="1" t="e" cm="1">
        <f t="array" ref="F77">IF(E77&gt;1, J76, NA)</f>
        <v>#NAME?</v>
      </c>
      <c r="G77" s="1">
        <f t="shared" si="6"/>
        <v>0</v>
      </c>
      <c r="H77" s="1">
        <f t="shared" si="7"/>
        <v>0</v>
      </c>
      <c r="I77" s="1" t="e" cm="1">
        <f t="array" ref="I77">IF(E77&gt;0,G77-H77,NA)</f>
        <v>#NAME?</v>
      </c>
      <c r="J77" s="1" t="e" cm="1">
        <f t="array" ref="J77">IF(E77&gt;0,F77-I77,NA)</f>
        <v>#NAME?</v>
      </c>
      <c r="P77">
        <v>1</v>
      </c>
      <c r="Q77">
        <v>2</v>
      </c>
      <c r="R77">
        <v>1</v>
      </c>
      <c r="S77">
        <v>2</v>
      </c>
      <c r="T77">
        <v>1</v>
      </c>
      <c r="U77">
        <v>2</v>
      </c>
      <c r="W77">
        <v>65</v>
      </c>
      <c r="X77">
        <f t="shared" si="2"/>
        <v>0</v>
      </c>
      <c r="AA77">
        <v>65</v>
      </c>
      <c r="AB77">
        <f t="shared" ref="AB77" si="8">IF($S$53&gt;=AA77,$S$49,0)</f>
        <v>0</v>
      </c>
    </row>
    <row r="78" spans="5:28">
      <c r="E78">
        <f>IF($B$29&gt;=55,55,0)</f>
        <v>0</v>
      </c>
      <c r="F78" s="1" t="e" cm="1">
        <f t="array" ref="F78">IF(E78&gt;1, J77, NA)</f>
        <v>#NAME?</v>
      </c>
      <c r="G78" s="1">
        <f t="shared" si="6"/>
        <v>0</v>
      </c>
      <c r="H78" s="1">
        <f t="shared" si="7"/>
        <v>0</v>
      </c>
      <c r="I78" s="1" t="e" cm="1">
        <f t="array" ref="I78">IF(E78&gt;0,G78-H78,NA)</f>
        <v>#NAME?</v>
      </c>
      <c r="J78" s="1" t="e" cm="1">
        <f t="array" ref="J78">IF(E78&gt;0,F78-I78,NA)</f>
        <v>#NAME?</v>
      </c>
      <c r="P78" t="s">
        <v>382</v>
      </c>
      <c r="R78" t="s">
        <v>383</v>
      </c>
    </row>
    <row r="79" spans="5:28">
      <c r="E79">
        <f>IF($B$29&gt;=56,56,0)</f>
        <v>0</v>
      </c>
      <c r="F79" s="1" t="e" cm="1">
        <f t="array" ref="F79">IF(E79&gt;1, J78, NA)</f>
        <v>#NAME?</v>
      </c>
      <c r="G79" s="1">
        <f t="shared" si="6"/>
        <v>0</v>
      </c>
      <c r="H79" s="1">
        <f t="shared" si="7"/>
        <v>0</v>
      </c>
      <c r="I79" s="1" t="e" cm="1">
        <f t="array" ref="I79">IF(E79&gt;0,G79-H79,NA)</f>
        <v>#NAME?</v>
      </c>
      <c r="J79" s="1" t="e" cm="1">
        <f t="array" ref="J79">IF(E79&gt;0,F79-I79,NA)</f>
        <v>#NAME?</v>
      </c>
      <c r="O79" t="s">
        <v>219</v>
      </c>
      <c r="P79" s="1">
        <f>B42</f>
        <v>471.66934598027052</v>
      </c>
      <c r="Q79" s="1">
        <f>B110</f>
        <v>0</v>
      </c>
      <c r="R79" s="1">
        <f>B44</f>
        <v>1371.6693459802702</v>
      </c>
      <c r="S79" s="1">
        <f>B112</f>
        <v>1000</v>
      </c>
      <c r="X79">
        <f>SUM(X13:X78)</f>
        <v>850</v>
      </c>
      <c r="AB79">
        <f>SUM(AB13:AB77)</f>
        <v>375</v>
      </c>
    </row>
    <row r="80" spans="5:28">
      <c r="E80">
        <f>IF($B$29&gt;= 57,57,0)</f>
        <v>0</v>
      </c>
      <c r="F80" s="1" t="e" cm="1">
        <f t="array" ref="F80">IF(E80&gt;1, J79, NA)</f>
        <v>#NAME?</v>
      </c>
      <c r="G80" s="1">
        <f t="shared" si="6"/>
        <v>0</v>
      </c>
      <c r="H80" s="1">
        <f t="shared" si="7"/>
        <v>0</v>
      </c>
      <c r="I80" s="1" t="e" cm="1">
        <f t="array" ref="I80">IF(E80&gt;0,G80-H80,NA)</f>
        <v>#NAME?</v>
      </c>
      <c r="J80" s="1" t="e" cm="1">
        <f t="array" ref="J80">IF(E80&gt;0,F80-I80,NA)</f>
        <v>#NAME?</v>
      </c>
      <c r="O80" t="s">
        <v>343</v>
      </c>
      <c r="P80">
        <f>S26</f>
        <v>255000.00000000003</v>
      </c>
      <c r="Q80">
        <f>S60</f>
        <v>112500</v>
      </c>
      <c r="R80">
        <f>S31</f>
        <v>555000</v>
      </c>
      <c r="S80">
        <f>S65</f>
        <v>412500</v>
      </c>
    </row>
    <row r="81" spans="1:19">
      <c r="E81">
        <f>IF($B$29&gt;=58,58,0)</f>
        <v>0</v>
      </c>
      <c r="F81" s="1" t="e" cm="1">
        <f t="array" ref="F81">IF(E81&gt;1, J80, NA)</f>
        <v>#NAME?</v>
      </c>
      <c r="G81" s="1">
        <f t="shared" si="6"/>
        <v>0</v>
      </c>
      <c r="H81" s="1">
        <f t="shared" si="7"/>
        <v>0</v>
      </c>
      <c r="I81" s="1" t="e" cm="1">
        <f t="array" ref="I81">IF(E81&gt;0,G81-H81,NA)</f>
        <v>#NAME?</v>
      </c>
      <c r="J81" s="1" t="e" cm="1">
        <f t="array" ref="J81">IF(E81&gt;0,F81-I81,NA)</f>
        <v>#NAME?</v>
      </c>
      <c r="O81" t="s">
        <v>341</v>
      </c>
      <c r="P81" s="1">
        <f>B42</f>
        <v>471.66934598027052</v>
      </c>
      <c r="Q81">
        <f>S60</f>
        <v>112500</v>
      </c>
      <c r="R81" s="1">
        <f>B44</f>
        <v>1371.6693459802702</v>
      </c>
      <c r="S81">
        <f>S65</f>
        <v>412500</v>
      </c>
    </row>
    <row r="82" spans="1:19">
      <c r="E82">
        <f>IF($B$29&gt;=59,59,0)</f>
        <v>0</v>
      </c>
      <c r="F82" s="1" t="e" cm="1">
        <f t="array" ref="F82">IF(E82&gt;1, J81, NA)</f>
        <v>#NAME?</v>
      </c>
      <c r="G82" s="1">
        <f t="shared" si="6"/>
        <v>0</v>
      </c>
      <c r="H82" s="1">
        <f t="shared" si="7"/>
        <v>0</v>
      </c>
      <c r="I82" s="1" t="e" cm="1">
        <f t="array" ref="I82">IF(E82&gt;0,G82-H82,NA)</f>
        <v>#NAME?</v>
      </c>
      <c r="J82" s="1" t="e" cm="1">
        <f t="array" ref="J82">IF(E82&gt;0,F82-I82,NA)</f>
        <v>#NAME?</v>
      </c>
    </row>
    <row r="90" spans="1:19">
      <c r="A90" s="63" t="s">
        <v>337</v>
      </c>
      <c r="B90" s="91"/>
      <c r="E90" s="63" t="s">
        <v>220</v>
      </c>
      <c r="F90" s="63" t="s">
        <v>221</v>
      </c>
      <c r="G90" s="63" t="s">
        <v>222</v>
      </c>
      <c r="H90" s="63" t="s">
        <v>8</v>
      </c>
      <c r="I90" s="63" t="s">
        <v>223</v>
      </c>
      <c r="J90" s="63" t="s">
        <v>224</v>
      </c>
    </row>
    <row r="91" spans="1:19">
      <c r="A91" t="s">
        <v>219</v>
      </c>
      <c r="B91" s="22">
        <f>E4</f>
        <v>0</v>
      </c>
      <c r="E91">
        <f>IF($B$29&gt;1,1,0)</f>
        <v>1</v>
      </c>
      <c r="F91">
        <f>B91</f>
        <v>0</v>
      </c>
      <c r="G91" s="1">
        <f>B97</f>
        <v>0</v>
      </c>
      <c r="H91" s="1">
        <f>$B$95*F91</f>
        <v>0</v>
      </c>
      <c r="I91" s="1" cm="1">
        <f t="array" ref="I91">IF(E91&gt;0,G91-H91,NA)</f>
        <v>0</v>
      </c>
      <c r="J91" s="1" cm="1">
        <f t="array" ref="J91">IF(E91&gt;0,F91-I91,NA)</f>
        <v>0</v>
      </c>
    </row>
    <row r="92" spans="1:19">
      <c r="A92" t="s">
        <v>327</v>
      </c>
      <c r="B92" s="23">
        <f>E5</f>
        <v>2.5000000000000001E-2</v>
      </c>
      <c r="E92">
        <f>IF($B$29&gt;2,2,0)</f>
        <v>2</v>
      </c>
      <c r="F92" s="1" cm="1">
        <f t="array" ref="F92">IF(E92&gt;1, J91, NA)</f>
        <v>0</v>
      </c>
      <c r="G92" s="1">
        <f t="shared" ref="G92:G123" si="9">IF(E92&gt;0,$B$97,0)</f>
        <v>0</v>
      </c>
      <c r="H92" s="1">
        <f t="shared" ref="H92:H123" si="10">IF(E92&gt;1,$B$95*F92, 0)</f>
        <v>0</v>
      </c>
      <c r="I92" s="1" cm="1">
        <f t="array" ref="I92">IF(E92&gt;0,G92-H92,NA)</f>
        <v>0</v>
      </c>
      <c r="J92" s="1" cm="1">
        <f t="array" ref="J92">IF(E92&gt;0,F92-I92,NA)</f>
        <v>0</v>
      </c>
    </row>
    <row r="93" spans="1:19">
      <c r="A93" t="s">
        <v>227</v>
      </c>
      <c r="B93" s="22" t="str">
        <f>E7</f>
        <v>Yearly</v>
      </c>
      <c r="C93" s="96">
        <f>_xlfn.XLOOKUP(B93,AS2:AS5,AT2:AT5)</f>
        <v>1</v>
      </c>
      <c r="E93">
        <f>IF($B$29&gt;3,3,0)</f>
        <v>3</v>
      </c>
      <c r="F93" s="1" cm="1">
        <f t="array" ref="F93">IF(E93&gt;1, J92, NA)</f>
        <v>0</v>
      </c>
      <c r="G93" s="1">
        <f t="shared" si="9"/>
        <v>0</v>
      </c>
      <c r="H93" s="1">
        <f t="shared" si="10"/>
        <v>0</v>
      </c>
      <c r="I93" s="1" cm="1">
        <f t="array" ref="I93">IF(E93&gt;0,G93-H93,NA)</f>
        <v>0</v>
      </c>
      <c r="J93" s="1" cm="1">
        <f t="array" ref="J93">IF(E93&gt;0,F93-I93,NA)</f>
        <v>0</v>
      </c>
    </row>
    <row r="94" spans="1:19">
      <c r="A94" t="s">
        <v>328</v>
      </c>
      <c r="B94" s="22">
        <f>E6</f>
        <v>15</v>
      </c>
      <c r="E94">
        <f>IF($B$29&gt;=4,4,0)</f>
        <v>4</v>
      </c>
      <c r="F94" s="1" cm="1">
        <f t="array" ref="F94">IF(E94&gt;1, J93, NA)</f>
        <v>0</v>
      </c>
      <c r="G94" s="1">
        <f t="shared" si="9"/>
        <v>0</v>
      </c>
      <c r="H94" s="1">
        <f t="shared" si="10"/>
        <v>0</v>
      </c>
      <c r="I94" s="1" cm="1">
        <f t="array" ref="I94">IF(E94&gt;0,G94-H94,NA)</f>
        <v>0</v>
      </c>
      <c r="J94" s="1" cm="1">
        <f t="array" ref="J94">IF(E94&gt;0,F94-I94,NA)</f>
        <v>0</v>
      </c>
    </row>
    <row r="95" spans="1:19">
      <c r="A95" t="s">
        <v>329</v>
      </c>
      <c r="B95" s="2">
        <f>B92/C93</f>
        <v>2.5000000000000001E-2</v>
      </c>
      <c r="E95">
        <f>IF($B$29&gt;=5,5,0)</f>
        <v>5</v>
      </c>
      <c r="F95" s="1" cm="1">
        <f t="array" ref="F95">IF(E95&gt;1, J94, NA)</f>
        <v>0</v>
      </c>
      <c r="G95" s="1">
        <f t="shared" si="9"/>
        <v>0</v>
      </c>
      <c r="H95" s="1">
        <f t="shared" si="10"/>
        <v>0</v>
      </c>
      <c r="I95" s="1" cm="1">
        <f t="array" ref="I95">IF(E95&gt;0,G95-H95,NA)</f>
        <v>0</v>
      </c>
      <c r="J95" s="1" cm="1">
        <f t="array" ref="J95">IF(E95&gt;0,F95-I95,NA)</f>
        <v>0</v>
      </c>
    </row>
    <row r="96" spans="1:19">
      <c r="A96" t="s">
        <v>330</v>
      </c>
      <c r="B96">
        <f>B94*C93</f>
        <v>15</v>
      </c>
      <c r="E96">
        <f>IF($B$29&gt;=6,6,0)</f>
        <v>6</v>
      </c>
      <c r="F96" s="1" cm="1">
        <f t="array" ref="F96">IF(E96&gt;1, J95, NA)</f>
        <v>0</v>
      </c>
      <c r="G96" s="1">
        <f t="shared" si="9"/>
        <v>0</v>
      </c>
      <c r="H96" s="1">
        <f t="shared" si="10"/>
        <v>0</v>
      </c>
      <c r="I96" s="1" cm="1">
        <f t="array" ref="I96">IF(E96&gt;0,G96-H96,NA)</f>
        <v>0</v>
      </c>
      <c r="J96" s="1" cm="1">
        <f t="array" ref="J96">IF(E96&gt;0,F96-I96,NA)</f>
        <v>0</v>
      </c>
    </row>
    <row r="97" spans="1:10">
      <c r="A97" t="s">
        <v>222</v>
      </c>
      <c r="B97" s="1">
        <f>-PMT(B95,B96,B91)</f>
        <v>0</v>
      </c>
      <c r="E97">
        <f>IF($B$29&gt;=7,7,0)</f>
        <v>7</v>
      </c>
      <c r="F97" s="1" cm="1">
        <f t="array" ref="F97">IF(E97&gt;1, J96, NA)</f>
        <v>0</v>
      </c>
      <c r="G97" s="1">
        <f t="shared" si="9"/>
        <v>0</v>
      </c>
      <c r="H97" s="1">
        <f t="shared" si="10"/>
        <v>0</v>
      </c>
      <c r="I97" s="1" cm="1">
        <f t="array" ref="I97">IF(E97&gt;0,G97-H97,NA)</f>
        <v>0</v>
      </c>
      <c r="J97" s="1" cm="1">
        <f t="array" ref="J97">IF(E97&gt;0,F97-I97,NA)</f>
        <v>0</v>
      </c>
    </row>
    <row r="98" spans="1:10">
      <c r="A98" t="s">
        <v>410</v>
      </c>
      <c r="B98">
        <f>E8</f>
        <v>1000</v>
      </c>
      <c r="E98">
        <f>IF($B$29&gt;=8,8,0)</f>
        <v>8</v>
      </c>
      <c r="F98" s="1" cm="1">
        <f t="array" ref="F98">IF(E98&gt;1, J97, NA)</f>
        <v>0</v>
      </c>
      <c r="G98" s="1">
        <f t="shared" si="9"/>
        <v>0</v>
      </c>
      <c r="H98" s="1">
        <f t="shared" si="10"/>
        <v>0</v>
      </c>
      <c r="I98" s="1" cm="1">
        <f t="array" ref="I98">IF(E98&gt;0,G98-H98,NA)</f>
        <v>0</v>
      </c>
      <c r="J98" s="1" cm="1">
        <f t="array" ref="J98">IF(E98&gt;0,F98-I98,NA)</f>
        <v>0</v>
      </c>
    </row>
    <row r="99" spans="1:10">
      <c r="E99">
        <f>IF($B$96&gt;=9,9,0)</f>
        <v>9</v>
      </c>
      <c r="F99" s="1" cm="1">
        <f t="array" ref="F99">IF(E99&gt;1, J98, NA)</f>
        <v>0</v>
      </c>
      <c r="G99" s="1">
        <f t="shared" si="9"/>
        <v>0</v>
      </c>
      <c r="H99" s="1">
        <f t="shared" si="10"/>
        <v>0</v>
      </c>
      <c r="I99" s="1" cm="1">
        <f t="array" ref="I99">IF(E99&gt;0,G99-H99,NA)</f>
        <v>0</v>
      </c>
      <c r="J99" s="1" cm="1">
        <f t="array" ref="J99">IF(E99&gt;0,F99-I99,NA)</f>
        <v>0</v>
      </c>
    </row>
    <row r="100" spans="1:10">
      <c r="A100" t="s">
        <v>462</v>
      </c>
      <c r="B100">
        <f>(E8+E12)/E6</f>
        <v>1066.6666666666667</v>
      </c>
      <c r="E100">
        <f>IF($B$96&gt;=10,10,0)</f>
        <v>10</v>
      </c>
      <c r="F100" s="1" cm="1">
        <f t="array" ref="F100">IF(E100&gt;1, J99, NA)</f>
        <v>0</v>
      </c>
      <c r="G100" s="1">
        <f t="shared" si="9"/>
        <v>0</v>
      </c>
      <c r="H100" s="1">
        <f t="shared" si="10"/>
        <v>0</v>
      </c>
      <c r="I100" s="1" cm="1">
        <f t="array" ref="I100">IF(E100&gt;0,G100-H100,NA)</f>
        <v>0</v>
      </c>
      <c r="J100" s="1" cm="1">
        <f t="array" ref="J100">IF(E100&gt;0,F100-I100,NA)</f>
        <v>0</v>
      </c>
    </row>
    <row r="101" spans="1:10">
      <c r="E101">
        <f>IF($B$96&gt;=11,11,0)</f>
        <v>11</v>
      </c>
      <c r="F101" s="1" cm="1">
        <f t="array" ref="F101">IF(E101&gt;1, J100, NA)</f>
        <v>0</v>
      </c>
      <c r="G101" s="1">
        <f t="shared" si="9"/>
        <v>0</v>
      </c>
      <c r="H101" s="1">
        <f t="shared" si="10"/>
        <v>0</v>
      </c>
      <c r="I101" s="1" cm="1">
        <f t="array" ref="I101">IF(E101&gt;0,G101-H101,NA)</f>
        <v>0</v>
      </c>
      <c r="J101" s="1" cm="1">
        <f t="array" ref="J101">IF(E101&gt;0,F101-I101,NA)</f>
        <v>0</v>
      </c>
    </row>
    <row r="102" spans="1:10">
      <c r="D102" s="1"/>
      <c r="E102">
        <f>IF($B$96&gt;=12,12,0)</f>
        <v>12</v>
      </c>
      <c r="F102" s="1" cm="1">
        <f t="array" ref="F102">IF(E102&gt;1, J101, NA)</f>
        <v>0</v>
      </c>
      <c r="G102" s="1">
        <f t="shared" si="9"/>
        <v>0</v>
      </c>
      <c r="H102" s="1">
        <f t="shared" si="10"/>
        <v>0</v>
      </c>
      <c r="I102" s="1" cm="1">
        <f t="array" ref="I102">IF(E102&gt;0,G102-H102,NA)</f>
        <v>0</v>
      </c>
      <c r="J102" s="1" cm="1">
        <f t="array" ref="J102">IF(E102&gt;0,F102-I102,NA)</f>
        <v>0</v>
      </c>
    </row>
    <row r="103" spans="1:10">
      <c r="E103">
        <f>IF($B$96&gt;=13,13,0)</f>
        <v>13</v>
      </c>
      <c r="F103" s="1" cm="1">
        <f t="array" ref="F103">IF(E103&gt;1, J102, NA)</f>
        <v>0</v>
      </c>
      <c r="G103" s="1">
        <f t="shared" si="9"/>
        <v>0</v>
      </c>
      <c r="H103" s="1">
        <f t="shared" si="10"/>
        <v>0</v>
      </c>
      <c r="I103" s="1" cm="1">
        <f t="array" ref="I103">IF(E103&gt;0,G103-H103,NA)</f>
        <v>0</v>
      </c>
      <c r="J103" s="1" cm="1">
        <f t="array" ref="J103">IF(E103&gt;0,F103-I103,NA)</f>
        <v>0</v>
      </c>
    </row>
    <row r="104" spans="1:10">
      <c r="E104">
        <f>IF($B$96&gt;=14,14,0)</f>
        <v>14</v>
      </c>
      <c r="F104" s="1" cm="1">
        <f t="array" ref="F104">IF(E104&gt;1, J103, NA)</f>
        <v>0</v>
      </c>
      <c r="G104" s="1">
        <f t="shared" si="9"/>
        <v>0</v>
      </c>
      <c r="H104" s="1">
        <f t="shared" si="10"/>
        <v>0</v>
      </c>
      <c r="I104" s="1" cm="1">
        <f t="array" ref="I104">IF(E104&gt;0,G104-H104,NA)</f>
        <v>0</v>
      </c>
      <c r="J104" s="1" cm="1">
        <f t="array" ref="J104">IF(E104&gt;0,F104-I104,NA)</f>
        <v>0</v>
      </c>
    </row>
    <row r="105" spans="1:10">
      <c r="E105">
        <f>IF($B$96&gt;=15,15,0)</f>
        <v>15</v>
      </c>
      <c r="F105" s="1" cm="1">
        <f t="array" ref="F105">IF(E105&gt;1, J104, NA)</f>
        <v>0</v>
      </c>
      <c r="G105" s="1">
        <f t="shared" si="9"/>
        <v>0</v>
      </c>
      <c r="H105" s="1">
        <f t="shared" si="10"/>
        <v>0</v>
      </c>
      <c r="I105" s="1" cm="1">
        <f t="array" ref="I105">IF(E105&gt;0,G105-H105,NA)</f>
        <v>0</v>
      </c>
      <c r="J105" s="1" cm="1">
        <f t="array" ref="J105">IF(E105&gt;0,F105-I105,NA)</f>
        <v>0</v>
      </c>
    </row>
    <row r="106" spans="1:10">
      <c r="E106">
        <f>IF($B$96&gt;=16,16,0)</f>
        <v>0</v>
      </c>
      <c r="F106" s="1" t="e" cm="1">
        <f t="array" ref="F106">IF(E106&gt;1, J105, NA)</f>
        <v>#NAME?</v>
      </c>
      <c r="G106" s="1">
        <f t="shared" si="9"/>
        <v>0</v>
      </c>
      <c r="H106" s="1">
        <f t="shared" si="10"/>
        <v>0</v>
      </c>
      <c r="I106" s="1" t="e" cm="1">
        <f t="array" ref="I106">IF(E106&gt;0,G106-H106,NA)</f>
        <v>#NAME?</v>
      </c>
      <c r="J106" s="1" t="e" cm="1">
        <f t="array" ref="J106">IF(E106&gt;0,F106-I106,NA)</f>
        <v>#NAME?</v>
      </c>
    </row>
    <row r="107" spans="1:10">
      <c r="E107">
        <f>IF($B$96&gt;=17,17,0)</f>
        <v>0</v>
      </c>
      <c r="F107" s="1" t="e" cm="1">
        <f t="array" ref="F107">IF(E107&gt;1, J106, NA)</f>
        <v>#NAME?</v>
      </c>
      <c r="G107" s="1">
        <f t="shared" si="9"/>
        <v>0</v>
      </c>
      <c r="H107" s="1">
        <f t="shared" si="10"/>
        <v>0</v>
      </c>
      <c r="I107" s="1" t="e" cm="1">
        <f t="array" ref="I107">IF(E107&gt;0,G107-H107,NA)</f>
        <v>#NAME?</v>
      </c>
      <c r="J107" s="1" t="e" cm="1">
        <f t="array" ref="J107">IF(E107&gt;0,F107-I107,NA)</f>
        <v>#NAME?</v>
      </c>
    </row>
    <row r="108" spans="1:10">
      <c r="E108">
        <f>IF($B$96&gt;=18,18,0)</f>
        <v>0</v>
      </c>
      <c r="F108" s="1" t="e" cm="1">
        <f t="array" ref="F108">IF(E108&gt;1, J107, NA)</f>
        <v>#NAME?</v>
      </c>
      <c r="G108" s="1">
        <f t="shared" si="9"/>
        <v>0</v>
      </c>
      <c r="H108" s="1">
        <f t="shared" si="10"/>
        <v>0</v>
      </c>
      <c r="I108" s="1" t="e" cm="1">
        <f t="array" ref="I108">IF(E108&gt;0,G108-H108,NA)</f>
        <v>#NAME?</v>
      </c>
      <c r="J108" s="1" t="e" cm="1">
        <f t="array" ref="J108">IF(E108&gt;0,F108-I108,NA)</f>
        <v>#NAME?</v>
      </c>
    </row>
    <row r="109" spans="1:10">
      <c r="A109" s="63" t="s">
        <v>334</v>
      </c>
      <c r="B109" s="63"/>
      <c r="E109">
        <f>IF($B$96&gt;=20,20,0)</f>
        <v>0</v>
      </c>
      <c r="F109" s="1" t="e" cm="1">
        <f t="array" ref="F109">IF(E109&gt;1, J108, NA)</f>
        <v>#NAME?</v>
      </c>
      <c r="G109" s="1">
        <f t="shared" si="9"/>
        <v>0</v>
      </c>
      <c r="H109" s="1">
        <f t="shared" si="10"/>
        <v>0</v>
      </c>
      <c r="I109" s="1" t="e" cm="1">
        <f t="array" ref="I109">IF(E109&gt;0,G109-H109,NA)</f>
        <v>#NAME?</v>
      </c>
      <c r="J109" s="1" t="e" cm="1">
        <f t="array" ref="J109">IF(E109&gt;0,F109-I109,NA)</f>
        <v>#NAME?</v>
      </c>
    </row>
    <row r="110" spans="1:10">
      <c r="A110" t="s">
        <v>335</v>
      </c>
      <c r="B110" s="1">
        <f>SUM(H91:H149)</f>
        <v>0</v>
      </c>
      <c r="E110">
        <f>IF($B$96&gt;=19,19,0)</f>
        <v>0</v>
      </c>
      <c r="F110" s="1" t="e" cm="1">
        <f t="array" ref="F110">IF(E110&gt;1, J109, NA)</f>
        <v>#NAME?</v>
      </c>
      <c r="G110" s="1">
        <f t="shared" si="9"/>
        <v>0</v>
      </c>
      <c r="H110" s="1">
        <f t="shared" si="10"/>
        <v>0</v>
      </c>
      <c r="I110" s="1" t="e" cm="1">
        <f t="array" ref="I110">IF(E110&gt;0,G110-H110,NA)</f>
        <v>#NAME?</v>
      </c>
      <c r="J110" s="1" t="e" cm="1">
        <f t="array" ref="J110">IF(E110&gt;0,F110-I110,NA)</f>
        <v>#NAME?</v>
      </c>
    </row>
    <row r="111" spans="1:10">
      <c r="A111" t="s">
        <v>413</v>
      </c>
      <c r="B111" s="1">
        <f>B110+B98</f>
        <v>1000</v>
      </c>
      <c r="E111">
        <f>IF($B$96&gt;=21,21,0)</f>
        <v>0</v>
      </c>
      <c r="F111" s="1" t="e" cm="1">
        <f t="array" ref="F111">IF(E111&gt;1, J110, NA)</f>
        <v>#NAME?</v>
      </c>
      <c r="G111" s="1">
        <f t="shared" si="9"/>
        <v>0</v>
      </c>
      <c r="H111" s="1">
        <f t="shared" si="10"/>
        <v>0</v>
      </c>
      <c r="I111" s="1" t="e" cm="1">
        <f t="array" ref="I111">IF(E111&gt;0,G111-H111,NA)</f>
        <v>#NAME?</v>
      </c>
      <c r="J111" s="1" t="e" cm="1">
        <f t="array" ref="J111">IF(E111&gt;0,F111-I111,NA)</f>
        <v>#NAME?</v>
      </c>
    </row>
    <row r="112" spans="1:10">
      <c r="A112" t="s">
        <v>336</v>
      </c>
      <c r="B112" s="1">
        <f>SUM(G91:G149)+B98</f>
        <v>1000</v>
      </c>
      <c r="E112">
        <f>IF($B$96&gt;=22,22,0)</f>
        <v>0</v>
      </c>
      <c r="F112" s="1" t="e" cm="1">
        <f t="array" ref="F112">IF(E112&gt;1, J111, NA)</f>
        <v>#NAME?</v>
      </c>
      <c r="G112" s="1">
        <f t="shared" si="9"/>
        <v>0</v>
      </c>
      <c r="H112" s="1">
        <f t="shared" si="10"/>
        <v>0</v>
      </c>
      <c r="I112" s="1" t="e" cm="1">
        <f t="array" ref="I112">IF(E112&gt;0,G112-H112,NA)</f>
        <v>#NAME?</v>
      </c>
      <c r="J112" s="1" t="e" cm="1">
        <f t="array" ref="J112">IF(E112&gt;0,F112-I112,NA)</f>
        <v>#NAME?</v>
      </c>
    </row>
    <row r="113" spans="1:10">
      <c r="E113">
        <f>IF($B$96&gt;=23,23,0)</f>
        <v>0</v>
      </c>
      <c r="F113" s="1" t="e" cm="1">
        <f t="array" ref="F113">IF(E113&gt;1, J112, NA)</f>
        <v>#NAME?</v>
      </c>
      <c r="G113" s="1">
        <f t="shared" si="9"/>
        <v>0</v>
      </c>
      <c r="H113" s="1">
        <f t="shared" si="10"/>
        <v>0</v>
      </c>
      <c r="I113" s="1" t="e" cm="1">
        <f t="array" ref="I113">IF(E113&gt;0,G113-H113,NA)</f>
        <v>#NAME?</v>
      </c>
      <c r="J113" s="1" t="e" cm="1">
        <f t="array" ref="J113">IF(E113&gt;0,F113-I113,NA)</f>
        <v>#NAME?</v>
      </c>
    </row>
    <row r="114" spans="1:10">
      <c r="A114" t="s">
        <v>419</v>
      </c>
      <c r="B114" s="21" t="e">
        <f>B111/B91</f>
        <v>#DIV/0!</v>
      </c>
      <c r="E114">
        <f>IF($B$96&gt;=24,24,0)</f>
        <v>0</v>
      </c>
      <c r="F114" s="1" t="e" cm="1">
        <f t="array" ref="F114">IF(E114&gt;1, J113, NA)</f>
        <v>#NAME?</v>
      </c>
      <c r="G114" s="1">
        <f t="shared" si="9"/>
        <v>0</v>
      </c>
      <c r="H114" s="1">
        <f t="shared" si="10"/>
        <v>0</v>
      </c>
      <c r="I114" s="1" t="e" cm="1">
        <f t="array" ref="I114">IF(E114&gt;0,G114-H114,NA)</f>
        <v>#NAME?</v>
      </c>
      <c r="J114" s="1" t="e" cm="1">
        <f t="array" ref="J114">IF(E114&gt;0,F114-I114,NA)</f>
        <v>#NAME?</v>
      </c>
    </row>
    <row r="115" spans="1:10">
      <c r="E115">
        <f>IF($B$96&gt;=25,25,0)</f>
        <v>0</v>
      </c>
      <c r="F115" s="1" t="e" cm="1">
        <f t="array" ref="F115">IF(E115&gt;1, J114, NA)</f>
        <v>#NAME?</v>
      </c>
      <c r="G115" s="1">
        <f t="shared" si="9"/>
        <v>0</v>
      </c>
      <c r="H115" s="1">
        <f t="shared" si="10"/>
        <v>0</v>
      </c>
      <c r="I115" s="1" t="e" cm="1">
        <f t="array" ref="I115">IF(E115&gt;0,G115-H115,NA)</f>
        <v>#NAME?</v>
      </c>
      <c r="J115" s="1" t="e" cm="1">
        <f t="array" ref="J115">IF(E115&gt;0,F115-I115,NA)</f>
        <v>#NAME?</v>
      </c>
    </row>
    <row r="116" spans="1:10">
      <c r="E116">
        <f>IF($B$96&gt;=26,26,0)</f>
        <v>0</v>
      </c>
      <c r="F116" s="1" t="e" cm="1">
        <f t="array" ref="F116">IF(E116&gt;1, J115, NA)</f>
        <v>#NAME?</v>
      </c>
      <c r="G116" s="1">
        <f t="shared" si="9"/>
        <v>0</v>
      </c>
      <c r="H116" s="1">
        <f t="shared" si="10"/>
        <v>0</v>
      </c>
      <c r="I116" s="1" t="e" cm="1">
        <f t="array" ref="I116">IF(E116&gt;0,G116-H116,NA)</f>
        <v>#NAME?</v>
      </c>
      <c r="J116" s="1" t="e" cm="1">
        <f t="array" ref="J116">IF(E116&gt;0,F116-I116,NA)</f>
        <v>#NAME?</v>
      </c>
    </row>
    <row r="117" spans="1:10">
      <c r="E117">
        <f>IF($B$96&gt;=27,27,0)</f>
        <v>0</v>
      </c>
      <c r="F117" s="1" t="e" cm="1">
        <f t="array" ref="F117">IF(E117&gt;1, J116, NA)</f>
        <v>#NAME?</v>
      </c>
      <c r="G117" s="1">
        <f t="shared" si="9"/>
        <v>0</v>
      </c>
      <c r="H117" s="1">
        <f t="shared" si="10"/>
        <v>0</v>
      </c>
      <c r="I117" s="1" t="e" cm="1">
        <f t="array" ref="I117">IF(E117&gt;0,G117-H117,NA)</f>
        <v>#NAME?</v>
      </c>
      <c r="J117" s="1" t="e" cm="1">
        <f t="array" ref="J117">IF(E117&gt;0,F117-I117,NA)</f>
        <v>#NAME?</v>
      </c>
    </row>
    <row r="118" spans="1:10">
      <c r="E118">
        <f>IF($B$96&gt;=28,28,0)</f>
        <v>0</v>
      </c>
      <c r="F118" s="1" t="e" cm="1">
        <f t="array" ref="F118">IF(E118&gt;1, J117, NA)</f>
        <v>#NAME?</v>
      </c>
      <c r="G118" s="1">
        <f t="shared" si="9"/>
        <v>0</v>
      </c>
      <c r="H118" s="1">
        <f t="shared" si="10"/>
        <v>0</v>
      </c>
      <c r="I118" s="1" t="e" cm="1">
        <f t="array" ref="I118">IF(E118&gt;0,G118-H118,NA)</f>
        <v>#NAME?</v>
      </c>
      <c r="J118" s="1" t="e" cm="1">
        <f t="array" ref="J118">IF(E118&gt;0,F118-I118,NA)</f>
        <v>#NAME?</v>
      </c>
    </row>
    <row r="119" spans="1:10">
      <c r="E119">
        <f>IF($B$96&gt;=29,29,0)</f>
        <v>0</v>
      </c>
      <c r="F119" s="1" t="e" cm="1">
        <f t="array" ref="F119">IF(E119&gt;1, J118, NA)</f>
        <v>#NAME?</v>
      </c>
      <c r="G119" s="1">
        <f t="shared" si="9"/>
        <v>0</v>
      </c>
      <c r="H119" s="1">
        <f t="shared" si="10"/>
        <v>0</v>
      </c>
      <c r="I119" s="1" t="e" cm="1">
        <f t="array" ref="I119">IF(E119&gt;0,G119-H119,NA)</f>
        <v>#NAME?</v>
      </c>
      <c r="J119" s="1" t="e" cm="1">
        <f t="array" ref="J119">IF(E119&gt;0,F119-I119,NA)</f>
        <v>#NAME?</v>
      </c>
    </row>
    <row r="120" spans="1:10">
      <c r="E120">
        <f>IF($B$96&gt;=30,30,0)</f>
        <v>0</v>
      </c>
      <c r="F120" s="1" t="e" cm="1">
        <f t="array" ref="F120">IF(E120&gt;1, J119, NA)</f>
        <v>#NAME?</v>
      </c>
      <c r="G120" s="1">
        <f t="shared" si="9"/>
        <v>0</v>
      </c>
      <c r="H120" s="1">
        <f t="shared" si="10"/>
        <v>0</v>
      </c>
      <c r="I120" s="1" t="e" cm="1">
        <f t="array" ref="I120">IF(E120&gt;0,G120-H120,NA)</f>
        <v>#NAME?</v>
      </c>
      <c r="J120" s="1" t="e" cm="1">
        <f t="array" ref="J120">IF(E120&gt;0,F120-I120,NA)</f>
        <v>#NAME?</v>
      </c>
    </row>
    <row r="121" spans="1:10">
      <c r="E121">
        <f>IF($B$96&gt;=31,31,0)</f>
        <v>0</v>
      </c>
      <c r="F121" s="1" t="e" cm="1">
        <f t="array" ref="F121">IF(E121&gt;1, J120, NA)</f>
        <v>#NAME?</v>
      </c>
      <c r="G121" s="1">
        <f t="shared" si="9"/>
        <v>0</v>
      </c>
      <c r="H121" s="1">
        <f t="shared" si="10"/>
        <v>0</v>
      </c>
      <c r="I121" s="1" t="e" cm="1">
        <f t="array" ref="I121">IF(E121&gt;0,G121-H121,NA)</f>
        <v>#NAME?</v>
      </c>
      <c r="J121" s="1" t="e" cm="1">
        <f t="array" ref="J121">IF(E121&gt;0,F121-I121,NA)</f>
        <v>#NAME?</v>
      </c>
    </row>
    <row r="122" spans="1:10">
      <c r="E122">
        <f>IF($B$96&gt;=32,32,0)</f>
        <v>0</v>
      </c>
      <c r="F122" s="1" t="e" cm="1">
        <f t="array" ref="F122">IF(E122&gt;1, J121, NA)</f>
        <v>#NAME?</v>
      </c>
      <c r="G122" s="1">
        <f t="shared" si="9"/>
        <v>0</v>
      </c>
      <c r="H122" s="1">
        <f t="shared" si="10"/>
        <v>0</v>
      </c>
      <c r="I122" s="1" t="e" cm="1">
        <f t="array" ref="I122">IF(E122&gt;0,G122-H122,NA)</f>
        <v>#NAME?</v>
      </c>
      <c r="J122" s="1" t="e" cm="1">
        <f t="array" ref="J122">IF(E122&gt;0,F122-I122,NA)</f>
        <v>#NAME?</v>
      </c>
    </row>
    <row r="123" spans="1:10">
      <c r="E123">
        <f>IF($B$96&gt;=33,33,0)</f>
        <v>0</v>
      </c>
      <c r="F123" s="1" t="e" cm="1">
        <f t="array" ref="F123">IF(E123&gt;1, J122, NA)</f>
        <v>#NAME?</v>
      </c>
      <c r="G123" s="1">
        <f t="shared" si="9"/>
        <v>0</v>
      </c>
      <c r="H123" s="1">
        <f t="shared" si="10"/>
        <v>0</v>
      </c>
      <c r="I123" s="1" t="e" cm="1">
        <f t="array" ref="I123">IF(E123&gt;0,G123-H123,NA)</f>
        <v>#NAME?</v>
      </c>
      <c r="J123" s="1" t="e" cm="1">
        <f t="array" ref="J123">IF(E123&gt;0,F123-I123,NA)</f>
        <v>#NAME?</v>
      </c>
    </row>
    <row r="124" spans="1:10">
      <c r="E124">
        <f>IF($B$96&gt;=34,34,0)</f>
        <v>0</v>
      </c>
      <c r="F124" s="1" t="e" cm="1">
        <f t="array" ref="F124">IF(E124&gt;1, J123, NA)</f>
        <v>#NAME?</v>
      </c>
      <c r="G124" s="1">
        <f t="shared" ref="G124:G149" si="11">IF(E124&gt;0,$B$97,0)</f>
        <v>0</v>
      </c>
      <c r="H124" s="1">
        <f t="shared" ref="H124:H149" si="12">IF(E124&gt;1,$B$95*F124, 0)</f>
        <v>0</v>
      </c>
      <c r="I124" s="1" t="e" cm="1">
        <f t="array" ref="I124">IF(E124&gt;0,G124-H124,NA)</f>
        <v>#NAME?</v>
      </c>
      <c r="J124" s="1" t="e" cm="1">
        <f t="array" ref="J124">IF(E124&gt;0,F124-I124,NA)</f>
        <v>#NAME?</v>
      </c>
    </row>
    <row r="125" spans="1:10">
      <c r="E125">
        <f>IF($B$96&gt;=35,35,0)</f>
        <v>0</v>
      </c>
      <c r="F125" s="1" t="e" cm="1">
        <f t="array" ref="F125">IF(E125&gt;1, J124, NA)</f>
        <v>#NAME?</v>
      </c>
      <c r="G125" s="1">
        <f t="shared" si="11"/>
        <v>0</v>
      </c>
      <c r="H125" s="1">
        <f t="shared" si="12"/>
        <v>0</v>
      </c>
      <c r="I125" s="1" t="e" cm="1">
        <f t="array" ref="I125">IF(E125&gt;0,G125-H125,NA)</f>
        <v>#NAME?</v>
      </c>
      <c r="J125" s="1" t="e" cm="1">
        <f t="array" ref="J125">IF(E125&gt;0,F125-I125,NA)</f>
        <v>#NAME?</v>
      </c>
    </row>
    <row r="126" spans="1:10">
      <c r="E126">
        <f>IF($B$96&gt;=36,36,0)</f>
        <v>0</v>
      </c>
      <c r="F126" s="1" t="e" cm="1">
        <f t="array" ref="F126">IF(E126&gt;1, J125, NA)</f>
        <v>#NAME?</v>
      </c>
      <c r="G126" s="1">
        <f t="shared" si="11"/>
        <v>0</v>
      </c>
      <c r="H126" s="1">
        <f t="shared" si="12"/>
        <v>0</v>
      </c>
      <c r="I126" s="1" t="e" cm="1">
        <f t="array" ref="I126">IF(E126&gt;0,G126-H126,NA)</f>
        <v>#NAME?</v>
      </c>
      <c r="J126" s="1" t="e" cm="1">
        <f t="array" ref="J126">IF(E126&gt;0,F126-I126,NA)</f>
        <v>#NAME?</v>
      </c>
    </row>
    <row r="127" spans="1:10">
      <c r="E127">
        <f>IF($B$96&gt;=37,37,0)</f>
        <v>0</v>
      </c>
      <c r="F127" s="1" t="e" cm="1">
        <f t="array" ref="F127">IF(E127&gt;1, J126, NA)</f>
        <v>#NAME?</v>
      </c>
      <c r="G127" s="1">
        <f t="shared" si="11"/>
        <v>0</v>
      </c>
      <c r="H127" s="1">
        <f t="shared" si="12"/>
        <v>0</v>
      </c>
      <c r="I127" s="1" t="e" cm="1">
        <f t="array" ref="I127">IF(E127&gt;0,G127-H127,NA)</f>
        <v>#NAME?</v>
      </c>
      <c r="J127" s="1" t="e" cm="1">
        <f t="array" ref="J127">IF(E127&gt;0,F127-I127,NA)</f>
        <v>#NAME?</v>
      </c>
    </row>
    <row r="128" spans="1:10">
      <c r="E128">
        <f>IF($B$96&gt;=38,38,0)</f>
        <v>0</v>
      </c>
      <c r="F128" s="1" t="e" cm="1">
        <f t="array" ref="F128">IF(E128&gt;1, J127, NA)</f>
        <v>#NAME?</v>
      </c>
      <c r="G128" s="1">
        <f t="shared" si="11"/>
        <v>0</v>
      </c>
      <c r="H128" s="1">
        <f t="shared" si="12"/>
        <v>0</v>
      </c>
      <c r="I128" s="1" t="e" cm="1">
        <f t="array" ref="I128">IF(E128&gt;0,G128-H128,NA)</f>
        <v>#NAME?</v>
      </c>
      <c r="J128" s="1" t="e" cm="1">
        <f t="array" ref="J128">IF(E128&gt;0,F128-I128,NA)</f>
        <v>#NAME?</v>
      </c>
    </row>
    <row r="129" spans="5:10">
      <c r="E129">
        <f>IF($B$96&gt;=39,39,0)</f>
        <v>0</v>
      </c>
      <c r="F129" s="1" t="e" cm="1">
        <f t="array" ref="F129">IF(E129&gt;1, J128, NA)</f>
        <v>#NAME?</v>
      </c>
      <c r="G129" s="1">
        <f t="shared" si="11"/>
        <v>0</v>
      </c>
      <c r="H129" s="1">
        <f t="shared" si="12"/>
        <v>0</v>
      </c>
      <c r="I129" s="1" t="e" cm="1">
        <f t="array" ref="I129">IF(E129&gt;0,G129-H129,NA)</f>
        <v>#NAME?</v>
      </c>
      <c r="J129" s="1" t="e" cm="1">
        <f t="array" ref="J129">IF(E129&gt;0,F129-I129,NA)</f>
        <v>#NAME?</v>
      </c>
    </row>
    <row r="130" spans="5:10">
      <c r="E130">
        <f>IF($B$96&gt;=40,40,0)</f>
        <v>0</v>
      </c>
      <c r="F130" s="1" t="e" cm="1">
        <f t="array" ref="F130">IF(E130&gt;1, J129, NA)</f>
        <v>#NAME?</v>
      </c>
      <c r="G130" s="1">
        <f t="shared" si="11"/>
        <v>0</v>
      </c>
      <c r="H130" s="1">
        <f t="shared" si="12"/>
        <v>0</v>
      </c>
      <c r="I130" s="1" t="e" cm="1">
        <f t="array" ref="I130">IF(E130&gt;0,G130-H130,NA)</f>
        <v>#NAME?</v>
      </c>
      <c r="J130" s="1" t="e" cm="1">
        <f t="array" ref="J130">IF(E130&gt;0,F130-I130,NA)</f>
        <v>#NAME?</v>
      </c>
    </row>
    <row r="131" spans="5:10">
      <c r="E131">
        <f>IF($B$96&gt;=41,41,0)</f>
        <v>0</v>
      </c>
      <c r="F131" s="1" t="e" cm="1">
        <f t="array" ref="F131">IF(E131&gt;1, J130, NA)</f>
        <v>#NAME?</v>
      </c>
      <c r="G131" s="1">
        <f t="shared" si="11"/>
        <v>0</v>
      </c>
      <c r="H131" s="1">
        <f t="shared" si="12"/>
        <v>0</v>
      </c>
      <c r="I131" s="1" t="e" cm="1">
        <f t="array" ref="I131">IF(E131&gt;0,G131-H131,NA)</f>
        <v>#NAME?</v>
      </c>
      <c r="J131" s="1" t="e" cm="1">
        <f t="array" ref="J131">IF(E131&gt;0,F131-I131,NA)</f>
        <v>#NAME?</v>
      </c>
    </row>
    <row r="132" spans="5:10">
      <c r="E132">
        <f>IF($B$96&gt;=42,42,0)</f>
        <v>0</v>
      </c>
      <c r="F132" s="1" t="e" cm="1">
        <f t="array" ref="F132">IF(E132&gt;1, J131, NA)</f>
        <v>#NAME?</v>
      </c>
      <c r="G132" s="1">
        <f t="shared" si="11"/>
        <v>0</v>
      </c>
      <c r="H132" s="1">
        <f t="shared" si="12"/>
        <v>0</v>
      </c>
      <c r="I132" s="1" t="e" cm="1">
        <f t="array" ref="I132">IF(E132&gt;0,G132-H132,NA)</f>
        <v>#NAME?</v>
      </c>
      <c r="J132" s="1" t="e" cm="1">
        <f t="array" ref="J132">IF(E132&gt;0,F132-I132,NA)</f>
        <v>#NAME?</v>
      </c>
    </row>
    <row r="133" spans="5:10">
      <c r="E133">
        <f>IF($B$96&gt;=43,43,0)</f>
        <v>0</v>
      </c>
      <c r="F133" s="1" t="e" cm="1">
        <f t="array" ref="F133">IF(E133&gt;1, J132, NA)</f>
        <v>#NAME?</v>
      </c>
      <c r="G133" s="1">
        <f t="shared" si="11"/>
        <v>0</v>
      </c>
      <c r="H133" s="1">
        <f t="shared" si="12"/>
        <v>0</v>
      </c>
      <c r="I133" s="1" t="e" cm="1">
        <f t="array" ref="I133">IF(E133&gt;0,G133-H133,NA)</f>
        <v>#NAME?</v>
      </c>
      <c r="J133" s="1" t="e" cm="1">
        <f t="array" ref="J133">IF(E133&gt;0,F133-I133,NA)</f>
        <v>#NAME?</v>
      </c>
    </row>
    <row r="134" spans="5:10">
      <c r="E134">
        <f>IF($B$96&gt;=44,44,0)</f>
        <v>0</v>
      </c>
      <c r="F134" s="1" t="e" cm="1">
        <f t="array" ref="F134">IF(E134&gt;1, J133, NA)</f>
        <v>#NAME?</v>
      </c>
      <c r="G134" s="1">
        <f t="shared" si="11"/>
        <v>0</v>
      </c>
      <c r="H134" s="1">
        <f t="shared" si="12"/>
        <v>0</v>
      </c>
      <c r="I134" s="1" t="e" cm="1">
        <f t="array" ref="I134">IF(E134&gt;0,G134-H134,NA)</f>
        <v>#NAME?</v>
      </c>
      <c r="J134" s="1" t="e" cm="1">
        <f t="array" ref="J134">IF(E134&gt;0,F134-I134,NA)</f>
        <v>#NAME?</v>
      </c>
    </row>
    <row r="135" spans="5:10">
      <c r="E135">
        <f>IF($B$96&gt;=45,45,0)</f>
        <v>0</v>
      </c>
      <c r="F135" s="1" t="e" cm="1">
        <f t="array" ref="F135">IF(E135&gt;1, J134, NA)</f>
        <v>#NAME?</v>
      </c>
      <c r="G135" s="1">
        <f t="shared" si="11"/>
        <v>0</v>
      </c>
      <c r="H135" s="1">
        <f t="shared" si="12"/>
        <v>0</v>
      </c>
      <c r="I135" s="1" t="e" cm="1">
        <f t="array" ref="I135">IF(E135&gt;0,G135-H135,NA)</f>
        <v>#NAME?</v>
      </c>
      <c r="J135" s="1" t="e" cm="1">
        <f t="array" ref="J135">IF(E135&gt;0,F135-I135,NA)</f>
        <v>#NAME?</v>
      </c>
    </row>
    <row r="136" spans="5:10">
      <c r="E136">
        <f>IF($B$96&gt;=46,46,0)</f>
        <v>0</v>
      </c>
      <c r="F136" s="1" t="e" cm="1">
        <f t="array" ref="F136">IF(E136&gt;1, J135, NA)</f>
        <v>#NAME?</v>
      </c>
      <c r="G136" s="1">
        <f t="shared" si="11"/>
        <v>0</v>
      </c>
      <c r="H136" s="1">
        <f t="shared" si="12"/>
        <v>0</v>
      </c>
      <c r="I136" s="1" t="e" cm="1">
        <f t="array" ref="I136">IF(E136&gt;0,G136-H136,NA)</f>
        <v>#NAME?</v>
      </c>
      <c r="J136" s="1" t="e" cm="1">
        <f t="array" ref="J136">IF(E136&gt;0,F136-I136,NA)</f>
        <v>#NAME?</v>
      </c>
    </row>
    <row r="137" spans="5:10">
      <c r="E137">
        <f>IF($B$96&gt;=47,47,0)</f>
        <v>0</v>
      </c>
      <c r="F137" s="1" t="e" cm="1">
        <f t="array" ref="F137">IF(E137&gt;1, J136, NA)</f>
        <v>#NAME?</v>
      </c>
      <c r="G137" s="1">
        <f t="shared" si="11"/>
        <v>0</v>
      </c>
      <c r="H137" s="1">
        <f t="shared" si="12"/>
        <v>0</v>
      </c>
      <c r="I137" s="1" t="e" cm="1">
        <f t="array" ref="I137">IF(E137&gt;0,G137-H137,NA)</f>
        <v>#NAME?</v>
      </c>
      <c r="J137" s="1" t="e" cm="1">
        <f t="array" ref="J137">IF(E137&gt;0,F137-I137,NA)</f>
        <v>#NAME?</v>
      </c>
    </row>
    <row r="138" spans="5:10">
      <c r="E138">
        <f>IF($B$96&gt;=48,48,0)</f>
        <v>0</v>
      </c>
      <c r="F138" s="1" t="e" cm="1">
        <f t="array" ref="F138">IF(E138&gt;1, J137, NA)</f>
        <v>#NAME?</v>
      </c>
      <c r="G138" s="1">
        <f t="shared" si="11"/>
        <v>0</v>
      </c>
      <c r="H138" s="1">
        <f t="shared" si="12"/>
        <v>0</v>
      </c>
      <c r="I138" s="1" t="e" cm="1">
        <f t="array" ref="I138">IF(E138&gt;0,G138-H138,NA)</f>
        <v>#NAME?</v>
      </c>
      <c r="J138" s="1" t="e" cm="1">
        <f t="array" ref="J138">IF(E138&gt;0,F138-I138,NA)</f>
        <v>#NAME?</v>
      </c>
    </row>
    <row r="139" spans="5:10">
      <c r="E139">
        <f>IF($B$96&gt;=49,49,0)</f>
        <v>0</v>
      </c>
      <c r="F139" s="1" t="e" cm="1">
        <f t="array" ref="F139">IF(E139&gt;1, J138, NA)</f>
        <v>#NAME?</v>
      </c>
      <c r="G139" s="1">
        <f t="shared" si="11"/>
        <v>0</v>
      </c>
      <c r="H139" s="1">
        <f t="shared" si="12"/>
        <v>0</v>
      </c>
      <c r="I139" s="1" t="e" cm="1">
        <f t="array" ref="I139">IF(E139&gt;0,G139-H139,NA)</f>
        <v>#NAME?</v>
      </c>
      <c r="J139" s="1" t="e" cm="1">
        <f t="array" ref="J139">IF(E139&gt;0,F139-I139,NA)</f>
        <v>#NAME?</v>
      </c>
    </row>
    <row r="140" spans="5:10">
      <c r="E140">
        <f>IF($B$96&gt;=50,50,0)</f>
        <v>0</v>
      </c>
      <c r="F140" s="1" t="e" cm="1">
        <f t="array" ref="F140">IF(E140&gt;1, J139, NA)</f>
        <v>#NAME?</v>
      </c>
      <c r="G140" s="1">
        <f t="shared" si="11"/>
        <v>0</v>
      </c>
      <c r="H140" s="1">
        <f t="shared" si="12"/>
        <v>0</v>
      </c>
      <c r="I140" s="1" t="e" cm="1">
        <f t="array" ref="I140">IF(E140&gt;0,G140-H140,NA)</f>
        <v>#NAME?</v>
      </c>
      <c r="J140" s="1" t="e" cm="1">
        <f t="array" ref="J140">IF(E140&gt;0,F140-I140,NA)</f>
        <v>#NAME?</v>
      </c>
    </row>
    <row r="141" spans="5:10">
      <c r="E141">
        <f>IF($B$96&gt;=51,51,0)</f>
        <v>0</v>
      </c>
      <c r="F141" s="1" t="e" cm="1">
        <f t="array" ref="F141">IF(E141&gt;1, J140, NA)</f>
        <v>#NAME?</v>
      </c>
      <c r="G141" s="1">
        <f t="shared" si="11"/>
        <v>0</v>
      </c>
      <c r="H141" s="1">
        <f t="shared" si="12"/>
        <v>0</v>
      </c>
      <c r="I141" s="1" t="e" cm="1">
        <f t="array" ref="I141">IF(E141&gt;0,G141-H141,NA)</f>
        <v>#NAME?</v>
      </c>
      <c r="J141" s="1" t="e" cm="1">
        <f t="array" ref="J141">IF(E141&gt;0,F141-I141,NA)</f>
        <v>#NAME?</v>
      </c>
    </row>
    <row r="142" spans="5:10">
      <c r="E142">
        <f>IF($B$96&gt;=52,52,0)</f>
        <v>0</v>
      </c>
      <c r="F142" s="1" t="e" cm="1">
        <f t="array" ref="F142">IF(E142&gt;1, J141, NA)</f>
        <v>#NAME?</v>
      </c>
      <c r="G142" s="1">
        <f t="shared" si="11"/>
        <v>0</v>
      </c>
      <c r="H142" s="1">
        <f t="shared" si="12"/>
        <v>0</v>
      </c>
      <c r="I142" s="1" t="e" cm="1">
        <f t="array" ref="I142">IF(E142&gt;0,G142-H142,NA)</f>
        <v>#NAME?</v>
      </c>
      <c r="J142" s="1" t="e" cm="1">
        <f t="array" ref="J142">IF(E142&gt;0,F142-I142,NA)</f>
        <v>#NAME?</v>
      </c>
    </row>
    <row r="143" spans="5:10">
      <c r="E143">
        <f>IF($B$96&gt;=53,53,0)</f>
        <v>0</v>
      </c>
      <c r="F143" s="1" t="e" cm="1">
        <f t="array" ref="F143">IF(E143&gt;1, J142, NA)</f>
        <v>#NAME?</v>
      </c>
      <c r="G143" s="1">
        <f t="shared" si="11"/>
        <v>0</v>
      </c>
      <c r="H143" s="1">
        <f t="shared" si="12"/>
        <v>0</v>
      </c>
      <c r="I143" s="1" t="e" cm="1">
        <f t="array" ref="I143">IF(E143&gt;0,G143-H143,NA)</f>
        <v>#NAME?</v>
      </c>
      <c r="J143" s="1" t="e" cm="1">
        <f t="array" ref="J143">IF(E143&gt;0,F143-I143,NA)</f>
        <v>#NAME?</v>
      </c>
    </row>
    <row r="144" spans="5:10">
      <c r="E144">
        <f>IF($B$96&gt;=54,54,0)</f>
        <v>0</v>
      </c>
      <c r="F144" s="1" t="e" cm="1">
        <f t="array" ref="F144">IF(E144&gt;1, J143, NA)</f>
        <v>#NAME?</v>
      </c>
      <c r="G144" s="1">
        <f t="shared" si="11"/>
        <v>0</v>
      </c>
      <c r="H144" s="1">
        <f t="shared" si="12"/>
        <v>0</v>
      </c>
      <c r="I144" s="1" t="e" cm="1">
        <f t="array" ref="I144">IF(E144&gt;0,G144-H144,NA)</f>
        <v>#NAME?</v>
      </c>
      <c r="J144" s="1" t="e" cm="1">
        <f t="array" ref="J144">IF(E144&gt;0,F144-I144,NA)</f>
        <v>#NAME?</v>
      </c>
    </row>
    <row r="145" spans="5:10">
      <c r="E145">
        <f>IF($B$96&gt;=55,55,0)</f>
        <v>0</v>
      </c>
      <c r="F145" s="1" t="e" cm="1">
        <f t="array" ref="F145">IF(E145&gt;1, J144, NA)</f>
        <v>#NAME?</v>
      </c>
      <c r="G145" s="1">
        <f t="shared" si="11"/>
        <v>0</v>
      </c>
      <c r="H145" s="1">
        <f t="shared" si="12"/>
        <v>0</v>
      </c>
      <c r="I145" s="1" t="e" cm="1">
        <f t="array" ref="I145">IF(E145&gt;0,G145-H145,NA)</f>
        <v>#NAME?</v>
      </c>
      <c r="J145" s="1" t="e" cm="1">
        <f t="array" ref="J145">IF(E145&gt;0,F145-I145,NA)</f>
        <v>#NAME?</v>
      </c>
    </row>
    <row r="146" spans="5:10">
      <c r="E146">
        <f>IF($B$96&gt;=56,56,0)</f>
        <v>0</v>
      </c>
      <c r="F146" s="1" t="e" cm="1">
        <f t="array" ref="F146">IF(E146&gt;1, J145, NA)</f>
        <v>#NAME?</v>
      </c>
      <c r="G146" s="1">
        <f t="shared" si="11"/>
        <v>0</v>
      </c>
      <c r="H146" s="1">
        <f t="shared" si="12"/>
        <v>0</v>
      </c>
      <c r="I146" s="1" t="e" cm="1">
        <f t="array" ref="I146">IF(E146&gt;0,G146-H146,NA)</f>
        <v>#NAME?</v>
      </c>
      <c r="J146" s="1" t="e" cm="1">
        <f t="array" ref="J146">IF(E146&gt;0,F146-I146,NA)</f>
        <v>#NAME?</v>
      </c>
    </row>
    <row r="147" spans="5:10">
      <c r="E147">
        <f>IF($B$96&gt;= 57,57,0)</f>
        <v>0</v>
      </c>
      <c r="F147" s="1" t="e" cm="1">
        <f t="array" ref="F147">IF(E147&gt;1, J146, NA)</f>
        <v>#NAME?</v>
      </c>
      <c r="G147" s="1">
        <f t="shared" si="11"/>
        <v>0</v>
      </c>
      <c r="H147" s="1">
        <f t="shared" si="12"/>
        <v>0</v>
      </c>
      <c r="I147" s="1" t="e" cm="1">
        <f t="array" ref="I147">IF(E147&gt;0,G147-H147,NA)</f>
        <v>#NAME?</v>
      </c>
      <c r="J147" s="1" t="e" cm="1">
        <f t="array" ref="J147">IF(E147&gt;0,F147-I147,NA)</f>
        <v>#NAME?</v>
      </c>
    </row>
    <row r="148" spans="5:10">
      <c r="E148">
        <f>IF($B$96&gt;=58,58,0)</f>
        <v>0</v>
      </c>
      <c r="F148" s="1" t="e" cm="1">
        <f t="array" ref="F148">IF(E148&gt;1, J147, NA)</f>
        <v>#NAME?</v>
      </c>
      <c r="G148" s="1">
        <f t="shared" si="11"/>
        <v>0</v>
      </c>
      <c r="H148" s="1">
        <f t="shared" si="12"/>
        <v>0</v>
      </c>
      <c r="I148" s="1" t="e" cm="1">
        <f t="array" ref="I148">IF(E148&gt;0,G148-H148,NA)</f>
        <v>#NAME?</v>
      </c>
      <c r="J148" s="1" t="e" cm="1">
        <f t="array" ref="J148">IF(E148&gt;0,F148-I148,NA)</f>
        <v>#NAME?</v>
      </c>
    </row>
    <row r="149" spans="5:10">
      <c r="E149">
        <f>IF($B$96&gt;=59,59,0)</f>
        <v>0</v>
      </c>
      <c r="F149" s="1" t="e" cm="1">
        <f t="array" ref="F149">IF(E149&gt;1, J148, NA)</f>
        <v>#NAME?</v>
      </c>
      <c r="G149" s="1">
        <f t="shared" si="11"/>
        <v>0</v>
      </c>
      <c r="H149" s="1">
        <f t="shared" si="12"/>
        <v>0</v>
      </c>
      <c r="I149" s="1" t="e" cm="1">
        <f t="array" ref="I149">IF(E149&gt;0,G149-H149,NA)</f>
        <v>#NAME?</v>
      </c>
      <c r="J149" s="1" t="e" cm="1">
        <f t="array" ref="J149">IF(E149&gt;0,F149-I149,NA)</f>
        <v>#NAME?</v>
      </c>
    </row>
  </sheetData>
  <dataValidations count="6">
    <dataValidation type="list" allowBlank="1" showInputMessage="1" showErrorMessage="1" promptTitle="Pick Payment Period PrettyPlease" sqref="AT2" xr:uid="{C1E65695-4B65-4B91-A47F-414FFCBE0FEF}">
      <formula1>$AS$2:$AS$5</formula1>
    </dataValidation>
    <dataValidation type="list" allowBlank="1" showInputMessage="1" showErrorMessage="1" promptTitle="PPPPP" prompt="Pick Payment Period Pretty Please " sqref="B26 B93" xr:uid="{C42A7DDB-1C64-4F69-93CD-605D3E556C8B}">
      <formula1>$AS$2:$AS$5</formula1>
    </dataValidation>
    <dataValidation type="list" allowBlank="1" showInputMessage="1" showErrorMessage="1" sqref="AX2" xr:uid="{7A78D7D5-F51A-4C4F-900F-CAAA73684F3C}">
      <formula1>$AY$2:$AY$4</formula1>
    </dataValidation>
    <dataValidation type="list" allowBlank="1" showInputMessage="1" showErrorMessage="1" sqref="C2" xr:uid="{DFB34600-4A8F-4981-85AD-6ACF7E0F82A8}">
      <formula1>$AU$2:$AU$4</formula1>
    </dataValidation>
    <dataValidation type="list" allowBlank="1" showInputMessage="1" showErrorMessage="1" sqref="C3 E3" xr:uid="{415DCF9B-41E6-4144-9CA4-904296DA4641}">
      <formula1>$AV$2:$AV$6</formula1>
    </dataValidation>
    <dataValidation type="list" allowBlank="1" showInputMessage="1" showErrorMessage="1" sqref="C7 E7" xr:uid="{6909DB32-A4E6-4F63-8F94-193E2D7AF008}">
      <formula1>$AS$2:$AS$5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9742-965B-440B-AD1D-6BE502F2C3B6}">
  <dimension ref="A1:U74"/>
  <sheetViews>
    <sheetView zoomScale="70" workbookViewId="0">
      <selection activeCell="D31" sqref="D31"/>
    </sheetView>
  </sheetViews>
  <sheetFormatPr defaultColWidth="8.81640625" defaultRowHeight="14.5"/>
  <cols>
    <col min="1" max="1" width="27" bestFit="1" customWidth="1"/>
    <col min="2" max="2" width="9.81640625" bestFit="1" customWidth="1"/>
    <col min="5" max="5" width="12.08984375" customWidth="1"/>
    <col min="6" max="6" width="20.453125" customWidth="1"/>
    <col min="9" max="9" width="9.81640625" bestFit="1" customWidth="1"/>
    <col min="12" max="12" width="34.81640625" customWidth="1"/>
    <col min="13" max="13" width="23.453125" bestFit="1" customWidth="1"/>
    <col min="15" max="15" width="19.81640625" customWidth="1"/>
    <col min="16" max="16" width="12.08984375" customWidth="1"/>
    <col min="17" max="17" width="20.36328125" customWidth="1"/>
  </cols>
  <sheetData>
    <row r="1" spans="1:21">
      <c r="A1" s="9" t="s">
        <v>60</v>
      </c>
      <c r="B1" s="9"/>
      <c r="C1" s="9"/>
      <c r="D1" s="9"/>
      <c r="L1" s="9" t="s">
        <v>60</v>
      </c>
      <c r="M1" s="9"/>
      <c r="N1" s="9"/>
      <c r="O1" s="9"/>
      <c r="U1" s="9" t="s">
        <v>372</v>
      </c>
    </row>
    <row r="2" spans="1:21">
      <c r="A2" t="s">
        <v>371</v>
      </c>
      <c r="G2" s="14" t="s">
        <v>61</v>
      </c>
      <c r="H2" s="14"/>
      <c r="L2" t="s">
        <v>376</v>
      </c>
      <c r="R2" s="14" t="s">
        <v>61</v>
      </c>
      <c r="S2" s="14"/>
      <c r="U2" t="s">
        <v>373</v>
      </c>
    </row>
    <row r="3" spans="1:21">
      <c r="A3" s="8" t="s">
        <v>62</v>
      </c>
      <c r="B3" s="8">
        <v>1000</v>
      </c>
      <c r="G3" s="13" t="s">
        <v>63</v>
      </c>
      <c r="H3" s="13">
        <v>1</v>
      </c>
      <c r="L3" s="8" t="s">
        <v>62</v>
      </c>
      <c r="M3" s="8">
        <v>1000</v>
      </c>
      <c r="R3" s="13" t="s">
        <v>63</v>
      </c>
      <c r="S3" s="13">
        <v>1</v>
      </c>
      <c r="U3" t="s">
        <v>379</v>
      </c>
    </row>
    <row r="4" spans="1:21">
      <c r="A4" s="11" t="s">
        <v>64</v>
      </c>
      <c r="B4" s="19">
        <v>85</v>
      </c>
      <c r="G4" s="13" t="s">
        <v>65</v>
      </c>
      <c r="H4" s="13">
        <v>2</v>
      </c>
      <c r="L4" s="11" t="s">
        <v>64</v>
      </c>
      <c r="M4" s="19">
        <v>85</v>
      </c>
      <c r="R4" s="13" t="s">
        <v>65</v>
      </c>
      <c r="S4" s="13">
        <v>2</v>
      </c>
    </row>
    <row r="5" spans="1:21">
      <c r="A5" s="11" t="s">
        <v>66</v>
      </c>
      <c r="B5" s="19">
        <v>2</v>
      </c>
      <c r="G5" s="13" t="s">
        <v>67</v>
      </c>
      <c r="H5" s="13">
        <v>4</v>
      </c>
      <c r="L5" s="11" t="s">
        <v>66</v>
      </c>
      <c r="M5" s="19">
        <v>2</v>
      </c>
      <c r="R5" s="13" t="s">
        <v>67</v>
      </c>
      <c r="S5" s="13">
        <v>4</v>
      </c>
    </row>
    <row r="6" spans="1:21">
      <c r="A6" s="11"/>
      <c r="B6" s="12" t="s">
        <v>68</v>
      </c>
      <c r="C6" s="12" t="s">
        <v>69</v>
      </c>
      <c r="G6" s="13" t="s">
        <v>70</v>
      </c>
      <c r="H6" s="13">
        <v>12</v>
      </c>
      <c r="L6" s="11"/>
      <c r="M6" s="12" t="s">
        <v>68</v>
      </c>
      <c r="N6" s="12" t="s">
        <v>69</v>
      </c>
      <c r="R6" s="13" t="s">
        <v>70</v>
      </c>
      <c r="S6" s="13">
        <v>12</v>
      </c>
    </row>
    <row r="7" spans="1:21">
      <c r="A7" s="11" t="s">
        <v>71</v>
      </c>
      <c r="B7" s="19" t="s">
        <v>63</v>
      </c>
      <c r="C7" s="11">
        <f>_xlfn.XLOOKUP(B7,G3:G6,H3:H6)</f>
        <v>1</v>
      </c>
      <c r="L7" s="11" t="s">
        <v>71</v>
      </c>
      <c r="M7" s="19" t="s">
        <v>63</v>
      </c>
      <c r="N7" s="11">
        <f>_xlfn.XLOOKUP(M7,R3:R6,S3:S6)</f>
        <v>1</v>
      </c>
    </row>
    <row r="8" spans="1:21">
      <c r="A8" s="11" t="s">
        <v>72</v>
      </c>
      <c r="B8" s="20">
        <v>0.14621100000000001</v>
      </c>
      <c r="L8" s="11" t="s">
        <v>72</v>
      </c>
      <c r="M8" s="20">
        <v>0.11459999999999999</v>
      </c>
    </row>
    <row r="11" spans="1:21">
      <c r="A11" s="10" t="s">
        <v>73</v>
      </c>
      <c r="B11" s="10"/>
      <c r="C11" s="10"/>
      <c r="D11" s="10"/>
      <c r="L11" s="10" t="s">
        <v>73</v>
      </c>
      <c r="M11" s="10"/>
      <c r="N11" s="10"/>
      <c r="O11" s="10"/>
    </row>
    <row r="12" spans="1:21">
      <c r="A12" s="15" t="s">
        <v>74</v>
      </c>
      <c r="B12" s="16">
        <f>B4/B3</f>
        <v>8.5000000000000006E-2</v>
      </c>
      <c r="C12" s="15"/>
      <c r="D12" s="15"/>
      <c r="L12" s="15" t="s">
        <v>74</v>
      </c>
      <c r="M12" s="16">
        <f>M4/M3</f>
        <v>8.5000000000000006E-2</v>
      </c>
      <c r="N12" s="15"/>
      <c r="O12" s="15"/>
    </row>
    <row r="13" spans="1:21">
      <c r="A13" s="15" t="s">
        <v>75</v>
      </c>
      <c r="B13" s="16">
        <f>(B4/C7)/B3</f>
        <v>8.5000000000000006E-2</v>
      </c>
      <c r="C13" s="15"/>
      <c r="D13" s="15"/>
      <c r="L13" s="15" t="s">
        <v>75</v>
      </c>
      <c r="M13" s="16">
        <f>(M4/N7)/M3</f>
        <v>8.5000000000000006E-2</v>
      </c>
      <c r="N13" s="15"/>
      <c r="O13" s="15"/>
    </row>
    <row r="14" spans="1:21">
      <c r="A14" s="15" t="s">
        <v>76</v>
      </c>
      <c r="B14" s="15">
        <f>B4/C7</f>
        <v>85</v>
      </c>
      <c r="C14" s="15"/>
      <c r="D14" s="15"/>
      <c r="L14" s="15" t="s">
        <v>76</v>
      </c>
      <c r="M14" s="15">
        <f>M4/N7</f>
        <v>85</v>
      </c>
      <c r="N14" s="15"/>
      <c r="O14" s="15"/>
    </row>
    <row r="17" spans="1:20">
      <c r="A17" s="10" t="s">
        <v>77</v>
      </c>
      <c r="B17" s="10"/>
      <c r="C17" s="10"/>
      <c r="D17" s="10"/>
      <c r="L17" s="10" t="s">
        <v>77</v>
      </c>
      <c r="M17" s="10"/>
      <c r="N17" s="10"/>
      <c r="O17" s="10"/>
    </row>
    <row r="18" spans="1:20">
      <c r="A18" s="15" t="s">
        <v>78</v>
      </c>
      <c r="B18" s="16">
        <f>B8/C7</f>
        <v>0.14621100000000001</v>
      </c>
      <c r="C18" s="15"/>
      <c r="D18" s="15"/>
      <c r="E18" t="s">
        <v>416</v>
      </c>
      <c r="L18" s="15" t="s">
        <v>78</v>
      </c>
      <c r="M18" s="16">
        <f>M8/N7</f>
        <v>0.11459999999999999</v>
      </c>
      <c r="N18" s="15"/>
      <c r="O18" s="15"/>
    </row>
    <row r="19" spans="1:20">
      <c r="A19" s="15" t="s">
        <v>79</v>
      </c>
      <c r="B19" s="15">
        <f>B5/C7</f>
        <v>2</v>
      </c>
      <c r="C19" s="15"/>
      <c r="D19" s="15"/>
      <c r="L19" s="15" t="s">
        <v>79</v>
      </c>
      <c r="M19" s="15">
        <f>M5/N7</f>
        <v>2</v>
      </c>
      <c r="N19" s="15"/>
      <c r="O19" s="15"/>
    </row>
    <row r="20" spans="1:20">
      <c r="A20" s="15" t="s">
        <v>80</v>
      </c>
      <c r="B20" s="17">
        <f>-PV(B18,B19,B14,B3)</f>
        <v>900.00627502911811</v>
      </c>
      <c r="C20" s="15" t="s">
        <v>81</v>
      </c>
      <c r="D20" s="15"/>
      <c r="L20" s="15" t="s">
        <v>80</v>
      </c>
      <c r="M20" s="17">
        <f>-PV(M18,M19,M14,M3)</f>
        <v>949.61725081861289</v>
      </c>
      <c r="N20" s="15" t="s">
        <v>81</v>
      </c>
      <c r="O20" s="15"/>
    </row>
    <row r="21" spans="1:20">
      <c r="A21" s="15" t="s">
        <v>211</v>
      </c>
      <c r="F21" s="127" t="s">
        <v>507</v>
      </c>
    </row>
    <row r="22" spans="1:20">
      <c r="A22" s="18" t="s">
        <v>82</v>
      </c>
      <c r="B22" s="18"/>
      <c r="C22" s="18"/>
      <c r="D22" s="18"/>
      <c r="F22" s="92" t="s">
        <v>374</v>
      </c>
      <c r="G22" s="18"/>
      <c r="H22" s="18"/>
      <c r="I22" s="18"/>
      <c r="J22" s="18"/>
      <c r="L22" s="18" t="s">
        <v>82</v>
      </c>
      <c r="M22" s="18"/>
      <c r="N22" s="18"/>
      <c r="O22" s="18"/>
      <c r="Q22" s="92"/>
      <c r="R22" s="18"/>
      <c r="S22" s="18"/>
      <c r="T22" s="18"/>
    </row>
    <row r="23" spans="1:20">
      <c r="F23" s="11" t="s">
        <v>64</v>
      </c>
      <c r="G23" s="11"/>
      <c r="H23" s="11"/>
      <c r="I23" s="19">
        <v>85</v>
      </c>
      <c r="Q23" s="11"/>
      <c r="R23" s="11"/>
      <c r="S23" s="11"/>
      <c r="T23" s="19"/>
    </row>
    <row r="24" spans="1:20">
      <c r="A24" t="s">
        <v>83</v>
      </c>
      <c r="B24" s="1">
        <f>B20</f>
        <v>900.00627502911811</v>
      </c>
      <c r="F24" s="11" t="s">
        <v>66</v>
      </c>
      <c r="G24" s="11"/>
      <c r="H24" s="11"/>
      <c r="I24" s="19">
        <v>2</v>
      </c>
      <c r="L24" t="s">
        <v>386</v>
      </c>
      <c r="M24" s="1">
        <f>M20</f>
        <v>949.61725081861289</v>
      </c>
      <c r="Q24" s="11"/>
      <c r="R24" s="11"/>
      <c r="S24" s="11"/>
      <c r="T24" s="19"/>
    </row>
    <row r="25" spans="1:20">
      <c r="A25" t="s">
        <v>84</v>
      </c>
      <c r="B25">
        <f>B19</f>
        <v>2</v>
      </c>
      <c r="F25" s="11"/>
      <c r="G25" s="11"/>
      <c r="H25" s="11"/>
      <c r="I25" s="12" t="s">
        <v>68</v>
      </c>
      <c r="J25" s="12" t="s">
        <v>69</v>
      </c>
      <c r="L25" t="s">
        <v>84</v>
      </c>
      <c r="M25">
        <f>M19</f>
        <v>2</v>
      </c>
      <c r="Q25" s="11"/>
      <c r="R25" s="11"/>
      <c r="S25" s="11"/>
      <c r="T25" s="12"/>
    </row>
    <row r="26" spans="1:20">
      <c r="F26" s="11" t="s">
        <v>71</v>
      </c>
      <c r="G26" s="11"/>
      <c r="H26" s="11"/>
      <c r="I26" s="19" t="s">
        <v>63</v>
      </c>
      <c r="J26" s="11">
        <f>_xlfn.XLOOKUP(I26,G3:G6,H3:H6)</f>
        <v>1</v>
      </c>
      <c r="Q26" s="11"/>
      <c r="R26" s="11"/>
      <c r="S26" s="11"/>
      <c r="T26" s="19"/>
    </row>
    <row r="27" spans="1:20">
      <c r="A27" t="s">
        <v>85</v>
      </c>
      <c r="C27" s="21">
        <f>(B14+(B3-B24)/B25)/((0.6*B24)+(0.4*B3))</f>
        <v>0.14361310827614812</v>
      </c>
      <c r="F27" s="11" t="s">
        <v>86</v>
      </c>
      <c r="I27" s="22">
        <v>900</v>
      </c>
      <c r="L27" t="s">
        <v>85</v>
      </c>
      <c r="N27" s="21">
        <f>(M14+(M3-M24)/M25)/((0.6*M24)+(0.4*M3))</f>
        <v>0.11362625649967954</v>
      </c>
      <c r="Q27" s="11"/>
      <c r="R27" s="11"/>
      <c r="S27" s="11"/>
      <c r="T27" s="20"/>
    </row>
    <row r="28" spans="1:20">
      <c r="F28" s="11" t="s">
        <v>87</v>
      </c>
      <c r="I28">
        <v>85</v>
      </c>
      <c r="Q28" s="11"/>
      <c r="T28" s="22"/>
    </row>
    <row r="29" spans="1:20">
      <c r="F29" s="11" t="s">
        <v>88</v>
      </c>
      <c r="I29">
        <v>2</v>
      </c>
      <c r="Q29" s="11"/>
    </row>
    <row r="30" spans="1:20">
      <c r="L30" t="s">
        <v>377</v>
      </c>
      <c r="M30" s="61">
        <f>(N27-C27)/C27</f>
        <v>-0.20880302735881195</v>
      </c>
      <c r="Q30" s="11"/>
    </row>
    <row r="31" spans="1:20">
      <c r="G31" t="s">
        <v>85</v>
      </c>
      <c r="H31" s="21">
        <f>(I28+(B3-I27)/I29)/((0.6*I27)+(0.4*B3))</f>
        <v>0.14361702127659576</v>
      </c>
      <c r="L31" t="s">
        <v>378</v>
      </c>
      <c r="M31" s="61">
        <f>(C27-N27)/C27</f>
        <v>0.20880302735881195</v>
      </c>
    </row>
    <row r="33" spans="1:14">
      <c r="D33" t="s">
        <v>375</v>
      </c>
      <c r="I33" t="s">
        <v>506</v>
      </c>
    </row>
    <row r="34" spans="1:14">
      <c r="E34" s="1">
        <f>-PV(H31,B25,B14,B3)</f>
        <v>903.9251487290428</v>
      </c>
    </row>
    <row r="40" spans="1:14">
      <c r="A40" t="s">
        <v>387</v>
      </c>
      <c r="B40" t="s">
        <v>390</v>
      </c>
      <c r="I40" t="s">
        <v>391</v>
      </c>
      <c r="M40" t="s">
        <v>392</v>
      </c>
      <c r="N40">
        <v>1000</v>
      </c>
    </row>
    <row r="41" spans="1:14">
      <c r="A41" t="s">
        <v>221</v>
      </c>
      <c r="B41" t="s">
        <v>398</v>
      </c>
      <c r="I41" t="s">
        <v>399</v>
      </c>
      <c r="M41" t="s">
        <v>393</v>
      </c>
      <c r="N41">
        <v>0.08</v>
      </c>
    </row>
    <row r="42" spans="1:14">
      <c r="A42" t="s">
        <v>388</v>
      </c>
      <c r="B42" t="s">
        <v>400</v>
      </c>
      <c r="D42" t="s">
        <v>403</v>
      </c>
      <c r="M42" t="s">
        <v>394</v>
      </c>
      <c r="N42">
        <v>4</v>
      </c>
    </row>
    <row r="43" spans="1:14">
      <c r="A43" t="s">
        <v>397</v>
      </c>
      <c r="B43" t="s">
        <v>407</v>
      </c>
    </row>
    <row r="46" spans="1:14">
      <c r="A46" t="s">
        <v>401</v>
      </c>
      <c r="B46" t="s">
        <v>402</v>
      </c>
    </row>
    <row r="47" spans="1:14">
      <c r="L47" t="s">
        <v>395</v>
      </c>
      <c r="M47" t="s">
        <v>396</v>
      </c>
    </row>
    <row r="49" spans="1:10">
      <c r="E49">
        <v>0</v>
      </c>
      <c r="F49">
        <v>1</v>
      </c>
      <c r="G49">
        <v>2</v>
      </c>
      <c r="H49">
        <v>4</v>
      </c>
      <c r="I49">
        <v>5</v>
      </c>
      <c r="J49">
        <v>6</v>
      </c>
    </row>
    <row r="50" spans="1:10">
      <c r="B50" t="s">
        <v>404</v>
      </c>
      <c r="C50">
        <v>1000</v>
      </c>
      <c r="E50">
        <v>-1000</v>
      </c>
      <c r="F50">
        <v>200</v>
      </c>
      <c r="G50">
        <v>550</v>
      </c>
      <c r="H50">
        <v>400</v>
      </c>
      <c r="I50">
        <v>600</v>
      </c>
      <c r="J50">
        <v>800</v>
      </c>
    </row>
    <row r="51" spans="1:10">
      <c r="C51">
        <f>200+550+400+600+800</f>
        <v>2550</v>
      </c>
      <c r="E51" s="1">
        <f>PV($C$52,E49,,$C$50)</f>
        <v>-1000</v>
      </c>
      <c r="F51" s="1">
        <f t="shared" ref="F51:I51" si="0">PV($C$52,F49,,$C$50)</f>
        <v>-943.39622641509425</v>
      </c>
      <c r="G51" s="1">
        <f t="shared" si="0"/>
        <v>-889.99644001423985</v>
      </c>
      <c r="H51" s="1">
        <f t="shared" si="0"/>
        <v>-792.09366323802044</v>
      </c>
      <c r="I51" s="1">
        <f t="shared" si="0"/>
        <v>-747.25817286605684</v>
      </c>
    </row>
    <row r="52" spans="1:10">
      <c r="B52" t="s">
        <v>405</v>
      </c>
      <c r="C52" s="35">
        <v>0.06</v>
      </c>
    </row>
    <row r="54" spans="1:10">
      <c r="A54" t="s">
        <v>388</v>
      </c>
      <c r="B54" s="35">
        <f>IRR(E50:J50,C52)</f>
        <v>0.33684574088672226</v>
      </c>
      <c r="C54" t="s">
        <v>406</v>
      </c>
      <c r="G54" t="s">
        <v>409</v>
      </c>
    </row>
    <row r="56" spans="1:10">
      <c r="B56" t="s">
        <v>389</v>
      </c>
      <c r="C56">
        <f>(SUM(E50:J50)/(1+C52))/C50</f>
        <v>1.462264150943396</v>
      </c>
    </row>
    <row r="59" spans="1:10">
      <c r="B59" t="s">
        <v>408</v>
      </c>
    </row>
    <row r="74" spans="2:2">
      <c r="B74" t="s">
        <v>437</v>
      </c>
    </row>
  </sheetData>
  <dataValidations count="1">
    <dataValidation type="list" allowBlank="1" showInputMessage="1" showErrorMessage="1" sqref="B7 I26 M7 T26" xr:uid="{B68FA01F-9B65-4E6F-B7F4-4BDF5E17C2FB}">
      <formula1>$G$3:$G$6</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BB31-CE8D-4F8D-B919-CA041F5444D7}">
  <dimension ref="A1:H50"/>
  <sheetViews>
    <sheetView topLeftCell="AT42" zoomScale="79" workbookViewId="0">
      <selection activeCell="K38" sqref="K38"/>
    </sheetView>
  </sheetViews>
  <sheetFormatPr defaultColWidth="8.81640625" defaultRowHeight="14.5"/>
  <cols>
    <col min="1" max="1" width="25.08984375" customWidth="1"/>
    <col min="2" max="2" width="20" bestFit="1" customWidth="1"/>
  </cols>
  <sheetData>
    <row r="1" spans="1:8">
      <c r="A1" s="32" t="s">
        <v>89</v>
      </c>
      <c r="B1" s="32"/>
      <c r="C1" s="32"/>
    </row>
    <row r="2" spans="1:8">
      <c r="A2" s="32" t="s">
        <v>90</v>
      </c>
      <c r="B2" s="32"/>
      <c r="C2" s="32"/>
      <c r="G2" s="14" t="s">
        <v>61</v>
      </c>
      <c r="H2" s="14"/>
    </row>
    <row r="3" spans="1:8">
      <c r="G3" s="13" t="s">
        <v>63</v>
      </c>
      <c r="H3" s="13">
        <v>1</v>
      </c>
    </row>
    <row r="4" spans="1:8">
      <c r="A4" t="s">
        <v>91</v>
      </c>
      <c r="B4" s="22">
        <v>15000000</v>
      </c>
      <c r="G4" s="13" t="s">
        <v>65</v>
      </c>
      <c r="H4" s="13">
        <v>2</v>
      </c>
    </row>
    <row r="5" spans="1:8">
      <c r="A5" t="s">
        <v>92</v>
      </c>
      <c r="B5" s="24">
        <v>0.09</v>
      </c>
      <c r="G5" s="13" t="s">
        <v>67</v>
      </c>
      <c r="H5" s="13">
        <v>4</v>
      </c>
    </row>
    <row r="6" spans="1:8">
      <c r="A6" t="s">
        <v>93</v>
      </c>
      <c r="B6" s="23">
        <v>7.1999999999999995E-2</v>
      </c>
      <c r="G6" s="13" t="s">
        <v>70</v>
      </c>
      <c r="H6" s="13">
        <v>12</v>
      </c>
    </row>
    <row r="7" spans="1:8">
      <c r="A7" t="s">
        <v>94</v>
      </c>
      <c r="B7" s="22">
        <v>15</v>
      </c>
    </row>
    <row r="8" spans="1:8">
      <c r="A8" t="s">
        <v>95</v>
      </c>
      <c r="B8">
        <f>B7/C9</f>
        <v>15</v>
      </c>
    </row>
    <row r="9" spans="1:8">
      <c r="A9" t="s">
        <v>96</v>
      </c>
      <c r="B9" s="22" t="s">
        <v>63</v>
      </c>
      <c r="C9">
        <f>_xlfn.XLOOKUP(B9,G3:G6,H3:H6)</f>
        <v>1</v>
      </c>
    </row>
    <row r="10" spans="1:8">
      <c r="A10" t="s">
        <v>97</v>
      </c>
      <c r="B10" s="22">
        <v>10</v>
      </c>
    </row>
    <row r="11" spans="1:8">
      <c r="A11" t="s">
        <v>98</v>
      </c>
      <c r="B11">
        <f>B10/C9</f>
        <v>10</v>
      </c>
    </row>
    <row r="12" spans="1:8">
      <c r="A12" t="s">
        <v>99</v>
      </c>
      <c r="B12" s="24">
        <v>0.09</v>
      </c>
    </row>
    <row r="13" spans="1:8">
      <c r="A13" t="s">
        <v>100</v>
      </c>
      <c r="B13" s="22">
        <v>200000</v>
      </c>
    </row>
    <row r="14" spans="1:8">
      <c r="A14" t="s">
        <v>101</v>
      </c>
      <c r="B14" s="22">
        <v>450000</v>
      </c>
    </row>
    <row r="15" spans="1:8">
      <c r="A15" t="s">
        <v>102</v>
      </c>
      <c r="B15" s="26">
        <v>0.3</v>
      </c>
    </row>
    <row r="16" spans="1:8">
      <c r="A16" t="s">
        <v>103</v>
      </c>
      <c r="B16" s="26">
        <v>0.05</v>
      </c>
    </row>
    <row r="18" spans="1:4">
      <c r="A18" t="s">
        <v>104</v>
      </c>
    </row>
    <row r="19" spans="1:4">
      <c r="A19" t="s">
        <v>105</v>
      </c>
    </row>
    <row r="21" spans="1:4">
      <c r="A21" s="25" t="s">
        <v>106</v>
      </c>
      <c r="B21" s="25"/>
      <c r="C21" s="25"/>
      <c r="D21" s="25"/>
    </row>
    <row r="22" spans="1:4">
      <c r="A22" t="s">
        <v>107</v>
      </c>
      <c r="B22">
        <f>B4*B12</f>
        <v>1350000</v>
      </c>
    </row>
    <row r="23" spans="1:4">
      <c r="A23" t="s">
        <v>108</v>
      </c>
      <c r="B23">
        <f>B22*(1-B15)</f>
        <v>944999.99999999988</v>
      </c>
      <c r="C23" t="s">
        <v>109</v>
      </c>
    </row>
    <row r="25" spans="1:4">
      <c r="A25" t="s">
        <v>110</v>
      </c>
      <c r="B25">
        <f>B13</f>
        <v>200000</v>
      </c>
    </row>
    <row r="26" spans="1:4">
      <c r="A26" t="s">
        <v>111</v>
      </c>
      <c r="B26">
        <f>B25/B11*B15</f>
        <v>6000</v>
      </c>
      <c r="C26" t="s">
        <v>370</v>
      </c>
    </row>
    <row r="27" spans="1:4">
      <c r="A27" t="s">
        <v>112</v>
      </c>
      <c r="B27" s="27">
        <f>(1-((1+B16)^-B11))/B16</f>
        <v>7.7217349291848132</v>
      </c>
    </row>
    <row r="28" spans="1:4">
      <c r="A28" t="s">
        <v>113</v>
      </c>
      <c r="B28" s="27">
        <f>B27*B26</f>
        <v>46330.409575108883</v>
      </c>
    </row>
    <row r="29" spans="1:4">
      <c r="A29" t="s">
        <v>114</v>
      </c>
      <c r="B29" s="27">
        <f>B25-B28</f>
        <v>153669.59042489112</v>
      </c>
    </row>
    <row r="31" spans="1:4">
      <c r="A31" t="s">
        <v>115</v>
      </c>
      <c r="B31" s="29">
        <f>B23+B29</f>
        <v>1098669.5904248911</v>
      </c>
    </row>
    <row r="33" spans="1:4">
      <c r="A33" s="25" t="s">
        <v>116</v>
      </c>
      <c r="B33" s="25"/>
      <c r="C33" s="25"/>
      <c r="D33" s="25"/>
    </row>
    <row r="34" spans="1:4">
      <c r="A34" s="30" t="s">
        <v>117</v>
      </c>
      <c r="B34" s="30"/>
      <c r="C34" s="30"/>
    </row>
    <row r="35" spans="1:4">
      <c r="A35" t="s">
        <v>118</v>
      </c>
      <c r="B35">
        <f>B22</f>
        <v>1350000</v>
      </c>
    </row>
    <row r="36" spans="1:4">
      <c r="A36" t="s">
        <v>119</v>
      </c>
      <c r="B36">
        <f>B6*B4</f>
        <v>1080000</v>
      </c>
    </row>
    <row r="37" spans="1:4">
      <c r="A37" t="s">
        <v>120</v>
      </c>
      <c r="B37">
        <f>(B35-B36)*(1-B15)</f>
        <v>189000</v>
      </c>
    </row>
    <row r="38" spans="1:4">
      <c r="A38" t="s">
        <v>121</v>
      </c>
      <c r="B38" s="28">
        <f>B37*B27</f>
        <v>1459407.9016159298</v>
      </c>
      <c r="C38" t="s">
        <v>122</v>
      </c>
    </row>
    <row r="40" spans="1:4">
      <c r="A40" s="30" t="s">
        <v>123</v>
      </c>
      <c r="B40" s="30"/>
      <c r="C40" s="30"/>
    </row>
    <row r="41" spans="1:4">
      <c r="A41" t="s">
        <v>124</v>
      </c>
      <c r="B41">
        <f>B14/B7</f>
        <v>30000</v>
      </c>
      <c r="C41" t="s">
        <v>125</v>
      </c>
    </row>
    <row r="42" spans="1:4">
      <c r="A42" t="s">
        <v>126</v>
      </c>
      <c r="B42">
        <f>B41*(B8-B11)</f>
        <v>150000</v>
      </c>
    </row>
    <row r="43" spans="1:4">
      <c r="A43" t="s">
        <v>127</v>
      </c>
      <c r="B43">
        <f>B14-B42</f>
        <v>300000</v>
      </c>
    </row>
    <row r="44" spans="1:4">
      <c r="A44" t="s">
        <v>128</v>
      </c>
      <c r="B44" s="28">
        <f>B41*B27</f>
        <v>231652.04787554441</v>
      </c>
    </row>
    <row r="45" spans="1:4">
      <c r="A45" t="s">
        <v>129</v>
      </c>
      <c r="B45" s="28">
        <f>(B43-B44)*B15</f>
        <v>20504.385637336676</v>
      </c>
    </row>
    <row r="47" spans="1:4">
      <c r="A47" t="s">
        <v>115</v>
      </c>
      <c r="B47" s="29">
        <f>B38+B45</f>
        <v>1479912.2872532664</v>
      </c>
    </row>
    <row r="49" spans="1:3">
      <c r="A49" s="30" t="s">
        <v>130</v>
      </c>
      <c r="B49" s="30"/>
      <c r="C49" s="30"/>
    </row>
    <row r="50" spans="1:3">
      <c r="A50" t="s">
        <v>131</v>
      </c>
      <c r="B50" s="31">
        <f>B47-B31</f>
        <v>381242.69682837534</v>
      </c>
      <c r="C50" t="s">
        <v>274</v>
      </c>
    </row>
  </sheetData>
  <dataValidations count="1">
    <dataValidation type="list" allowBlank="1" showInputMessage="1" showErrorMessage="1" sqref="B9" xr:uid="{A4E58B7A-76C9-43A6-BE75-93FD360864D9}">
      <formula1>$G$3:$G$6</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DF87-7EE0-4050-A04D-BEA3507E1167}">
  <dimension ref="A3:C6"/>
  <sheetViews>
    <sheetView workbookViewId="0">
      <selection activeCell="B5" sqref="B5"/>
    </sheetView>
  </sheetViews>
  <sheetFormatPr defaultColWidth="8.81640625" defaultRowHeight="14.5"/>
  <cols>
    <col min="1" max="1" width="20.08984375" bestFit="1" customWidth="1"/>
  </cols>
  <sheetData>
    <row r="3" spans="1:3">
      <c r="B3">
        <v>2022</v>
      </c>
      <c r="C3">
        <v>2021</v>
      </c>
    </row>
    <row r="4" spans="1:3">
      <c r="A4" t="s">
        <v>203</v>
      </c>
      <c r="B4" t="e">
        <f>Ratios!#REF!</f>
        <v>#REF!</v>
      </c>
    </row>
    <row r="5" spans="1:3">
      <c r="A5" t="s">
        <v>204</v>
      </c>
      <c r="B5">
        <f>Ratios!B40</f>
        <v>0.46573244505704881</v>
      </c>
      <c r="C5">
        <f>Ratios!C41</f>
        <v>0.18234201758697907</v>
      </c>
    </row>
    <row r="6" spans="1:3">
      <c r="A6" t="s">
        <v>205</v>
      </c>
      <c r="B6">
        <f>'BALANCE SHEET'!B12/'BALANCE SHEET'!B34</f>
        <v>0.46573244505704881</v>
      </c>
      <c r="C6">
        <f>'BALANCE SHEET'!C12/'BALANCE SHEET'!C34</f>
        <v>0.30629744934185371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E81A2-6B3A-411E-8B18-DFB35C0328CD}">
  <dimension ref="A2:J16"/>
  <sheetViews>
    <sheetView workbookViewId="0">
      <selection activeCell="B4" sqref="B4"/>
    </sheetView>
  </sheetViews>
  <sheetFormatPr defaultColWidth="8.81640625" defaultRowHeight="14.5"/>
  <cols>
    <col min="1" max="1" width="20" customWidth="1"/>
    <col min="5" max="5" width="13.81640625" bestFit="1" customWidth="1"/>
    <col min="10" max="10" width="68.81640625" bestFit="1" customWidth="1"/>
  </cols>
  <sheetData>
    <row r="2" spans="1:10">
      <c r="A2" t="s">
        <v>206</v>
      </c>
      <c r="B2">
        <v>1000</v>
      </c>
      <c r="E2" t="s">
        <v>206</v>
      </c>
      <c r="F2">
        <v>1000</v>
      </c>
    </row>
    <row r="3" spans="1:10">
      <c r="A3" t="s">
        <v>207</v>
      </c>
      <c r="B3">
        <v>80</v>
      </c>
      <c r="E3" t="s">
        <v>207</v>
      </c>
      <c r="F3">
        <v>85</v>
      </c>
    </row>
    <row r="4" spans="1:10">
      <c r="A4" t="s">
        <v>208</v>
      </c>
      <c r="B4">
        <v>800</v>
      </c>
      <c r="E4" t="s">
        <v>208</v>
      </c>
      <c r="F4">
        <v>900</v>
      </c>
      <c r="J4" t="s">
        <v>209</v>
      </c>
    </row>
    <row r="5" spans="1:10">
      <c r="A5" s="5" t="s">
        <v>210</v>
      </c>
      <c r="B5" s="5">
        <f>B3/B2</f>
        <v>0.08</v>
      </c>
      <c r="E5" s="5" t="s">
        <v>210</v>
      </c>
      <c r="F5" s="5">
        <f>F3/F2</f>
        <v>8.5000000000000006E-2</v>
      </c>
    </row>
    <row r="6" spans="1:10">
      <c r="A6" s="4" t="s">
        <v>211</v>
      </c>
      <c r="B6" s="4">
        <f>B3/B4</f>
        <v>0.1</v>
      </c>
      <c r="E6" s="4" t="s">
        <v>211</v>
      </c>
      <c r="F6" s="4">
        <f>F3/F4</f>
        <v>9.4444444444444442E-2</v>
      </c>
    </row>
    <row r="7" spans="1:10">
      <c r="A7" t="s">
        <v>212</v>
      </c>
      <c r="B7">
        <v>10</v>
      </c>
      <c r="E7" s="6" t="s">
        <v>212</v>
      </c>
      <c r="F7" s="6">
        <v>2</v>
      </c>
    </row>
    <row r="8" spans="1:10">
      <c r="A8" s="7" t="s">
        <v>213</v>
      </c>
      <c r="B8" s="7">
        <f>((B3+((B2-B4)/B7))/((0.6*B4)+(0.4*B2)))</f>
        <v>0.11363636363636363</v>
      </c>
      <c r="E8" s="7"/>
      <c r="F8" s="7">
        <f t="shared" ref="F8" si="0">((F3+((F2-F4)/F7))/((0.6*F4)+(0.4*F2)))</f>
        <v>0.14361702127659576</v>
      </c>
    </row>
    <row r="9" spans="1:10">
      <c r="A9" t="s">
        <v>214</v>
      </c>
    </row>
    <row r="11" spans="1:10">
      <c r="A11" t="s">
        <v>32</v>
      </c>
      <c r="B11">
        <v>50000</v>
      </c>
    </row>
    <row r="12" spans="1:10">
      <c r="A12" t="s">
        <v>3</v>
      </c>
      <c r="B12">
        <v>20</v>
      </c>
    </row>
    <row r="13" spans="1:10">
      <c r="A13" t="s">
        <v>215</v>
      </c>
      <c r="B13">
        <v>40</v>
      </c>
    </row>
    <row r="14" spans="1:10">
      <c r="A14" t="s">
        <v>216</v>
      </c>
      <c r="B14">
        <v>200000</v>
      </c>
    </row>
    <row r="16" spans="1:10">
      <c r="A16"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07091-05E3-4DE2-BBB9-82B95CDC1E03}">
  <dimension ref="A1:H14"/>
  <sheetViews>
    <sheetView workbookViewId="0">
      <selection activeCell="A9" sqref="A9"/>
    </sheetView>
  </sheetViews>
  <sheetFormatPr defaultColWidth="8.81640625" defaultRowHeight="14.5"/>
  <cols>
    <col min="1" max="1" width="21.08984375" bestFit="1" customWidth="1"/>
    <col min="6" max="6" width="17.81640625" bestFit="1" customWidth="1"/>
  </cols>
  <sheetData>
    <row r="1" spans="1:8">
      <c r="A1" s="22" t="s">
        <v>255</v>
      </c>
    </row>
    <row r="2" spans="1:8">
      <c r="A2" s="63" t="s">
        <v>246</v>
      </c>
      <c r="B2" s="63"/>
      <c r="C2" s="63"/>
      <c r="D2" s="12"/>
      <c r="E2" s="12"/>
      <c r="F2" s="63" t="s">
        <v>247</v>
      </c>
      <c r="G2" s="63"/>
      <c r="H2" s="63"/>
    </row>
    <row r="3" spans="1:8">
      <c r="A3" t="s">
        <v>20</v>
      </c>
      <c r="B3">
        <v>130000</v>
      </c>
      <c r="C3">
        <v>70000</v>
      </c>
      <c r="F3" t="s">
        <v>20</v>
      </c>
      <c r="G3">
        <v>130000</v>
      </c>
      <c r="H3">
        <v>70000</v>
      </c>
    </row>
    <row r="4" spans="1:8">
      <c r="A4" t="s">
        <v>248</v>
      </c>
      <c r="B4">
        <f>B3*0.2</f>
        <v>26000</v>
      </c>
      <c r="C4">
        <f>C3*0.2</f>
        <v>14000</v>
      </c>
      <c r="F4" t="s">
        <v>249</v>
      </c>
      <c r="G4">
        <f>0.2*G3</f>
        <v>26000</v>
      </c>
      <c r="H4">
        <f>0.2*H3</f>
        <v>14000</v>
      </c>
    </row>
    <row r="5" spans="1:8">
      <c r="A5" t="s">
        <v>250</v>
      </c>
      <c r="B5">
        <f>B3*0.08</f>
        <v>10400</v>
      </c>
      <c r="C5">
        <f>C3*0.08</f>
        <v>5600</v>
      </c>
      <c r="F5" t="s">
        <v>251</v>
      </c>
      <c r="G5">
        <v>8000</v>
      </c>
      <c r="H5">
        <v>8001</v>
      </c>
    </row>
    <row r="6" spans="1:8">
      <c r="A6" s="11" t="s">
        <v>35</v>
      </c>
      <c r="B6" s="11">
        <f>B3-B4-B5</f>
        <v>93600</v>
      </c>
      <c r="C6" s="11">
        <f>C3-C4-C5</f>
        <v>50400</v>
      </c>
      <c r="D6" s="11"/>
      <c r="E6" s="11"/>
      <c r="F6" s="11" t="s">
        <v>35</v>
      </c>
      <c r="G6" s="11">
        <f>G3-G4-G5</f>
        <v>96000</v>
      </c>
      <c r="H6" s="11">
        <f>H3-H4-H5</f>
        <v>47999</v>
      </c>
    </row>
    <row r="8" spans="1:8">
      <c r="A8" t="s">
        <v>252</v>
      </c>
      <c r="B8">
        <v>500000</v>
      </c>
      <c r="C8">
        <v>500000</v>
      </c>
      <c r="F8" t="s">
        <v>252</v>
      </c>
      <c r="G8">
        <v>550000</v>
      </c>
      <c r="H8">
        <v>550000</v>
      </c>
    </row>
    <row r="9" spans="1:8">
      <c r="B9">
        <v>2.5000000000000001E-2</v>
      </c>
      <c r="C9">
        <v>2.5000000000000001E-2</v>
      </c>
      <c r="G9">
        <v>2.2727270000000001E-2</v>
      </c>
      <c r="H9">
        <v>2.2727270000000001E-2</v>
      </c>
    </row>
    <row r="10" spans="1:8">
      <c r="A10" t="s">
        <v>253</v>
      </c>
      <c r="B10">
        <f>B8*B9</f>
        <v>12500</v>
      </c>
      <c r="C10">
        <f>C8*C9</f>
        <v>12500</v>
      </c>
      <c r="G10">
        <f>G8*G9</f>
        <v>12499.9985</v>
      </c>
      <c r="H10">
        <f>H8*H9</f>
        <v>12499.9985</v>
      </c>
    </row>
    <row r="11" spans="1:8">
      <c r="A11" s="62"/>
      <c r="B11" s="62">
        <f>B6-B10</f>
        <v>81100</v>
      </c>
      <c r="C11" s="62">
        <f>C6-C10</f>
        <v>37900</v>
      </c>
      <c r="D11" s="62"/>
      <c r="E11" s="62"/>
      <c r="F11" s="62"/>
      <c r="G11" s="62">
        <f>G6-G10</f>
        <v>83500.001499999998</v>
      </c>
      <c r="H11" s="62">
        <f>H6-H10</f>
        <v>35499.001499999998</v>
      </c>
    </row>
    <row r="13" spans="1:8">
      <c r="A13" t="s">
        <v>254</v>
      </c>
      <c r="B13">
        <v>0.45</v>
      </c>
      <c r="C13">
        <v>0.45</v>
      </c>
      <c r="G13">
        <v>0.45</v>
      </c>
      <c r="H13">
        <v>0.45</v>
      </c>
    </row>
    <row r="14" spans="1:8">
      <c r="A14" s="12" t="s">
        <v>6</v>
      </c>
      <c r="B14" s="12">
        <f>B11*(1-B13)</f>
        <v>44605</v>
      </c>
      <c r="C14" s="12">
        <f>C11*(1-C13)</f>
        <v>20845</v>
      </c>
      <c r="D14" s="12"/>
      <c r="E14" s="12"/>
      <c r="F14" s="12"/>
      <c r="G14" s="12">
        <f>G11*(1-G13)</f>
        <v>45925.000825000003</v>
      </c>
      <c r="H14" s="12">
        <f>H11*(1-H13)</f>
        <v>19524.450825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7564-5EDC-4FF9-95F4-CE43705B256A}">
  <dimension ref="A1:J15"/>
  <sheetViews>
    <sheetView workbookViewId="0">
      <selection activeCell="B10" sqref="B10"/>
    </sheetView>
  </sheetViews>
  <sheetFormatPr defaultColWidth="8.81640625" defaultRowHeight="14.5"/>
  <cols>
    <col min="1" max="1" width="15.81640625" bestFit="1" customWidth="1"/>
    <col min="2" max="2" width="9.81640625" bestFit="1" customWidth="1"/>
    <col min="3" max="3" width="10.08984375" customWidth="1"/>
    <col min="4" max="4" width="13.36328125" bestFit="1" customWidth="1"/>
    <col min="5" max="5" width="12.08984375" customWidth="1"/>
  </cols>
  <sheetData>
    <row r="1" spans="1:10">
      <c r="A1" s="22" t="s">
        <v>256</v>
      </c>
    </row>
    <row r="2" spans="1:10">
      <c r="A2" t="s">
        <v>134</v>
      </c>
      <c r="B2">
        <v>7000000</v>
      </c>
      <c r="F2">
        <v>7000000</v>
      </c>
    </row>
    <row r="3" spans="1:10">
      <c r="A3" t="s">
        <v>257</v>
      </c>
      <c r="B3">
        <v>0.105</v>
      </c>
      <c r="E3" t="s">
        <v>258</v>
      </c>
      <c r="F3">
        <v>9.1999999999999998E-2</v>
      </c>
    </row>
    <row r="4" spans="1:10">
      <c r="A4" t="s">
        <v>259</v>
      </c>
      <c r="B4">
        <f>B2*B3</f>
        <v>735000</v>
      </c>
      <c r="E4" t="s">
        <v>260</v>
      </c>
      <c r="F4">
        <f>F2*F3</f>
        <v>644000</v>
      </c>
    </row>
    <row r="5" spans="1:10">
      <c r="B5" t="s">
        <v>261</v>
      </c>
      <c r="C5">
        <v>5.6000000000000001E-2</v>
      </c>
      <c r="D5" t="s">
        <v>262</v>
      </c>
      <c r="E5">
        <v>4.4999999999999998E-2</v>
      </c>
    </row>
    <row r="6" spans="1:10">
      <c r="B6" t="s">
        <v>267</v>
      </c>
      <c r="D6" t="s">
        <v>268</v>
      </c>
    </row>
    <row r="8" spans="1:10">
      <c r="A8" t="s">
        <v>263</v>
      </c>
      <c r="B8" s="12">
        <f>B4-(B2*C5)</f>
        <v>343000</v>
      </c>
      <c r="C8" t="s">
        <v>269</v>
      </c>
      <c r="D8" t="s">
        <v>265</v>
      </c>
      <c r="E8" s="12">
        <f>F4-(F2*C5)</f>
        <v>252000</v>
      </c>
      <c r="F8" t="s">
        <v>271</v>
      </c>
    </row>
    <row r="9" spans="1:10">
      <c r="A9" t="s">
        <v>264</v>
      </c>
      <c r="B9" s="12">
        <f>B4-(B2*E5)</f>
        <v>420000</v>
      </c>
      <c r="C9" t="s">
        <v>271</v>
      </c>
      <c r="D9" t="s">
        <v>266</v>
      </c>
      <c r="E9" s="12">
        <f>F4-(F2*E5)</f>
        <v>329000</v>
      </c>
      <c r="F9" t="s">
        <v>270</v>
      </c>
    </row>
    <row r="10" spans="1:10">
      <c r="J10" t="s">
        <v>416</v>
      </c>
    </row>
    <row r="11" spans="1:10">
      <c r="A11" t="s">
        <v>272</v>
      </c>
      <c r="B11">
        <v>0.35</v>
      </c>
    </row>
    <row r="12" spans="1:10">
      <c r="A12" t="s">
        <v>273</v>
      </c>
      <c r="B12">
        <v>10000</v>
      </c>
    </row>
    <row r="14" spans="1:10">
      <c r="A14" t="s">
        <v>263</v>
      </c>
      <c r="B14" s="12">
        <f>B8*(1-B11)/B12</f>
        <v>22.295000000000002</v>
      </c>
      <c r="C14" t="s">
        <v>269</v>
      </c>
      <c r="D14" t="s">
        <v>265</v>
      </c>
      <c r="E14" s="12">
        <f>E8*(1-B11)/B12</f>
        <v>16.38</v>
      </c>
      <c r="F14" t="s">
        <v>271</v>
      </c>
    </row>
    <row r="15" spans="1:10">
      <c r="A15" t="s">
        <v>264</v>
      </c>
      <c r="B15" s="12">
        <f>B9*(1-B11)/B12</f>
        <v>27.3</v>
      </c>
      <c r="C15" t="s">
        <v>271</v>
      </c>
      <c r="D15" t="s">
        <v>266</v>
      </c>
      <c r="E15" s="12">
        <f>E9*(1-B11)/B12</f>
        <v>21.385000000000002</v>
      </c>
      <c r="F15"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0C3D-010D-43A4-A1EF-0F03C0E49594}">
  <dimension ref="A1:C12"/>
  <sheetViews>
    <sheetView workbookViewId="0">
      <selection activeCell="B4" sqref="B4"/>
    </sheetView>
  </sheetViews>
  <sheetFormatPr defaultColWidth="8.81640625" defaultRowHeight="14.5"/>
  <cols>
    <col min="1" max="1" width="68.36328125" bestFit="1" customWidth="1"/>
    <col min="2" max="2" width="20" bestFit="1" customWidth="1"/>
  </cols>
  <sheetData>
    <row r="1" spans="1:3">
      <c r="A1" s="22" t="s">
        <v>429</v>
      </c>
    </row>
    <row r="2" spans="1:3">
      <c r="A2" t="s">
        <v>420</v>
      </c>
    </row>
    <row r="3" spans="1:3">
      <c r="A3" t="s">
        <v>348</v>
      </c>
      <c r="B3" s="21">
        <v>0.01</v>
      </c>
    </row>
    <row r="4" spans="1:3">
      <c r="A4" t="s">
        <v>422</v>
      </c>
      <c r="B4">
        <v>50</v>
      </c>
    </row>
    <row r="5" spans="1:3">
      <c r="A5" t="s">
        <v>423</v>
      </c>
      <c r="B5">
        <v>10</v>
      </c>
    </row>
    <row r="6" spans="1:3">
      <c r="A6" t="s">
        <v>424</v>
      </c>
      <c r="B6" s="3">
        <v>0.08</v>
      </c>
    </row>
    <row r="7" spans="1:3">
      <c r="A7" t="s">
        <v>425</v>
      </c>
      <c r="B7" s="3">
        <v>0.18</v>
      </c>
      <c r="C7" t="s">
        <v>426</v>
      </c>
    </row>
    <row r="10" spans="1:3">
      <c r="A10" t="s">
        <v>421</v>
      </c>
      <c r="B10" s="109">
        <f>(B3/(1-B3))*(360/(B4-B5))</f>
        <v>9.0909090909090912E-2</v>
      </c>
    </row>
    <row r="11" spans="1:3">
      <c r="C11" t="s">
        <v>427</v>
      </c>
    </row>
    <row r="12" spans="1:3">
      <c r="A12" t="s">
        <v>428</v>
      </c>
      <c r="B12" s="2">
        <f>B6/(1-B7)</f>
        <v>9.7560975609756087E-2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7EE1-87BF-48A4-9B8F-73D5D0389DE7}">
  <dimension ref="A1:K8"/>
  <sheetViews>
    <sheetView tabSelected="1" workbookViewId="0">
      <selection activeCell="I12" sqref="I12"/>
    </sheetView>
  </sheetViews>
  <sheetFormatPr defaultRowHeight="14.5"/>
  <cols>
    <col min="2" max="9" width="11.81640625" bestFit="1" customWidth="1"/>
    <col min="10" max="10" width="12.54296875" bestFit="1" customWidth="1"/>
  </cols>
  <sheetData>
    <row r="1" spans="1:11">
      <c r="A1">
        <v>3750000</v>
      </c>
      <c r="B1">
        <v>3750000</v>
      </c>
      <c r="C1">
        <v>3750000</v>
      </c>
      <c r="D1">
        <v>3750000</v>
      </c>
      <c r="E1">
        <v>3750000</v>
      </c>
      <c r="F1">
        <v>3750000</v>
      </c>
      <c r="G1">
        <v>3750000</v>
      </c>
      <c r="H1">
        <v>3750000</v>
      </c>
      <c r="I1">
        <v>3750000</v>
      </c>
      <c r="J1">
        <v>3750000</v>
      </c>
    </row>
    <row r="2" spans="1:11">
      <c r="A2">
        <f>1+0.1</f>
        <v>1.1000000000000001</v>
      </c>
      <c r="B2">
        <f t="shared" ref="B2:I2" si="0">1+0.1</f>
        <v>1.1000000000000001</v>
      </c>
      <c r="C2">
        <f t="shared" si="0"/>
        <v>1.1000000000000001</v>
      </c>
      <c r="D2">
        <f t="shared" si="0"/>
        <v>1.1000000000000001</v>
      </c>
      <c r="E2">
        <f t="shared" si="0"/>
        <v>1.1000000000000001</v>
      </c>
      <c r="F2">
        <f t="shared" si="0"/>
        <v>1.1000000000000001</v>
      </c>
      <c r="G2">
        <f t="shared" si="0"/>
        <v>1.1000000000000001</v>
      </c>
      <c r="H2">
        <f t="shared" si="0"/>
        <v>1.1000000000000001</v>
      </c>
      <c r="I2">
        <f t="shared" si="0"/>
        <v>1.1000000000000001</v>
      </c>
      <c r="J2">
        <f>1+0.1</f>
        <v>1.1000000000000001</v>
      </c>
    </row>
    <row r="3" spans="1:11">
      <c r="A3">
        <f>(A2)^1</f>
        <v>1.1000000000000001</v>
      </c>
      <c r="B3">
        <f>(B2)^2</f>
        <v>1.2100000000000002</v>
      </c>
      <c r="C3">
        <f>(C2)^3</f>
        <v>1.3310000000000004</v>
      </c>
      <c r="D3">
        <f>(D2)^4</f>
        <v>1.4641000000000004</v>
      </c>
      <c r="E3">
        <f>(E2)^5</f>
        <v>1.6105100000000006</v>
      </c>
      <c r="F3">
        <f>(F2)^6</f>
        <v>1.7715610000000008</v>
      </c>
      <c r="G3">
        <f>(G2)^7</f>
        <v>1.9487171000000012</v>
      </c>
      <c r="H3">
        <f>(H2)^8</f>
        <v>2.1435888100000011</v>
      </c>
      <c r="I3">
        <f>(I2)^9</f>
        <v>2.3579476910000015</v>
      </c>
      <c r="J3">
        <f>(J2)^10</f>
        <v>2.5937424601000019</v>
      </c>
    </row>
    <row r="4" spans="1:11">
      <c r="A4">
        <f>A1/A3</f>
        <v>3409090.9090909087</v>
      </c>
      <c r="B4">
        <f t="shared" ref="B4:J4" si="1">B1/B3</f>
        <v>3099173.5537190079</v>
      </c>
      <c r="C4">
        <f t="shared" si="1"/>
        <v>2817430.5033809156</v>
      </c>
      <c r="D4">
        <f t="shared" si="1"/>
        <v>2561300.4576190142</v>
      </c>
      <c r="E4">
        <f t="shared" si="1"/>
        <v>2328454.961471831</v>
      </c>
      <c r="F4">
        <f t="shared" si="1"/>
        <v>2116777.2377016642</v>
      </c>
      <c r="G4">
        <f t="shared" si="1"/>
        <v>1924342.9433651492</v>
      </c>
      <c r="H4">
        <f t="shared" si="1"/>
        <v>1749402.6757864994</v>
      </c>
      <c r="I4">
        <f t="shared" si="1"/>
        <v>1590366.0688968175</v>
      </c>
      <c r="J4">
        <f t="shared" si="1"/>
        <v>1445787.3353607431</v>
      </c>
    </row>
    <row r="6" spans="1:11">
      <c r="J6">
        <f>SUM(A4:J4)</f>
        <v>23042126.64639255</v>
      </c>
      <c r="K6">
        <v>15000000</v>
      </c>
    </row>
    <row r="8" spans="1:11">
      <c r="I8" t="s">
        <v>387</v>
      </c>
      <c r="J8" s="118">
        <f>J6-K6</f>
        <v>8042126.6463925503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A5EEF49252954B8FA484DCF5C69899" ma:contentTypeVersion="14" ma:contentTypeDescription="Create a new document." ma:contentTypeScope="" ma:versionID="7f1a6fb56ce2770d7a8b7a14cd857edf">
  <xsd:schema xmlns:xsd="http://www.w3.org/2001/XMLSchema" xmlns:xs="http://www.w3.org/2001/XMLSchema" xmlns:p="http://schemas.microsoft.com/office/2006/metadata/properties" xmlns:ns3="13243c97-90fe-49f5-a123-ef81f26c9e6a" xmlns:ns4="bfab74f3-2b4c-4170-980a-eacac13fafc1" targetNamespace="http://schemas.microsoft.com/office/2006/metadata/properties" ma:root="true" ma:fieldsID="36cdd2b7910888b46715c877be906b8f" ns3:_="" ns4:_="">
    <xsd:import namespace="13243c97-90fe-49f5-a123-ef81f26c9e6a"/>
    <xsd:import namespace="bfab74f3-2b4c-4170-980a-eacac13fafc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243c97-90fe-49f5-a123-ef81f26c9e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ab74f3-2b4c-4170-980a-eacac13fafc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3243c97-90fe-49f5-a123-ef81f26c9e6a" xsi:nil="true"/>
  </documentManagement>
</p:properties>
</file>

<file path=customXml/itemProps1.xml><?xml version="1.0" encoding="utf-8"?>
<ds:datastoreItem xmlns:ds="http://schemas.openxmlformats.org/officeDocument/2006/customXml" ds:itemID="{F35833CC-2DD8-4D30-93FA-CAB7B3DD24BC}">
  <ds:schemaRefs>
    <ds:schemaRef ds:uri="http://schemas.microsoft.com/sharepoint/v3/contenttype/forms"/>
  </ds:schemaRefs>
</ds:datastoreItem>
</file>

<file path=customXml/itemProps2.xml><?xml version="1.0" encoding="utf-8"?>
<ds:datastoreItem xmlns:ds="http://schemas.openxmlformats.org/officeDocument/2006/customXml" ds:itemID="{5961E4E6-934C-4F43-97C9-C6F1A3AAB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243c97-90fe-49f5-a123-ef81f26c9e6a"/>
    <ds:schemaRef ds:uri="bfab74f3-2b4c-4170-980a-eacac13faf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F2D1BB-39DA-43E9-BDD3-E15414AECE2E}">
  <ds:schemaRefs>
    <ds:schemaRef ds:uri="http://schemas.microsoft.com/office/2006/documentManagement/types"/>
    <ds:schemaRef ds:uri="http://schemas.microsoft.com/office/2006/metadata/properties"/>
    <ds:schemaRef ds:uri="http://schemas.microsoft.com/office/infopath/2007/PartnerControls"/>
    <ds:schemaRef ds:uri="http://purl.org/dc/dcmitype/"/>
    <ds:schemaRef ds:uri="bfab74f3-2b4c-4170-980a-eacac13fafc1"/>
    <ds:schemaRef ds:uri="http://www.w3.org/XML/1998/namespace"/>
    <ds:schemaRef ds:uri="http://purl.org/dc/elements/1.1/"/>
    <ds:schemaRef ds:uri="http://schemas.openxmlformats.org/package/2006/metadata/core-properties"/>
    <ds:schemaRef ds:uri="13243c97-90fe-49f5-a123-ef81f26c9e6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BALANCE SHEET</vt:lpstr>
      <vt:lpstr>INCOME STATEMENT</vt:lpstr>
      <vt:lpstr>UNITS</vt:lpstr>
      <vt:lpstr>BEP&amp;COL&amp;DFL</vt:lpstr>
      <vt:lpstr>Ratios</vt:lpstr>
      <vt:lpstr>Collection Period</vt:lpstr>
      <vt:lpstr>Financing (amortization table)</vt:lpstr>
      <vt:lpstr>Bond Investing (Yields)</vt:lpstr>
      <vt:lpstr>Financing new Bonds decision</vt:lpstr>
      <vt:lpstr>Working Capital</vt:lpstr>
      <vt:lpstr>Extra (bonds)</vt:lpstr>
      <vt:lpstr>Comparing Income</vt:lpstr>
      <vt:lpstr>Asset-Financing Mix</vt:lpstr>
      <vt:lpstr>Effective Rate</vt:lpstr>
      <vt:lpstr>NPV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Harrison Perreault</dc:creator>
  <cp:keywords/>
  <dc:description/>
  <cp:lastModifiedBy>Luke Harrison Perreault</cp:lastModifiedBy>
  <cp:revision/>
  <dcterms:created xsi:type="dcterms:W3CDTF">2023-10-27T11:49:24Z</dcterms:created>
  <dcterms:modified xsi:type="dcterms:W3CDTF">2024-09-30T14:14:52Z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0x01010022A5EEF49252954B8FA484DCF5C69899</vt:lpwstr>
  </property>
</Properties>
</file>