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74837BA0-65D6-932C-5D65-3B800EBDC722}"/>
  <workbookPr codeName="ThisWorkbook" defaultThemeVersion="166925"/>
  <mc:AlternateContent xmlns:mc="http://schemas.openxmlformats.org/markup-compatibility/2006">
    <mc:Choice Requires="x15">
      <x15ac:absPath xmlns:x15ac="http://schemas.microsoft.com/office/spreadsheetml/2010/11/ac" url="C:\Users\crynh\Documents\LHR-SVT\Power-SecondaryPCB\"/>
    </mc:Choice>
  </mc:AlternateContent>
  <xr:revisionPtr revIDLastSave="0" documentId="13_ncr:1_{8B7F77C5-F5C2-445C-AB83-B6E92A39B4BF}" xr6:coauthVersionLast="47" xr6:coauthVersionMax="47" xr10:uidLastSave="{00000000-0000-0000-0000-000000000000}"/>
  <bookViews>
    <workbookView xWindow="-108" yWindow="-108" windowWidth="23256" windowHeight="13896" xr2:uid="{2E6D486F-2501-4D3A-98DB-0F5A81A958A5}"/>
  </bookViews>
  <sheets>
    <sheet name="Design" sheetId="1" r:id="rId1"/>
    <sheet name="BOM and Export" sheetId="3" r:id="rId2"/>
    <sheet name="Spec Sheet" sheetId="2" state="hidden" r:id="rId3"/>
    <sheet name="Images" sheetId="4" state="hidden" r:id="rId4"/>
  </sheets>
  <definedNames>
    <definedName name="schematic">INDEX(Images!$B$3:$B$5,MATCH(Design!$C$17,Images!$A$3:$A$5,0))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3" i="1" l="1"/>
  <c r="C121" i="1"/>
  <c r="C291" i="1"/>
  <c r="C290" i="1"/>
  <c r="C289" i="1"/>
  <c r="C288" i="1"/>
  <c r="C287" i="1"/>
  <c r="C286" i="1"/>
  <c r="C230" i="1"/>
  <c r="D255" i="1"/>
  <c r="C234" i="1" l="1"/>
  <c r="C231" i="1"/>
  <c r="D257" i="1"/>
  <c r="C232" i="1" l="1"/>
  <c r="D35" i="3" l="1"/>
  <c r="D34" i="3"/>
  <c r="C35" i="3"/>
  <c r="C34" i="3"/>
  <c r="D153" i="1" l="1"/>
  <c r="D306" i="1"/>
  <c r="G385" i="1" l="1"/>
  <c r="G419" i="1"/>
  <c r="G424" i="1"/>
  <c r="F423" i="1"/>
  <c r="E423" i="1"/>
  <c r="G421" i="1"/>
  <c r="F420" i="1"/>
  <c r="E420" i="1"/>
  <c r="E410" i="1" l="1"/>
  <c r="AH35" i="2" s="1"/>
  <c r="C410" i="1"/>
  <c r="C376" i="1"/>
  <c r="Z25" i="2"/>
  <c r="AA24" i="2"/>
  <c r="F419" i="1" s="1"/>
  <c r="Z24" i="2"/>
  <c r="N24" i="2"/>
  <c r="C419" i="1"/>
  <c r="F418" i="1"/>
  <c r="E418" i="1"/>
  <c r="G416" i="1"/>
  <c r="F415" i="1"/>
  <c r="E415" i="1"/>
  <c r="E414" i="1"/>
  <c r="B424" i="1"/>
  <c r="B421" i="1"/>
  <c r="AA32" i="2" l="1"/>
  <c r="AA33" i="2"/>
  <c r="AA31" i="2"/>
  <c r="Z31" i="2"/>
  <c r="Z33" i="2"/>
  <c r="Z32" i="2"/>
  <c r="AD31" i="2" s="1"/>
  <c r="E416" i="1" s="1"/>
  <c r="AH31" i="2"/>
  <c r="AI31" i="2"/>
  <c r="AE31" i="2"/>
  <c r="F416" i="1" s="1"/>
  <c r="AJ31" i="2" l="1"/>
  <c r="AH32" i="2" s="1"/>
  <c r="AH38" i="2" s="1"/>
  <c r="AH41" i="2" l="1"/>
  <c r="C428" i="1" s="1"/>
  <c r="C427" i="1"/>
  <c r="M25" i="2" l="1"/>
  <c r="C385" i="1"/>
  <c r="F384" i="1"/>
  <c r="E384" i="1"/>
  <c r="G382" i="1"/>
  <c r="F381" i="1"/>
  <c r="E381" i="1"/>
  <c r="E380" i="1"/>
  <c r="G390" i="1"/>
  <c r="G387" i="1"/>
  <c r="F386" i="1"/>
  <c r="E386" i="1"/>
  <c r="F389" i="1"/>
  <c r="E389" i="1"/>
  <c r="B387" i="1"/>
  <c r="B390" i="1"/>
  <c r="F385" i="1"/>
  <c r="M24" i="2"/>
  <c r="U30" i="2" l="1"/>
  <c r="Q30" i="2"/>
  <c r="N32" i="2"/>
  <c r="M32" i="2"/>
  <c r="M30" i="2"/>
  <c r="N30" i="2"/>
  <c r="N31" i="2"/>
  <c r="M31" i="2"/>
  <c r="R30" i="2"/>
  <c r="F382" i="1" s="1"/>
  <c r="V30" i="2"/>
  <c r="W30" i="2" l="1"/>
  <c r="U31" i="2" s="1"/>
  <c r="E382" i="1"/>
  <c r="E31" i="3" l="1"/>
  <c r="D31" i="3"/>
  <c r="C31" i="3"/>
  <c r="F16" i="3"/>
  <c r="E16" i="3"/>
  <c r="G16" i="3"/>
  <c r="D16" i="3"/>
  <c r="C16" i="3"/>
  <c r="E321" i="1" l="1"/>
  <c r="C325" i="1" s="1"/>
  <c r="D321" i="1"/>
  <c r="C321" i="1"/>
  <c r="E325" i="1" s="1"/>
  <c r="C306" i="1"/>
  <c r="E309" i="1" s="1"/>
  <c r="C153" i="1"/>
  <c r="D138" i="1"/>
  <c r="C138" i="1"/>
  <c r="C141" i="1" s="1"/>
  <c r="E326" i="1" l="1"/>
  <c r="C430" i="1"/>
  <c r="C326" i="1"/>
  <c r="C309" i="1"/>
  <c r="C313" i="1"/>
  <c r="B319" i="1" s="1"/>
  <c r="D309" i="1"/>
  <c r="C312" i="1" s="1"/>
  <c r="B318" i="1" s="1"/>
  <c r="D325" i="1"/>
  <c r="E141" i="1"/>
  <c r="D141" i="1"/>
  <c r="C144" i="1" s="1"/>
  <c r="C145" i="1"/>
  <c r="B151" i="1" s="1"/>
  <c r="B184" i="1"/>
  <c r="B19" i="1"/>
  <c r="P18" i="1"/>
  <c r="C431" i="1" l="1"/>
  <c r="E431" i="1" s="1"/>
  <c r="C432" i="1"/>
  <c r="E432" i="1" s="1"/>
  <c r="D326" i="1"/>
  <c r="C314" i="1"/>
  <c r="C146" i="1"/>
  <c r="B150" i="1"/>
  <c r="C331" i="1"/>
  <c r="B14" i="1"/>
  <c r="B13" i="1"/>
  <c r="G14" i="3" l="1"/>
  <c r="G13" i="3"/>
  <c r="G12" i="3"/>
  <c r="G11" i="3"/>
  <c r="D12" i="3"/>
  <c r="D13" i="3"/>
  <c r="D14" i="3"/>
  <c r="D11" i="3"/>
  <c r="C14" i="3"/>
  <c r="C13" i="3"/>
  <c r="C12" i="3"/>
  <c r="C11" i="3"/>
  <c r="C10" i="3"/>
  <c r="C9" i="3"/>
  <c r="C8" i="3"/>
  <c r="C7" i="3"/>
  <c r="C4" i="3"/>
  <c r="C5" i="3"/>
  <c r="C6" i="3"/>
  <c r="C3" i="3"/>
  <c r="D300" i="1" l="1"/>
  <c r="D299" i="1"/>
  <c r="D298" i="1"/>
  <c r="D297" i="1"/>
  <c r="C269" i="1" l="1"/>
  <c r="C274" i="1" s="1"/>
  <c r="C275" i="1" s="1"/>
  <c r="D266" i="1"/>
  <c r="C266" i="1"/>
  <c r="B267" i="1" s="1"/>
  <c r="D258" i="1"/>
  <c r="D256" i="1"/>
  <c r="D227" i="1"/>
  <c r="C227" i="1"/>
  <c r="B228" i="1" s="1"/>
  <c r="D129" i="1"/>
  <c r="D130" i="1"/>
  <c r="D131" i="1"/>
  <c r="D132" i="1"/>
  <c r="C101" i="1"/>
  <c r="C102" i="1" s="1"/>
  <c r="C103" i="1" s="1"/>
  <c r="D98" i="1"/>
  <c r="C98" i="1"/>
  <c r="B99" i="1" s="1"/>
  <c r="D88" i="1"/>
  <c r="D87" i="1"/>
  <c r="D90" i="1"/>
  <c r="D89" i="1"/>
  <c r="C62" i="1"/>
  <c r="C66" i="1" s="1"/>
  <c r="C67" i="1" s="1"/>
  <c r="C45" i="1"/>
  <c r="C46" i="1" s="1"/>
  <c r="D59" i="1"/>
  <c r="C59" i="1"/>
  <c r="B60" i="1" s="1"/>
  <c r="C235" i="1" l="1"/>
  <c r="C83" i="1"/>
  <c r="C84" i="1" s="1"/>
  <c r="C270" i="1"/>
  <c r="C271" i="1" s="1"/>
  <c r="C272" i="1"/>
  <c r="C273" i="1" s="1"/>
  <c r="C293" i="1"/>
  <c r="C294" i="1" s="1"/>
  <c r="C251" i="1"/>
  <c r="C252" i="1" s="1"/>
  <c r="C104" i="1"/>
  <c r="C105" i="1" s="1"/>
  <c r="C233" i="1"/>
  <c r="C63" i="1"/>
  <c r="C64" i="1" s="1"/>
  <c r="C106" i="1"/>
  <c r="C125" i="1"/>
  <c r="C126" i="1" s="1"/>
  <c r="B368" i="1"/>
  <c r="C65" i="1" l="1"/>
  <c r="S34" i="1"/>
  <c r="U35" i="1" s="1"/>
  <c r="C238" i="1" s="1"/>
  <c r="C283" i="1" l="1"/>
  <c r="C239" i="1"/>
  <c r="C241" i="1"/>
  <c r="C280" i="1"/>
  <c r="C242" i="1"/>
  <c r="C240" i="1"/>
  <c r="C279" i="1"/>
  <c r="C278" i="1"/>
  <c r="C281" i="1"/>
  <c r="C282" i="1"/>
  <c r="C74" i="1"/>
  <c r="C113" i="1"/>
  <c r="C73" i="1"/>
  <c r="C71" i="1"/>
  <c r="C70" i="1"/>
  <c r="C72" i="1"/>
  <c r="C114" i="1"/>
  <c r="C107" i="1"/>
  <c r="C115" i="1" s="1"/>
  <c r="D221" i="1" l="1"/>
  <c r="D220" i="1"/>
  <c r="D219" i="1"/>
  <c r="D218" i="1"/>
  <c r="D52" i="1"/>
  <c r="D51" i="1"/>
  <c r="D50" i="1"/>
  <c r="D49" i="1"/>
  <c r="C183" i="1" l="1"/>
  <c r="D18" i="3"/>
  <c r="D17" i="3"/>
  <c r="B402" i="1"/>
  <c r="E402" i="1" l="1"/>
  <c r="C402" i="1"/>
  <c r="D402" i="1"/>
  <c r="C356" i="1"/>
  <c r="E364" i="1" l="1"/>
  <c r="C358" i="1"/>
  <c r="B362" i="1" s="1"/>
  <c r="B357" i="1"/>
  <c r="C364" i="1"/>
  <c r="D364" i="1"/>
  <c r="D23" i="3"/>
  <c r="E23" i="3"/>
  <c r="C23" i="3"/>
  <c r="E22" i="3"/>
  <c r="D22" i="3"/>
  <c r="C22" i="3"/>
  <c r="E21" i="3"/>
  <c r="D21" i="3"/>
  <c r="C21" i="3"/>
  <c r="G15" i="3"/>
  <c r="F15" i="3"/>
  <c r="D15" i="3"/>
  <c r="C15" i="3"/>
  <c r="C213" i="1"/>
  <c r="C214" i="1"/>
  <c r="D7" i="3"/>
  <c r="D8" i="3"/>
  <c r="D9" i="3"/>
  <c r="D10" i="3"/>
  <c r="D4" i="3"/>
  <c r="D5" i="3"/>
  <c r="D6" i="3"/>
  <c r="D3" i="3"/>
  <c r="F14" i="3" l="1"/>
  <c r="F13" i="3"/>
  <c r="F10" i="3"/>
  <c r="F12" i="3"/>
  <c r="F11" i="3"/>
  <c r="F7" i="3"/>
  <c r="F8" i="3"/>
  <c r="F9" i="3"/>
  <c r="D376" i="1"/>
  <c r="E350" i="1"/>
  <c r="C350" i="1"/>
  <c r="D350" i="1"/>
  <c r="S35" i="1"/>
  <c r="S36" i="1"/>
  <c r="S37" i="1"/>
  <c r="F3" i="3" l="1"/>
  <c r="F4" i="3"/>
  <c r="F5" i="3"/>
  <c r="F6" i="3"/>
  <c r="V35" i="1"/>
  <c r="E157" i="1"/>
  <c r="E153" i="1"/>
  <c r="C157" i="1" s="1"/>
  <c r="C158" i="1" s="1"/>
  <c r="D157" i="1"/>
  <c r="D158" i="1" l="1"/>
  <c r="D368" i="1"/>
  <c r="C396" i="1"/>
  <c r="E158" i="1"/>
  <c r="C368" i="1"/>
  <c r="C333" i="1"/>
  <c r="C18" i="3" s="1"/>
  <c r="C163" i="1"/>
  <c r="C165" i="1" s="1"/>
  <c r="C17" i="3" s="1"/>
  <c r="E14" i="3"/>
  <c r="E13" i="3"/>
  <c r="E10" i="3"/>
  <c r="E12" i="3"/>
  <c r="E11" i="3"/>
  <c r="C292" i="1"/>
  <c r="C250" i="1"/>
  <c r="C44" i="1"/>
  <c r="P40" i="1" s="1"/>
  <c r="C124" i="1"/>
  <c r="C82" i="1"/>
  <c r="C169" i="1"/>
  <c r="E368" i="1"/>
  <c r="C370" i="1" s="1"/>
  <c r="B374" i="1" s="1"/>
  <c r="E169" i="1"/>
  <c r="E17" i="3"/>
  <c r="E5" i="3"/>
  <c r="E18" i="3"/>
  <c r="E338" i="1"/>
  <c r="D338" i="1"/>
  <c r="C338" i="1"/>
  <c r="E9" i="3"/>
  <c r="E6" i="3"/>
  <c r="E7" i="3"/>
  <c r="E3" i="3"/>
  <c r="E4" i="3"/>
  <c r="E8" i="3"/>
  <c r="C212" i="1"/>
  <c r="P41" i="1" l="1"/>
  <c r="Q248" i="1"/>
  <c r="Q290" i="1"/>
  <c r="Q288" i="1"/>
  <c r="Q286" i="1"/>
  <c r="P248" i="1"/>
  <c r="P246" i="1"/>
  <c r="P123" i="1"/>
  <c r="P289" i="1"/>
  <c r="P287" i="1"/>
  <c r="Q246" i="1"/>
  <c r="P290" i="1"/>
  <c r="P288" i="1"/>
  <c r="P286" i="1"/>
  <c r="Q249" i="1"/>
  <c r="Q247" i="1"/>
  <c r="Q245" i="1"/>
  <c r="Q123" i="1"/>
  <c r="Q291" i="1"/>
  <c r="Q289" i="1"/>
  <c r="Q287" i="1"/>
  <c r="P249" i="1"/>
  <c r="P247" i="1"/>
  <c r="P245" i="1"/>
  <c r="P291" i="1"/>
  <c r="Q122" i="1"/>
  <c r="Q120" i="1"/>
  <c r="Q118" i="1"/>
  <c r="P79" i="1"/>
  <c r="P81" i="1"/>
  <c r="P122" i="1"/>
  <c r="P120" i="1"/>
  <c r="P118" i="1"/>
  <c r="Q79" i="1"/>
  <c r="Q81" i="1"/>
  <c r="P121" i="1"/>
  <c r="P119" i="1"/>
  <c r="Q78" i="1"/>
  <c r="Q80" i="1"/>
  <c r="P77" i="1"/>
  <c r="Q121" i="1"/>
  <c r="Q119" i="1"/>
  <c r="P78" i="1"/>
  <c r="P80" i="1"/>
  <c r="Q77" i="1"/>
  <c r="P43" i="1"/>
  <c r="Q42" i="1"/>
  <c r="P42" i="1"/>
  <c r="E15" i="3"/>
  <c r="Q40" i="1"/>
  <c r="Q210" i="1"/>
  <c r="Q208" i="1"/>
  <c r="P210" i="1"/>
  <c r="P208" i="1"/>
  <c r="Q211" i="1"/>
  <c r="Q209" i="1"/>
  <c r="P211" i="1"/>
  <c r="P209" i="1"/>
  <c r="Q43" i="1"/>
  <c r="E50" i="1" s="1"/>
  <c r="Q41" i="1"/>
  <c r="D410" i="1"/>
  <c r="E376" i="1"/>
  <c r="U34" i="2" s="1"/>
  <c r="U37" i="2" s="1"/>
  <c r="U40" i="2" s="1"/>
  <c r="C344" i="1"/>
  <c r="C371" i="1"/>
  <c r="C193" i="1"/>
  <c r="C26" i="1"/>
  <c r="D189" i="1"/>
  <c r="C189" i="1"/>
  <c r="B191" i="1" s="1"/>
  <c r="E218" i="1" l="1"/>
  <c r="E255" i="1"/>
  <c r="E257" i="1"/>
  <c r="B260" i="1" s="1"/>
  <c r="E132" i="1"/>
  <c r="E299" i="1"/>
  <c r="B302" i="1" s="1"/>
  <c r="C300" i="1"/>
  <c r="C131" i="1"/>
  <c r="E258" i="1"/>
  <c r="E297" i="1"/>
  <c r="E298" i="1"/>
  <c r="C299" i="1"/>
  <c r="B303" i="1" s="1"/>
  <c r="C257" i="1"/>
  <c r="C258" i="1"/>
  <c r="C298" i="1"/>
  <c r="C297" i="1"/>
  <c r="E300" i="1"/>
  <c r="E256" i="1"/>
  <c r="C255" i="1"/>
  <c r="B261" i="1" s="1"/>
  <c r="C256" i="1"/>
  <c r="E131" i="1"/>
  <c r="B134" i="1" s="1"/>
  <c r="C132" i="1"/>
  <c r="E129" i="1"/>
  <c r="E130" i="1"/>
  <c r="C129" i="1"/>
  <c r="C130" i="1"/>
  <c r="B135" i="1" s="1"/>
  <c r="E87" i="1"/>
  <c r="E88" i="1"/>
  <c r="E89" i="1"/>
  <c r="B92" i="1" s="1"/>
  <c r="E90" i="1"/>
  <c r="C90" i="1"/>
  <c r="C89" i="1"/>
  <c r="C27" i="1"/>
  <c r="C87" i="1"/>
  <c r="C88" i="1"/>
  <c r="B93" i="1" s="1"/>
  <c r="E49" i="1"/>
  <c r="E52" i="1"/>
  <c r="E51" i="1"/>
  <c r="B54" i="1" s="1"/>
  <c r="C50" i="1"/>
  <c r="B55" i="1" s="1"/>
  <c r="C345" i="1"/>
  <c r="B348" i="1"/>
  <c r="E221" i="1"/>
  <c r="E220" i="1"/>
  <c r="B222" i="1" s="1"/>
  <c r="C221" i="1"/>
  <c r="C220" i="1"/>
  <c r="C218" i="1"/>
  <c r="E219" i="1"/>
  <c r="C51" i="1"/>
  <c r="C52" i="1"/>
  <c r="C49" i="1"/>
  <c r="C219" i="1"/>
  <c r="B223" i="1" s="1"/>
  <c r="D339" i="1"/>
  <c r="D169" i="1"/>
  <c r="C194" i="1"/>
  <c r="C359" i="1"/>
  <c r="D183" i="1"/>
  <c r="B183" i="1"/>
  <c r="C28" i="1" l="1"/>
  <c r="C35" i="1" s="1"/>
  <c r="C393" i="1"/>
  <c r="C397" i="1" s="1"/>
  <c r="E397" i="1" s="1"/>
  <c r="C394" i="1"/>
  <c r="C398" i="1" s="1"/>
  <c r="E398" i="1" s="1"/>
  <c r="C29" i="1"/>
  <c r="C36" i="1" s="1"/>
  <c r="C34" i="1"/>
  <c r="C110" i="1"/>
  <c r="C111" i="1"/>
  <c r="C170" i="1"/>
  <c r="B171" i="1" s="1"/>
  <c r="E339" i="1"/>
  <c r="C339" i="1"/>
  <c r="B340" i="1" s="1"/>
  <c r="E170" i="1"/>
  <c r="C201" i="1"/>
  <c r="C404" i="1"/>
  <c r="C195" i="1"/>
  <c r="C196" i="1"/>
  <c r="D23" i="1"/>
  <c r="C23" i="1"/>
  <c r="B24" i="1" s="1"/>
  <c r="C112" i="1" l="1"/>
  <c r="C405" i="1"/>
  <c r="B408" i="1"/>
  <c r="D170" i="1"/>
  <c r="C202" i="1"/>
  <c r="C203" i="1"/>
  <c r="C197" i="1"/>
  <c r="C30" i="1"/>
  <c r="C37" i="1" s="1"/>
  <c r="C204" i="1" l="1"/>
</calcChain>
</file>

<file path=xl/sharedStrings.xml><?xml version="1.0" encoding="utf-8"?>
<sst xmlns="http://schemas.openxmlformats.org/spreadsheetml/2006/main" count="752" uniqueCount="217">
  <si>
    <t>Highest Priority Input Voltage</t>
  </si>
  <si>
    <t>Current Limit</t>
  </si>
  <si>
    <t>Primary Input Supply</t>
  </si>
  <si>
    <t>V</t>
  </si>
  <si>
    <t>Over Voltage Rising</t>
  </si>
  <si>
    <t>Under Voltage Rising</t>
  </si>
  <si>
    <t>Under Voltage Falling</t>
  </si>
  <si>
    <t>A</t>
  </si>
  <si>
    <t>Symbol</t>
  </si>
  <si>
    <t>Parameter</t>
  </si>
  <si>
    <t>Conditions</t>
  </si>
  <si>
    <t>Min</t>
  </si>
  <si>
    <t>Typ</t>
  </si>
  <si>
    <t>Max</t>
  </si>
  <si>
    <t>Units</t>
  </si>
  <si>
    <t>Vth,OVUV</t>
  </si>
  <si>
    <t>OV,UV Threshold Voltage</t>
  </si>
  <si>
    <t>OV Rising , UVF Falling, UVR Rising</t>
  </si>
  <si>
    <t>mV</t>
  </si>
  <si>
    <t>Vhyst, OV</t>
  </si>
  <si>
    <t>OV Hysteresis</t>
  </si>
  <si>
    <t>Ilk,OVUV</t>
  </si>
  <si>
    <t>UVR, UVF, OV input Voltage</t>
  </si>
  <si>
    <t>V = 0.5V</t>
  </si>
  <si>
    <t>nA</t>
  </si>
  <si>
    <t>OV UV Resistors</t>
  </si>
  <si>
    <t>Resistor Ladder Current</t>
  </si>
  <si>
    <t>uA</t>
  </si>
  <si>
    <t>R1 + R2 + R3 + R4</t>
  </si>
  <si>
    <t>R2</t>
  </si>
  <si>
    <t>For Primary Input Supply</t>
  </si>
  <si>
    <t>R4</t>
  </si>
  <si>
    <t>kΩ</t>
  </si>
  <si>
    <t>Selected Standard Resistor Values</t>
  </si>
  <si>
    <t>%</t>
  </si>
  <si>
    <t>Resistor Tolerance</t>
  </si>
  <si>
    <t>Actual Over Voltage Rising</t>
  </si>
  <si>
    <t>Actual Under Voltage Rising</t>
  </si>
  <si>
    <t>Actual Under Voltage Falling</t>
  </si>
  <si>
    <t>delta Vsns</t>
  </si>
  <si>
    <t>Current Limit Sense Voltage</t>
  </si>
  <si>
    <t>OUT = 1V, 12V, 32V</t>
  </si>
  <si>
    <t>delta Vsns fld</t>
  </si>
  <si>
    <t>Current Limit Sense Voltage in foldback</t>
  </si>
  <si>
    <t>OUT = 0V</t>
  </si>
  <si>
    <t>Vfld, th</t>
  </si>
  <si>
    <t>Foldback Threshold Voltage</t>
  </si>
  <si>
    <t>OUT1</t>
  </si>
  <si>
    <t>Rsense Selected</t>
  </si>
  <si>
    <t>mΩ</t>
  </si>
  <si>
    <t>Actual Current Limit</t>
  </si>
  <si>
    <t>Load Current</t>
  </si>
  <si>
    <t>Actual Over Voltage Falling</t>
  </si>
  <si>
    <t>Output Cap ESR</t>
  </si>
  <si>
    <t>During switch over, Output voltage droop due to cap ESR</t>
  </si>
  <si>
    <t>Allowed Output Voltage Droop during switchover</t>
  </si>
  <si>
    <t>Minimum Cout Required</t>
  </si>
  <si>
    <t>uF</t>
  </si>
  <si>
    <t>Cout Selected</t>
  </si>
  <si>
    <t>Actual Total Output Voltage Droop during switchover</t>
  </si>
  <si>
    <t>Allowed Power Dissipation per Sense Resistor</t>
  </si>
  <si>
    <t>W</t>
  </si>
  <si>
    <t>Desired Maximum Power Dissipation per Sense Resistor</t>
  </si>
  <si>
    <t>Number of Sense Resistors Populated</t>
  </si>
  <si>
    <t>Effective Rsense</t>
  </si>
  <si>
    <t>us</t>
  </si>
  <si>
    <t>Primary Supply Timer Cap Populated</t>
  </si>
  <si>
    <t>Primary Supply Timer</t>
  </si>
  <si>
    <t>Itmr (up)</t>
  </si>
  <si>
    <t>TMR Pull Up Current</t>
  </si>
  <si>
    <t>Itmr (down)</t>
  </si>
  <si>
    <t>TMR Pull Down Current</t>
  </si>
  <si>
    <t>TMR n Fault Time</t>
  </si>
  <si>
    <t>CTMR = 10nF</t>
  </si>
  <si>
    <t>tTMR,FLT</t>
  </si>
  <si>
    <t>Primary Supply Timer Cap Should be more than</t>
  </si>
  <si>
    <t>nF</t>
  </si>
  <si>
    <t>Desired Qualification Time for Validity</t>
  </si>
  <si>
    <t>ms</t>
  </si>
  <si>
    <t>tVALID</t>
  </si>
  <si>
    <t>OV,UV Validation Time</t>
  </si>
  <si>
    <t>CQUAL = 470pF</t>
  </si>
  <si>
    <t>Required Cap on Qual Pin</t>
  </si>
  <si>
    <t>Cap Value Populated on Qual Pin</t>
  </si>
  <si>
    <t>Actual Qualification Time for Validity</t>
  </si>
  <si>
    <t>Timer Cap Tolerance</t>
  </si>
  <si>
    <t>Please enter the data in white cells</t>
  </si>
  <si>
    <t>LTC4421 Design Tool</t>
  </si>
  <si>
    <t>R1</t>
  </si>
  <si>
    <t>R3</t>
  </si>
  <si>
    <t>min</t>
  </si>
  <si>
    <t>max</t>
  </si>
  <si>
    <t>Sense Resistor Tolarance</t>
  </si>
  <si>
    <t>E96 (1%)</t>
  </si>
  <si>
    <t>Active E</t>
  </si>
  <si>
    <t>active %</t>
  </si>
  <si>
    <t>E192 (0.5%)</t>
  </si>
  <si>
    <t>E192 (0.25%)</t>
  </si>
  <si>
    <t>E192 (0.1%)</t>
  </si>
  <si>
    <t xml:space="preserve">Suggested Standard Resistor Values </t>
  </si>
  <si>
    <t xml:space="preserve">Qual Pin Cap Tolerance </t>
  </si>
  <si>
    <t>Motor Boating</t>
  </si>
  <si>
    <t>Component Name</t>
  </si>
  <si>
    <t>Value</t>
  </si>
  <si>
    <t>R5</t>
  </si>
  <si>
    <t>R6</t>
  </si>
  <si>
    <t>R7</t>
  </si>
  <si>
    <t>R8</t>
  </si>
  <si>
    <t>R5+R6+R7+R8</t>
  </si>
  <si>
    <t>RSENSE_1</t>
  </si>
  <si>
    <t>Quantity</t>
  </si>
  <si>
    <t>Resistor Power Rating</t>
  </si>
  <si>
    <t>Recommended Power Rating of the Resistor</t>
  </si>
  <si>
    <t>Power Rating (W)</t>
  </si>
  <si>
    <t>RSENSE_2</t>
  </si>
  <si>
    <t>C_QUAL</t>
  </si>
  <si>
    <t>C_TMR_1</t>
  </si>
  <si>
    <t>C_TMR_2</t>
  </si>
  <si>
    <t>C_INTVcc</t>
  </si>
  <si>
    <t>C_EXTVcc</t>
  </si>
  <si>
    <t>Tolarance (%)</t>
  </si>
  <si>
    <t>Power Path</t>
  </si>
  <si>
    <t>Output Stage</t>
  </si>
  <si>
    <t>Voltage Source Input Resistance</t>
  </si>
  <si>
    <t>Ω</t>
  </si>
  <si>
    <t>Voltage Drop due to Source Resistance</t>
  </si>
  <si>
    <t>Difference in UVrise and UVfall Voltage</t>
  </si>
  <si>
    <t>Input Supply Validity</t>
  </si>
  <si>
    <t>25V</t>
  </si>
  <si>
    <t>50V</t>
  </si>
  <si>
    <t>C_CPO</t>
  </si>
  <si>
    <t>Closest Standard Cap Value</t>
  </si>
  <si>
    <t>Closest Standard Cap value</t>
  </si>
  <si>
    <t>CSN1</t>
  </si>
  <si>
    <t>CSN2</t>
  </si>
  <si>
    <t>Secondary Input Supply</t>
  </si>
  <si>
    <t>Secondary Input Voltage</t>
  </si>
  <si>
    <t>Cap Tolerance</t>
  </si>
  <si>
    <t>Worst Case Power Dissipation</t>
  </si>
  <si>
    <t>Secondary Supply Timer Cap Should be more than</t>
  </si>
  <si>
    <t>Secondary Supply Timer Cap Populated</t>
  </si>
  <si>
    <t>Secondary Supply Timer</t>
  </si>
  <si>
    <t>Snubber</t>
  </si>
  <si>
    <t>RSN1</t>
  </si>
  <si>
    <t>RSN2</t>
  </si>
  <si>
    <t>Actual Thresholds</t>
  </si>
  <si>
    <t>Suggested RSN2</t>
  </si>
  <si>
    <t>Suggested RSN1</t>
  </si>
  <si>
    <t>OV1, UVR1, UVF1 Pin Leakage Current</t>
  </si>
  <si>
    <t>OV2, UVR2, UVF2 Pin Leakage Current</t>
  </si>
  <si>
    <t>R10</t>
  </si>
  <si>
    <t>Resistor Netwrok Option</t>
  </si>
  <si>
    <t>Option 1  Resistor Calculations</t>
  </si>
  <si>
    <t>Current in Each Resistor Leg</t>
  </si>
  <si>
    <t>R_TOTAL each leg</t>
  </si>
  <si>
    <t>R11</t>
  </si>
  <si>
    <t>R12</t>
  </si>
  <si>
    <t>Calculated Resistor Values</t>
  </si>
  <si>
    <t>Option 2  Resistor Calculations</t>
  </si>
  <si>
    <t>Option 3  Resistor Calculations</t>
  </si>
  <si>
    <t>R9</t>
  </si>
  <si>
    <t>Four Resistor Network</t>
  </si>
  <si>
    <t>Three Resistor Network</t>
  </si>
  <si>
    <t>Two Resistor Network</t>
  </si>
  <si>
    <t>Supply Tolerance</t>
  </si>
  <si>
    <t>CGS1</t>
  </si>
  <si>
    <t>CGS2</t>
  </si>
  <si>
    <t>Voltage Rating (V)</t>
  </si>
  <si>
    <t>Actual Power Dissipation per Sense Resistor</t>
  </si>
  <si>
    <t xml:space="preserve">Current Limit </t>
  </si>
  <si>
    <t>Power Dissipation across sense resistor netwrok during current limit</t>
  </si>
  <si>
    <t>Number of resistors required</t>
  </si>
  <si>
    <t>Equivalent Rsense of the power path should be</t>
  </si>
  <si>
    <t>Value of each resistor in Rsense should be</t>
  </si>
  <si>
    <t>COUT</t>
  </si>
  <si>
    <t xml:space="preserve">Primary Side MOSFET Selection and SOA Limit Calculation </t>
  </si>
  <si>
    <t>Select LTC4421 Data Sheet  MOSFET Used from drop down menu. If different MOSFET used, select "OTHER MOSFET"</t>
  </si>
  <si>
    <t>PSMN4R060YS</t>
  </si>
  <si>
    <t xml:space="preserve">MOSFET SOA Current @ 25C and Max Primary Supply Timer </t>
  </si>
  <si>
    <t>Amps</t>
  </si>
  <si>
    <r>
      <rPr>
        <sz val="12"/>
        <color theme="1"/>
        <rFont val="Calibri"/>
        <family val="2"/>
        <scheme val="minor"/>
      </rPr>
      <t>MOSFET SOA Current @ T_ambient and Max Primary Supply Timer</t>
    </r>
    <r>
      <rPr>
        <b/>
        <sz val="12"/>
        <color theme="1"/>
        <rFont val="Calibri"/>
        <family val="2"/>
        <scheme val="minor"/>
      </rPr>
      <t xml:space="preserve"> </t>
    </r>
  </si>
  <si>
    <r>
      <rPr>
        <sz val="12"/>
        <color theme="1"/>
        <rFont val="Calibri"/>
        <family val="2"/>
        <scheme val="minor"/>
      </rPr>
      <t>Maximum Actual Current Limit</t>
    </r>
    <r>
      <rPr>
        <b/>
        <sz val="12"/>
        <color theme="1"/>
        <rFont val="Calibri"/>
        <family val="2"/>
        <scheme val="minor"/>
      </rPr>
      <t xml:space="preserve"> </t>
    </r>
  </si>
  <si>
    <t>MOSFET SOA margin @ 25C</t>
  </si>
  <si>
    <t>MOSFET SOA margin @ T_ambient</t>
  </si>
  <si>
    <t>Primary Side Timer cap selection</t>
  </si>
  <si>
    <t>PSMN4R8100BSE</t>
  </si>
  <si>
    <t>1ms</t>
  </si>
  <si>
    <t>10ms</t>
  </si>
  <si>
    <t>SiR158</t>
  </si>
  <si>
    <t xml:space="preserve">Tjunction Max </t>
  </si>
  <si>
    <t>OTHER MOSFET</t>
  </si>
  <si>
    <t>User Selected Design Sheet Primary side MOSFET</t>
  </si>
  <si>
    <t xml:space="preserve">User entered Primary Supply OV rising  </t>
  </si>
  <si>
    <t xml:space="preserve">MOSFET </t>
  </si>
  <si>
    <t>m</t>
  </si>
  <si>
    <t>a</t>
  </si>
  <si>
    <t>ISOA1</t>
  </si>
  <si>
    <t xml:space="preserve">ISOA2 </t>
  </si>
  <si>
    <t>OTHER MOSFET SOA Calculations</t>
  </si>
  <si>
    <t>Calculate the SOA current at 25C and t_ilim (A) (ISOA25)</t>
  </si>
  <si>
    <t>Calculate the SOA current at Ta (A) (1.5X greater than Ilim desired)</t>
  </si>
  <si>
    <t>Secondary Side Timer cap selection</t>
  </si>
  <si>
    <t xml:space="preserve">Secondary Side MOSFET Selection and SOA Limit Calculation </t>
  </si>
  <si>
    <t>Primary MOSFET Calculations</t>
  </si>
  <si>
    <t>Secondary MOSFET Calculations</t>
  </si>
  <si>
    <t>User Selected Design Sheet Secondary side MOSFET</t>
  </si>
  <si>
    <t xml:space="preserve">User entered Secondary Supply OV rising  </t>
  </si>
  <si>
    <t>ADD MOSFETs Here for Design page Drop Down Primary Side</t>
  </si>
  <si>
    <t>ADD MOSFETs Here for Design page Drop Down Secondary Side</t>
  </si>
  <si>
    <t>Max Current Limit timer (ms) from sheet</t>
  </si>
  <si>
    <t>Max Current Limit timer (ms) from design page</t>
  </si>
  <si>
    <t>MOSFET SOA Calculation</t>
  </si>
  <si>
    <t xml:space="preserve">Calculated Values sent to design page </t>
  </si>
  <si>
    <t>Primary Supply Voltage</t>
  </si>
  <si>
    <t>Secondary Supply Voltage</t>
  </si>
  <si>
    <t>System Parameters</t>
  </si>
  <si>
    <t>Export to LTspice will only work if LTspice software is installed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</si>
</sst>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
    <numFmt numFmtId="166" formatCode="0.0000"/>
  </numFmts>
  <fonts count="24" x14ac:knownFonts="1">
    <font>
      <sz val="11"/>
      <color theme="1"/>
      <name val="Calibri"/>
      <family val="2"/>
      <scheme val="minor"/>
    </font>
    <font>
      <sz val="12"/>
      <color theme="1"/>
      <name val="Calibri"/>
      <family val="2"/>
      <scheme val="minor"/>
    </font>
    <font>
      <b/>
      <u/>
      <sz val="16"/>
      <color theme="1"/>
      <name val="Calibri"/>
      <family val="2"/>
      <scheme val="minor"/>
    </font>
    <font>
      <sz val="12"/>
      <color theme="1"/>
      <name val="Calibri"/>
      <family val="2"/>
      <scheme val="minor"/>
    </font>
    <font>
      <b/>
      <u/>
      <sz val="14"/>
      <color theme="1"/>
      <name val="Calibri"/>
      <family val="2"/>
      <scheme val="minor"/>
    </font>
    <font>
      <i/>
      <sz val="12"/>
      <color theme="1"/>
      <name val="Calibri"/>
      <family val="2"/>
      <scheme val="minor"/>
    </font>
    <font>
      <sz val="11"/>
      <color theme="1"/>
      <name val="Calibri"/>
      <family val="2"/>
    </font>
    <font>
      <sz val="11"/>
      <color rgb="FF9C5700"/>
      <name val="Calibri"/>
      <family val="2"/>
      <scheme val="minor"/>
    </font>
    <font>
      <sz val="14"/>
      <color theme="1"/>
      <name val="Calibri"/>
      <family val="2"/>
      <scheme val="minor"/>
    </font>
    <font>
      <b/>
      <sz val="14"/>
      <color theme="1"/>
      <name val="Calibri"/>
      <family val="2"/>
      <scheme val="minor"/>
    </font>
    <font>
      <b/>
      <sz val="16"/>
      <color theme="1"/>
      <name val="Calibri"/>
      <family val="2"/>
      <scheme val="minor"/>
    </font>
    <font>
      <sz val="10"/>
      <color theme="1"/>
      <name val="Arial"/>
      <family val="2"/>
    </font>
    <font>
      <b/>
      <sz val="10"/>
      <color theme="1"/>
      <name val="Arial"/>
      <family val="2"/>
    </font>
    <font>
      <b/>
      <sz val="12"/>
      <color theme="1"/>
      <name val="Calibri"/>
      <family val="2"/>
      <scheme val="minor"/>
    </font>
    <font>
      <i/>
      <sz val="14"/>
      <color theme="1"/>
      <name val="Calibri"/>
      <family val="2"/>
      <scheme val="minor"/>
    </font>
    <font>
      <i/>
      <sz val="14"/>
      <color theme="4"/>
      <name val="Calibri"/>
      <family val="2"/>
      <scheme val="minor"/>
    </font>
    <font>
      <sz val="11"/>
      <color rgb="FFFF0000"/>
      <name val="Calibri"/>
      <family val="2"/>
      <scheme val="minor"/>
    </font>
    <font>
      <sz val="11"/>
      <color rgb="FF000000"/>
      <name val="Calibri"/>
      <family val="2"/>
    </font>
    <font>
      <sz val="10"/>
      <color theme="1"/>
      <name val="Calibri"/>
      <family val="2"/>
      <scheme val="minor"/>
    </font>
    <font>
      <sz val="11"/>
      <color rgb="FFC00000"/>
      <name val="Calibri"/>
      <family val="2"/>
      <scheme val="minor"/>
    </font>
    <font>
      <b/>
      <sz val="11"/>
      <color theme="1"/>
      <name val="Calibri"/>
      <family val="2"/>
      <scheme val="minor"/>
    </font>
    <font>
      <b/>
      <sz val="12"/>
      <color rgb="FFFF0000"/>
      <name val="Calibri"/>
      <family val="2"/>
      <scheme val="minor"/>
    </font>
    <font>
      <sz val="12"/>
      <color rgb="FF595959"/>
      <name val="Calibri"/>
      <family val="2"/>
      <scheme val="minor"/>
    </font>
    <font>
      <b/>
      <i/>
      <sz val="12"/>
      <color rgb="FFFF0000"/>
      <name val="Calibri"/>
      <family val="2"/>
      <scheme val="minor"/>
    </font>
  </fonts>
  <fills count="7">
    <fill>
      <patternFill patternType="none"/>
    </fill>
    <fill>
      <patternFill patternType="gray125"/>
    </fill>
    <fill>
      <patternFill patternType="solid">
        <fgColor theme="7" tint="0.59999389629810485"/>
        <bgColor indexed="64"/>
      </patternFill>
    </fill>
    <fill>
      <patternFill patternType="solid">
        <fgColor theme="0"/>
        <bgColor indexed="64"/>
      </patternFill>
    </fill>
    <fill>
      <patternFill patternType="solid">
        <fgColor rgb="FFFFEB9C"/>
      </patternFill>
    </fill>
    <fill>
      <patternFill patternType="solid">
        <fgColor theme="2" tint="-9.9948118533890809E-2"/>
        <bgColor indexed="64"/>
      </patternFill>
    </fill>
    <fill>
      <patternFill patternType="solid">
        <fgColor theme="1"/>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diagonal/>
    </border>
  </borders>
  <cellStyleXfs count="2">
    <xf numFmtId="0" fontId="0" fillId="0" borderId="0"/>
    <xf numFmtId="0" fontId="7" fillId="4" borderId="0" applyNumberFormat="0" applyBorder="0" applyAlignment="0" applyProtection="0"/>
  </cellStyleXfs>
  <cellXfs count="166">
    <xf numFmtId="0" fontId="0" fillId="0" borderId="0" xfId="0"/>
    <xf numFmtId="0" fontId="2" fillId="2" borderId="3" xfId="0" applyFont="1" applyFill="1" applyBorder="1"/>
    <xf numFmtId="0" fontId="2" fillId="2" borderId="6" xfId="0" applyFont="1" applyFill="1" applyBorder="1"/>
    <xf numFmtId="0" fontId="0" fillId="0" borderId="0" xfId="0" applyAlignment="1">
      <alignment horizontal="center" vertical="center"/>
    </xf>
    <xf numFmtId="0" fontId="0" fillId="2" borderId="0" xfId="0" applyFill="1" applyAlignment="1">
      <alignment horizontal="left"/>
    </xf>
    <xf numFmtId="0" fontId="0" fillId="2" borderId="2" xfId="0" applyFill="1" applyBorder="1" applyAlignment="1">
      <alignment horizontal="left"/>
    </xf>
    <xf numFmtId="0" fontId="3" fillId="2" borderId="7" xfId="0" applyFont="1" applyFill="1" applyBorder="1" applyAlignment="1">
      <alignment horizontal="left"/>
    </xf>
    <xf numFmtId="0" fontId="0" fillId="2" borderId="1" xfId="0" applyFill="1" applyBorder="1" applyAlignment="1">
      <alignment horizontal="left"/>
    </xf>
    <xf numFmtId="0" fontId="0" fillId="0" borderId="1" xfId="0" applyBorder="1"/>
    <xf numFmtId="0" fontId="0" fillId="0" borderId="1" xfId="0" applyBorder="1" applyAlignment="1">
      <alignment horizontal="center" vertical="center"/>
    </xf>
    <xf numFmtId="2" fontId="0" fillId="2" borderId="1" xfId="0" applyNumberFormat="1" applyFill="1" applyBorder="1" applyAlignment="1">
      <alignment horizontal="left"/>
    </xf>
    <xf numFmtId="0" fontId="6" fillId="2" borderId="1" xfId="0" applyFont="1" applyFill="1" applyBorder="1" applyAlignment="1">
      <alignment horizontal="left"/>
    </xf>
    <xf numFmtId="0" fontId="2" fillId="2" borderId="12" xfId="0" applyFont="1" applyFill="1" applyBorder="1"/>
    <xf numFmtId="0" fontId="3" fillId="2" borderId="13" xfId="0" applyFont="1" applyFill="1" applyBorder="1"/>
    <xf numFmtId="0" fontId="3" fillId="2" borderId="14" xfId="0" applyFont="1" applyFill="1" applyBorder="1"/>
    <xf numFmtId="0" fontId="3" fillId="2" borderId="0" xfId="0" applyFont="1" applyFill="1" applyAlignment="1">
      <alignment horizontal="left"/>
    </xf>
    <xf numFmtId="0" fontId="4" fillId="2" borderId="14" xfId="0" applyFont="1" applyFill="1" applyBorder="1"/>
    <xf numFmtId="0" fontId="3" fillId="2" borderId="15" xfId="0" applyFont="1" applyFill="1" applyBorder="1"/>
    <xf numFmtId="0" fontId="6" fillId="2" borderId="0" xfId="0" applyFont="1" applyFill="1" applyAlignment="1">
      <alignment horizontal="left"/>
    </xf>
    <xf numFmtId="1" fontId="0" fillId="2" borderId="1" xfId="0" applyNumberFormat="1" applyFill="1" applyBorder="1" applyAlignment="1">
      <alignment horizontal="left"/>
    </xf>
    <xf numFmtId="0" fontId="0" fillId="2" borderId="19" xfId="0" applyFill="1" applyBorder="1" applyAlignment="1">
      <alignment horizontal="left"/>
    </xf>
    <xf numFmtId="0" fontId="9" fillId="2" borderId="11" xfId="0" applyFont="1" applyFill="1" applyBorder="1"/>
    <xf numFmtId="0" fontId="0" fillId="0" borderId="10" xfId="0" applyBorder="1" applyAlignment="1">
      <alignment horizontal="center" vertical="center"/>
    </xf>
    <xf numFmtId="1" fontId="0" fillId="2" borderId="19" xfId="0" applyNumberFormat="1" applyFill="1" applyBorder="1" applyAlignment="1">
      <alignment horizontal="left"/>
    </xf>
    <xf numFmtId="0" fontId="0" fillId="2" borderId="0" xfId="1" applyNumberFormat="1" applyFont="1" applyFill="1" applyBorder="1" applyAlignment="1">
      <alignment horizontal="left"/>
    </xf>
    <xf numFmtId="0" fontId="0" fillId="2" borderId="0" xfId="0" applyFill="1"/>
    <xf numFmtId="0" fontId="0" fillId="2" borderId="4" xfId="0" applyFill="1" applyBorder="1" applyAlignment="1">
      <alignment horizontal="left"/>
    </xf>
    <xf numFmtId="0" fontId="0" fillId="2" borderId="5" xfId="0" applyFill="1" applyBorder="1" applyAlignment="1">
      <alignment horizontal="left"/>
    </xf>
    <xf numFmtId="0" fontId="0" fillId="2" borderId="7" xfId="0" applyFill="1" applyBorder="1" applyAlignment="1">
      <alignment horizontal="left"/>
    </xf>
    <xf numFmtId="0" fontId="0" fillId="2" borderId="7" xfId="0" applyFill="1" applyBorder="1"/>
    <xf numFmtId="0" fontId="0" fillId="2" borderId="10" xfId="0" applyFill="1" applyBorder="1" applyAlignment="1">
      <alignment horizontal="left"/>
    </xf>
    <xf numFmtId="0" fontId="0" fillId="2" borderId="9" xfId="0" applyFill="1" applyBorder="1" applyAlignment="1">
      <alignment horizontal="left"/>
    </xf>
    <xf numFmtId="0" fontId="0" fillId="2" borderId="14" xfId="0" applyFill="1" applyBorder="1"/>
    <xf numFmtId="0" fontId="0" fillId="2" borderId="15" xfId="0" applyFill="1" applyBorder="1"/>
    <xf numFmtId="2" fontId="0" fillId="2" borderId="0" xfId="0" applyNumberFormat="1" applyFill="1" applyAlignment="1">
      <alignment horizontal="left"/>
    </xf>
    <xf numFmtId="0" fontId="0" fillId="2" borderId="1" xfId="0" applyFill="1" applyBorder="1"/>
    <xf numFmtId="165" fontId="0" fillId="2" borderId="1" xfId="0" applyNumberFormat="1" applyFill="1" applyBorder="1" applyAlignment="1">
      <alignment horizontal="left"/>
    </xf>
    <xf numFmtId="0" fontId="11" fillId="2" borderId="0" xfId="0" applyFont="1" applyFill="1" applyAlignment="1" applyProtection="1">
      <alignment horizontal="center"/>
      <protection hidden="1"/>
    </xf>
    <xf numFmtId="0" fontId="0" fillId="2" borderId="0" xfId="0" applyFill="1" applyAlignment="1" applyProtection="1">
      <alignment horizontal="center"/>
      <protection hidden="1"/>
    </xf>
    <xf numFmtId="0" fontId="12" fillId="2" borderId="0" xfId="0" applyFont="1" applyFill="1" applyProtection="1">
      <protection hidden="1"/>
    </xf>
    <xf numFmtId="0" fontId="0" fillId="2" borderId="0" xfId="0" applyFill="1" applyProtection="1">
      <protection hidden="1"/>
    </xf>
    <xf numFmtId="0" fontId="11" fillId="2" borderId="0" xfId="0" applyFont="1" applyFill="1" applyProtection="1">
      <protection hidden="1"/>
    </xf>
    <xf numFmtId="0" fontId="0" fillId="2" borderId="16" xfId="0" applyFill="1" applyBorder="1"/>
    <xf numFmtId="2" fontId="0" fillId="2" borderId="17" xfId="0" applyNumberFormat="1" applyFill="1" applyBorder="1" applyAlignment="1">
      <alignment horizontal="left"/>
    </xf>
    <xf numFmtId="0" fontId="0" fillId="2" borderId="17" xfId="0" applyFill="1" applyBorder="1"/>
    <xf numFmtId="0" fontId="0" fillId="2" borderId="18" xfId="0" applyFill="1" applyBorder="1"/>
    <xf numFmtId="0" fontId="0" fillId="2" borderId="8" xfId="0" applyFill="1" applyBorder="1" applyAlignment="1">
      <alignment horizontal="left"/>
    </xf>
    <xf numFmtId="2" fontId="0" fillId="2" borderId="7" xfId="0" applyNumberFormat="1" applyFill="1" applyBorder="1" applyAlignment="1">
      <alignment horizontal="left"/>
    </xf>
    <xf numFmtId="164" fontId="0" fillId="2" borderId="1" xfId="0" applyNumberFormat="1" applyFill="1" applyBorder="1" applyAlignment="1">
      <alignment horizontal="left"/>
    </xf>
    <xf numFmtId="0" fontId="0" fillId="2" borderId="19" xfId="0" applyFill="1" applyBorder="1"/>
    <xf numFmtId="0" fontId="0" fillId="2" borderId="18" xfId="0" applyFill="1" applyBorder="1" applyAlignment="1">
      <alignment horizontal="left"/>
    </xf>
    <xf numFmtId="0" fontId="13" fillId="2" borderId="21" xfId="0" applyFont="1" applyFill="1" applyBorder="1" applyAlignment="1">
      <alignment horizontal="left"/>
    </xf>
    <xf numFmtId="0" fontId="13" fillId="2" borderId="22" xfId="0" applyFont="1" applyFill="1" applyBorder="1" applyAlignment="1">
      <alignment horizontal="left"/>
    </xf>
    <xf numFmtId="0" fontId="13" fillId="2" borderId="23" xfId="0" applyFont="1" applyFill="1" applyBorder="1" applyAlignment="1">
      <alignment horizontal="left"/>
    </xf>
    <xf numFmtId="2" fontId="0" fillId="2" borderId="2" xfId="0" applyNumberFormat="1" applyFill="1" applyBorder="1" applyAlignment="1">
      <alignment horizontal="left"/>
    </xf>
    <xf numFmtId="2" fontId="0" fillId="2" borderId="24" xfId="0" applyNumberFormat="1" applyFill="1" applyBorder="1" applyAlignment="1">
      <alignment horizontal="left"/>
    </xf>
    <xf numFmtId="0" fontId="0" fillId="2" borderId="25" xfId="0" applyFill="1" applyBorder="1" applyAlignment="1">
      <alignment horizontal="left"/>
    </xf>
    <xf numFmtId="2" fontId="0" fillId="2" borderId="25" xfId="0" applyNumberFormat="1" applyFill="1" applyBorder="1" applyAlignment="1">
      <alignment horizontal="left"/>
    </xf>
    <xf numFmtId="0" fontId="0" fillId="2" borderId="24" xfId="0" applyFill="1" applyBorder="1" applyAlignment="1">
      <alignment horizontal="left"/>
    </xf>
    <xf numFmtId="2" fontId="0" fillId="2" borderId="19" xfId="0" applyNumberFormat="1" applyFill="1" applyBorder="1" applyAlignment="1">
      <alignment horizontal="left"/>
    </xf>
    <xf numFmtId="0" fontId="0" fillId="2" borderId="26" xfId="0" applyFill="1" applyBorder="1" applyAlignment="1">
      <alignment horizontal="left"/>
    </xf>
    <xf numFmtId="2" fontId="0" fillId="2" borderId="26" xfId="0" applyNumberFormat="1" applyFill="1" applyBorder="1" applyAlignment="1">
      <alignment horizontal="left"/>
    </xf>
    <xf numFmtId="1" fontId="0" fillId="2" borderId="26" xfId="0" applyNumberFormat="1" applyFill="1" applyBorder="1" applyAlignment="1">
      <alignment horizontal="left"/>
    </xf>
    <xf numFmtId="166" fontId="0" fillId="0" borderId="1" xfId="0" applyNumberFormat="1" applyBorder="1" applyAlignment="1">
      <alignment horizontal="left"/>
    </xf>
    <xf numFmtId="0" fontId="4" fillId="2" borderId="6" xfId="0" applyFont="1" applyFill="1" applyBorder="1"/>
    <xf numFmtId="0" fontId="13" fillId="2" borderId="30" xfId="0" applyFont="1" applyFill="1" applyBorder="1"/>
    <xf numFmtId="0" fontId="0" fillId="2" borderId="17" xfId="0" applyFill="1" applyBorder="1" applyAlignment="1">
      <alignment horizontal="left"/>
    </xf>
    <xf numFmtId="165" fontId="0" fillId="2" borderId="0" xfId="0" applyNumberFormat="1" applyFill="1" applyAlignment="1">
      <alignment horizontal="left"/>
    </xf>
    <xf numFmtId="11" fontId="0" fillId="2" borderId="1" xfId="0" applyNumberFormat="1" applyFill="1" applyBorder="1" applyAlignment="1">
      <alignment horizontal="left"/>
    </xf>
    <xf numFmtId="0" fontId="0" fillId="2" borderId="8" xfId="0" applyFill="1" applyBorder="1"/>
    <xf numFmtId="0" fontId="0" fillId="2" borderId="31" xfId="0" applyFill="1" applyBorder="1"/>
    <xf numFmtId="0" fontId="0" fillId="2" borderId="32" xfId="0" applyFill="1" applyBorder="1"/>
    <xf numFmtId="0" fontId="4" fillId="2" borderId="30" xfId="0" applyFont="1" applyFill="1" applyBorder="1"/>
    <xf numFmtId="0" fontId="9" fillId="2" borderId="33" xfId="0" applyFont="1" applyFill="1" applyBorder="1"/>
    <xf numFmtId="2" fontId="0" fillId="2" borderId="8" xfId="0" applyNumberFormat="1" applyFill="1" applyBorder="1" applyAlignment="1">
      <alignment horizontal="left"/>
    </xf>
    <xf numFmtId="2" fontId="0" fillId="2" borderId="15" xfId="0" applyNumberFormat="1" applyFill="1" applyBorder="1" applyAlignment="1">
      <alignment horizontal="left"/>
    </xf>
    <xf numFmtId="2" fontId="0" fillId="2" borderId="31" xfId="0" applyNumberFormat="1" applyFill="1" applyBorder="1" applyAlignment="1">
      <alignment horizontal="left"/>
    </xf>
    <xf numFmtId="0" fontId="9" fillId="2" borderId="15" xfId="0" applyFont="1" applyFill="1" applyBorder="1"/>
    <xf numFmtId="0" fontId="3" fillId="2" borderId="16" xfId="0" applyFont="1" applyFill="1" applyBorder="1"/>
    <xf numFmtId="0" fontId="3" fillId="2" borderId="17" xfId="0" applyFont="1" applyFill="1" applyBorder="1" applyAlignment="1">
      <alignment horizontal="left"/>
    </xf>
    <xf numFmtId="2" fontId="0" fillId="2" borderId="18" xfId="0" applyNumberFormat="1" applyFill="1" applyBorder="1" applyAlignment="1">
      <alignment horizontal="left"/>
    </xf>
    <xf numFmtId="0" fontId="5" fillId="2" borderId="15" xfId="0" applyFont="1" applyFill="1" applyBorder="1" applyAlignment="1">
      <alignment horizontal="left" vertical="top" wrapText="1"/>
    </xf>
    <xf numFmtId="0" fontId="0" fillId="2" borderId="29" xfId="0" applyFill="1" applyBorder="1" applyAlignment="1">
      <alignment horizontal="left"/>
    </xf>
    <xf numFmtId="1" fontId="0" fillId="2" borderId="2" xfId="0" applyNumberFormat="1" applyFill="1" applyBorder="1" applyAlignment="1">
      <alignment horizontal="left"/>
    </xf>
    <xf numFmtId="2" fontId="0" fillId="2" borderId="14" xfId="0" applyNumberFormat="1" applyFill="1" applyBorder="1" applyAlignment="1">
      <alignment horizontal="left"/>
    </xf>
    <xf numFmtId="0" fontId="15" fillId="2" borderId="14" xfId="0" applyFont="1" applyFill="1" applyBorder="1"/>
    <xf numFmtId="0" fontId="3" fillId="3" borderId="1" xfId="0" applyFont="1" applyFill="1" applyBorder="1" applyAlignment="1" applyProtection="1">
      <alignment horizontal="left"/>
      <protection locked="0"/>
    </xf>
    <xf numFmtId="0" fontId="3" fillId="3" borderId="17" xfId="0" applyFont="1" applyFill="1" applyBorder="1" applyAlignment="1" applyProtection="1">
      <alignment horizontal="left"/>
      <protection locked="0"/>
    </xf>
    <xf numFmtId="2" fontId="0" fillId="0" borderId="1" xfId="0" applyNumberFormat="1" applyBorder="1" applyAlignment="1" applyProtection="1">
      <alignment horizontal="left"/>
      <protection locked="0"/>
    </xf>
    <xf numFmtId="0" fontId="0" fillId="3" borderId="1" xfId="0" applyFill="1" applyBorder="1" applyAlignment="1" applyProtection="1">
      <alignment horizontal="left"/>
      <protection locked="0"/>
    </xf>
    <xf numFmtId="0" fontId="0" fillId="0" borderId="1" xfId="0" applyBorder="1" applyAlignment="1" applyProtection="1">
      <alignment horizontal="left"/>
      <protection locked="0"/>
    </xf>
    <xf numFmtId="1" fontId="0" fillId="0" borderId="1" xfId="0" applyNumberFormat="1" applyBorder="1" applyAlignment="1" applyProtection="1">
      <alignment horizontal="left"/>
      <protection locked="0"/>
    </xf>
    <xf numFmtId="2" fontId="0" fillId="0" borderId="0" xfId="0" applyNumberFormat="1" applyAlignment="1" applyProtection="1">
      <alignment horizontal="left"/>
      <protection locked="0"/>
    </xf>
    <xf numFmtId="166" fontId="0" fillId="0" borderId="1" xfId="0" applyNumberFormat="1" applyBorder="1" applyAlignment="1" applyProtection="1">
      <alignment horizontal="left"/>
      <protection locked="0"/>
    </xf>
    <xf numFmtId="0" fontId="3" fillId="0" borderId="1" xfId="0" applyFont="1" applyBorder="1" applyAlignment="1" applyProtection="1">
      <alignment horizontal="left"/>
      <protection locked="0"/>
    </xf>
    <xf numFmtId="11" fontId="0" fillId="0" borderId="1" xfId="0" applyNumberFormat="1" applyBorder="1" applyAlignment="1" applyProtection="1">
      <alignment horizontal="left"/>
      <protection locked="0"/>
    </xf>
    <xf numFmtId="0" fontId="5" fillId="2" borderId="1" xfId="0" applyFont="1" applyFill="1" applyBorder="1" applyAlignment="1" applyProtection="1">
      <alignment horizontal="center" vertical="top" wrapText="1"/>
      <protection locked="0"/>
    </xf>
    <xf numFmtId="2" fontId="0" fillId="2" borderId="1" xfId="0" applyNumberFormat="1" applyFill="1" applyBorder="1" applyAlignment="1" applyProtection="1">
      <alignment horizontal="center"/>
      <protection locked="0"/>
    </xf>
    <xf numFmtId="0" fontId="0" fillId="2" borderId="0" xfId="0" applyFill="1" applyAlignment="1" applyProtection="1">
      <alignment horizontal="left"/>
      <protection locked="0"/>
    </xf>
    <xf numFmtId="1" fontId="0" fillId="2" borderId="0" xfId="0" applyNumberFormat="1" applyFill="1" applyAlignment="1">
      <alignment horizontal="left"/>
    </xf>
    <xf numFmtId="0" fontId="0" fillId="2" borderId="34" xfId="0" applyFill="1" applyBorder="1" applyAlignment="1">
      <alignment horizontal="left"/>
    </xf>
    <xf numFmtId="0" fontId="16" fillId="2" borderId="20" xfId="0" applyFont="1" applyFill="1" applyBorder="1"/>
    <xf numFmtId="0" fontId="0" fillId="2" borderId="12" xfId="0" applyFill="1" applyBorder="1"/>
    <xf numFmtId="0" fontId="18" fillId="2" borderId="12" xfId="0" applyFont="1" applyFill="1" applyBorder="1"/>
    <xf numFmtId="0" fontId="18" fillId="2" borderId="35" xfId="0" applyFont="1" applyFill="1" applyBorder="1"/>
    <xf numFmtId="0" fontId="0" fillId="2" borderId="1" xfId="0" applyFill="1" applyBorder="1" applyAlignment="1" applyProtection="1">
      <alignment horizontal="left"/>
      <protection locked="0"/>
    </xf>
    <xf numFmtId="0" fontId="19" fillId="2" borderId="14" xfId="0" applyFont="1" applyFill="1" applyBorder="1"/>
    <xf numFmtId="165" fontId="0" fillId="2" borderId="19" xfId="0" applyNumberFormat="1" applyFill="1" applyBorder="1" applyAlignment="1">
      <alignment horizontal="left"/>
    </xf>
    <xf numFmtId="0" fontId="4" fillId="2" borderId="12" xfId="0" applyFont="1" applyFill="1" applyBorder="1"/>
    <xf numFmtId="0" fontId="3" fillId="2" borderId="20" xfId="0" applyFont="1" applyFill="1" applyBorder="1"/>
    <xf numFmtId="0" fontId="15" fillId="2" borderId="0" xfId="0" applyFont="1" applyFill="1"/>
    <xf numFmtId="0" fontId="3" fillId="2" borderId="0" xfId="0" applyFont="1" applyFill="1"/>
    <xf numFmtId="0" fontId="3" fillId="2" borderId="18" xfId="0" applyFont="1" applyFill="1" applyBorder="1"/>
    <xf numFmtId="0" fontId="13" fillId="2" borderId="0" xfId="0" applyFont="1" applyFill="1" applyAlignment="1">
      <alignment horizontal="center" vertical="center"/>
    </xf>
    <xf numFmtId="0" fontId="8" fillId="2" borderId="0" xfId="0" applyFont="1" applyFill="1"/>
    <xf numFmtId="2" fontId="0" fillId="2" borderId="0" xfId="0" applyNumberFormat="1" applyFill="1" applyAlignment="1">
      <alignment horizontal="center" vertical="center" wrapText="1"/>
    </xf>
    <xf numFmtId="0" fontId="0" fillId="2" borderId="0" xfId="0" applyFill="1" applyAlignment="1">
      <alignment horizontal="center" vertical="center"/>
    </xf>
    <xf numFmtId="0" fontId="8" fillId="2" borderId="14" xfId="0" applyFont="1" applyFill="1" applyBorder="1" applyAlignment="1">
      <alignment horizontal="center" vertical="center" wrapText="1"/>
    </xf>
    <xf numFmtId="0" fontId="8" fillId="2" borderId="0" xfId="0" applyFont="1" applyFill="1" applyAlignment="1">
      <alignment horizontal="center" vertical="center"/>
    </xf>
    <xf numFmtId="0" fontId="0" fillId="2" borderId="14" xfId="0" applyFill="1" applyBorder="1" applyAlignment="1">
      <alignment vertical="center" wrapText="1"/>
    </xf>
    <xf numFmtId="1" fontId="0" fillId="2" borderId="0" xfId="0" applyNumberFormat="1" applyFill="1" applyAlignment="1">
      <alignment horizontal="center" vertical="center" wrapText="1"/>
    </xf>
    <xf numFmtId="1" fontId="0" fillId="2" borderId="0" xfId="0" applyNumberFormat="1" applyFill="1" applyAlignment="1">
      <alignment horizontal="center" vertical="center"/>
    </xf>
    <xf numFmtId="0" fontId="20" fillId="2" borderId="0" xfId="0" applyFont="1" applyFill="1" applyAlignment="1">
      <alignment vertical="center" wrapText="1"/>
    </xf>
    <xf numFmtId="0" fontId="9" fillId="2" borderId="14" xfId="0" applyFont="1" applyFill="1" applyBorder="1" applyAlignment="1">
      <alignment vertical="center" wrapText="1"/>
    </xf>
    <xf numFmtId="0" fontId="0" fillId="2" borderId="0" xfId="0" applyFill="1" applyAlignment="1">
      <alignment horizontal="center"/>
    </xf>
    <xf numFmtId="0" fontId="13" fillId="2" borderId="14" xfId="0" applyFont="1" applyFill="1" applyBorder="1" applyAlignment="1">
      <alignment vertical="center" wrapText="1"/>
    </xf>
    <xf numFmtId="0" fontId="3" fillId="2" borderId="13" xfId="0" applyFont="1" applyFill="1" applyBorder="1" applyAlignment="1">
      <alignment horizontal="right" vertical="center" wrapText="1"/>
    </xf>
    <xf numFmtId="1" fontId="0" fillId="2" borderId="1" xfId="0" applyNumberFormat="1" applyFill="1" applyBorder="1" applyAlignment="1">
      <alignment horizontal="center" vertical="center"/>
    </xf>
    <xf numFmtId="0" fontId="0" fillId="2" borderId="1" xfId="0" applyFill="1" applyBorder="1" applyAlignment="1">
      <alignment horizontal="left" vertical="center"/>
    </xf>
    <xf numFmtId="0" fontId="13" fillId="2" borderId="13" xfId="0" applyFont="1" applyFill="1" applyBorder="1" applyAlignment="1">
      <alignment horizontal="right" vertical="center" wrapText="1"/>
    </xf>
    <xf numFmtId="0" fontId="3" fillId="2" borderId="16" xfId="0" applyFont="1" applyFill="1" applyBorder="1" applyAlignment="1">
      <alignment horizontal="right" vertical="center" wrapText="1"/>
    </xf>
    <xf numFmtId="1" fontId="0" fillId="2" borderId="17" xfId="0" applyNumberFormat="1" applyFill="1" applyBorder="1" applyAlignment="1">
      <alignment horizontal="center" vertical="center"/>
    </xf>
    <xf numFmtId="0" fontId="0" fillId="2" borderId="17" xfId="0" applyFill="1" applyBorder="1" applyAlignment="1">
      <alignment horizontal="left" vertical="center"/>
    </xf>
    <xf numFmtId="0" fontId="0" fillId="6" borderId="0" xfId="0" applyFill="1"/>
    <xf numFmtId="0" fontId="0" fillId="2" borderId="20" xfId="0" applyFill="1" applyBorder="1"/>
    <xf numFmtId="0" fontId="20" fillId="0" borderId="0" xfId="0" applyFont="1" applyAlignment="1">
      <alignment horizontal="center" vertical="center"/>
    </xf>
    <xf numFmtId="0" fontId="22" fillId="0" borderId="0" xfId="0" applyFont="1" applyAlignment="1">
      <alignment horizontal="center" vertical="center" readingOrder="1"/>
    </xf>
    <xf numFmtId="0" fontId="0" fillId="0" borderId="0" xfId="0" applyAlignment="1">
      <alignment horizontal="center"/>
    </xf>
    <xf numFmtId="0" fontId="20" fillId="0" borderId="0" xfId="0" applyFont="1" applyAlignment="1">
      <alignment horizontal="center"/>
    </xf>
    <xf numFmtId="0" fontId="13" fillId="0" borderId="0" xfId="0" applyFont="1" applyAlignment="1">
      <alignment horizontal="center" vertical="center"/>
    </xf>
    <xf numFmtId="1" fontId="0" fillId="0" borderId="0" xfId="0" applyNumberFormat="1"/>
    <xf numFmtId="0" fontId="20" fillId="0" borderId="0" xfId="0" applyFont="1"/>
    <xf numFmtId="0" fontId="20" fillId="0" borderId="0" xfId="0" applyFont="1" applyAlignment="1">
      <alignment horizontal="center" vertical="center" wrapText="1"/>
    </xf>
    <xf numFmtId="0" fontId="0" fillId="2" borderId="11" xfId="0" applyFill="1" applyBorder="1" applyAlignment="1">
      <alignment horizontal="left"/>
    </xf>
    <xf numFmtId="0" fontId="23" fillId="2" borderId="0" xfId="0" applyFont="1" applyFill="1" applyAlignment="1">
      <alignment horizontal="left"/>
    </xf>
    <xf numFmtId="16" fontId="3" fillId="3" borderId="1" xfId="0" applyNumberFormat="1" applyFont="1" applyFill="1" applyBorder="1" applyAlignment="1" applyProtection="1">
      <alignment horizontal="left"/>
      <protection locked="0"/>
    </xf>
    <xf numFmtId="0" fontId="9" fillId="2" borderId="14" xfId="0" applyFont="1" applyFill="1" applyBorder="1" applyAlignment="1">
      <alignment horizontal="right" vertical="center"/>
    </xf>
    <xf numFmtId="0" fontId="9" fillId="2" borderId="0" xfId="0" applyFont="1" applyFill="1" applyAlignment="1">
      <alignment horizontal="right" vertical="center"/>
    </xf>
    <xf numFmtId="0" fontId="9" fillId="2" borderId="14" xfId="0" applyFont="1" applyFill="1" applyBorder="1" applyAlignment="1">
      <alignment horizontal="right" vertical="center" wrapText="1"/>
    </xf>
    <xf numFmtId="0" fontId="9" fillId="2" borderId="0" xfId="0" applyFont="1" applyFill="1" applyAlignment="1">
      <alignment horizontal="right" vertical="center" wrapText="1"/>
    </xf>
    <xf numFmtId="0" fontId="21" fillId="2" borderId="0" xfId="0" applyFont="1" applyFill="1" applyAlignment="1">
      <alignment horizontal="center" vertical="center"/>
    </xf>
    <xf numFmtId="0" fontId="21" fillId="2" borderId="18" xfId="0" applyFont="1" applyFill="1" applyBorder="1" applyAlignment="1">
      <alignment horizontal="center" vertical="center"/>
    </xf>
    <xf numFmtId="0" fontId="9" fillId="2" borderId="36" xfId="0" applyFont="1" applyFill="1" applyBorder="1" applyAlignment="1">
      <alignment horizontal="center" vertical="center" wrapText="1"/>
    </xf>
    <xf numFmtId="0" fontId="9" fillId="2" borderId="37" xfId="0" applyFont="1" applyFill="1" applyBorder="1" applyAlignment="1">
      <alignment horizontal="center" vertical="center" wrapText="1"/>
    </xf>
    <xf numFmtId="0" fontId="13" fillId="2" borderId="0" xfId="0" applyFont="1" applyFill="1" applyAlignment="1">
      <alignment horizontal="center" vertical="center" wrapText="1"/>
    </xf>
    <xf numFmtId="0" fontId="13" fillId="2" borderId="38" xfId="0" applyFont="1" applyFill="1" applyBorder="1" applyAlignment="1">
      <alignment horizontal="center" vertical="center" wrapText="1"/>
    </xf>
    <xf numFmtId="0" fontId="13" fillId="2" borderId="12" xfId="0" applyFont="1" applyFill="1" applyBorder="1" applyAlignment="1">
      <alignment horizontal="center" vertical="center" wrapText="1"/>
    </xf>
    <xf numFmtId="0" fontId="9" fillId="5" borderId="19" xfId="0" applyFont="1" applyFill="1" applyBorder="1" applyAlignment="1">
      <alignment horizontal="center" vertical="center"/>
    </xf>
    <xf numFmtId="0" fontId="9" fillId="5" borderId="2" xfId="0" applyFont="1" applyFill="1" applyBorder="1" applyAlignment="1">
      <alignment horizontal="center" vertical="center"/>
    </xf>
    <xf numFmtId="0" fontId="9" fillId="2" borderId="0" xfId="0" applyFont="1" applyFill="1" applyAlignment="1">
      <alignment horizontal="center" vertical="center" wrapText="1"/>
    </xf>
    <xf numFmtId="0" fontId="10" fillId="2" borderId="0" xfId="1" applyNumberFormat="1" applyFont="1" applyFill="1" applyBorder="1" applyAlignment="1">
      <alignment horizontal="center"/>
    </xf>
    <xf numFmtId="0" fontId="14" fillId="2" borderId="27" xfId="0" applyFont="1" applyFill="1" applyBorder="1" applyAlignment="1">
      <alignment horizontal="left"/>
    </xf>
    <xf numFmtId="0" fontId="14" fillId="2" borderId="28" xfId="0" applyFont="1" applyFill="1" applyBorder="1" applyAlignment="1">
      <alignment horizontal="left"/>
    </xf>
    <xf numFmtId="0" fontId="14" fillId="2" borderId="29" xfId="0" applyFont="1" applyFill="1" applyBorder="1" applyAlignment="1">
      <alignment horizontal="left"/>
    </xf>
    <xf numFmtId="0" fontId="20" fillId="0" borderId="0" xfId="0" applyFont="1" applyAlignment="1">
      <alignment horizontal="center" wrapText="1"/>
    </xf>
    <xf numFmtId="0" fontId="20" fillId="0" borderId="0" xfId="0" applyFont="1" applyAlignment="1">
      <alignment horizontal="center" vertical="center"/>
    </xf>
  </cellXfs>
  <cellStyles count="2">
    <cellStyle name="Neutral" xfId="1" builtinId="28"/>
    <cellStyle name="Normal" xfId="0" builtinId="0"/>
  </cellStyles>
  <dxfs count="56">
    <dxf>
      <font>
        <color rgb="FF9C0006"/>
      </font>
      <fill>
        <patternFill patternType="solid">
          <bgColor theme="7" tint="0.59996337778862885"/>
        </patternFill>
      </fill>
    </dxf>
    <dxf>
      <font>
        <color rgb="FF9C0006"/>
      </font>
      <fill>
        <patternFill patternType="solid">
          <bgColor theme="7" tint="0.59996337778862885"/>
        </patternFill>
      </fill>
    </dxf>
    <dxf>
      <font>
        <color theme="1"/>
      </font>
      <fill>
        <patternFill>
          <bgColor theme="1" tint="0.34998626667073579"/>
        </patternFill>
      </fill>
    </dxf>
    <dxf>
      <font>
        <color rgb="FF9C0006"/>
      </font>
      <fill>
        <patternFill>
          <bgColor theme="7" tint="0.59996337778862885"/>
        </patternFill>
      </fill>
    </dxf>
    <dxf>
      <font>
        <color rgb="FF9C0006"/>
      </font>
      <fill>
        <patternFill>
          <bgColor theme="7" tint="0.59996337778862885"/>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1"/>
        </patternFill>
      </fill>
    </dxf>
    <dxf>
      <fill>
        <patternFill>
          <bgColor theme="1"/>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border>
    </dxf>
    <dxf>
      <fill>
        <patternFill>
          <bgColor theme="0"/>
        </patternFill>
      </fill>
    </dxf>
    <dxf>
      <fill>
        <patternFill>
          <bgColor theme="1"/>
        </patternFill>
      </fill>
    </dxf>
    <dxf>
      <fill>
        <patternFill>
          <bgColor theme="1"/>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border>
    </dxf>
    <dxf>
      <fill>
        <patternFill>
          <bgColor theme="0"/>
        </patternFill>
      </fill>
    </dxf>
    <dxf>
      <font>
        <color rgb="FF9C0006"/>
      </font>
      <fill>
        <patternFill patternType="solid">
          <bgColor theme="7" tint="0.59996337778862885"/>
        </patternFill>
      </fill>
    </dxf>
    <dxf>
      <fill>
        <patternFill>
          <bgColor theme="1" tint="0.34998626667073579"/>
        </patternFill>
      </fill>
    </dxf>
    <dxf>
      <fill>
        <patternFill>
          <bgColor theme="1" tint="0.34998626667073579"/>
        </patternFill>
      </fill>
    </dxf>
    <dxf>
      <font>
        <color theme="1"/>
      </font>
      <fill>
        <patternFill>
          <bgColor theme="1" tint="0.34998626667073579"/>
        </patternFill>
      </fill>
    </dxf>
    <dxf>
      <font>
        <color rgb="FF9C0006"/>
      </font>
      <fill>
        <patternFill patternType="solid">
          <bgColor theme="7" tint="0.59996337778862885"/>
        </patternFill>
      </fill>
    </dxf>
    <dxf>
      <font>
        <color rgb="FF9C0006"/>
      </font>
      <fill>
        <patternFill>
          <bgColor theme="7" tint="0.59996337778862885"/>
        </patternFill>
      </fill>
    </dxf>
    <dxf>
      <font>
        <color rgb="FF9C0006"/>
      </font>
      <fill>
        <patternFill patternType="solid">
          <bgColor theme="7" tint="0.59996337778862885"/>
        </patternFill>
      </fill>
    </dxf>
    <dxf>
      <font>
        <color rgb="FF9C0006"/>
      </font>
      <fill>
        <patternFill>
          <bgColor theme="7" tint="0.59996337778862885"/>
        </patternFill>
      </fill>
    </dxf>
    <dxf>
      <font>
        <color rgb="FF9C0006"/>
      </font>
      <fill>
        <patternFill patternType="solid">
          <bgColor theme="7" tint="0.59996337778862885"/>
        </patternFill>
      </fill>
    </dxf>
    <dxf>
      <font>
        <color rgb="FF9C0006"/>
      </font>
      <fill>
        <patternFill>
          <bgColor theme="7" tint="0.59996337778862885"/>
        </patternFill>
      </fill>
    </dxf>
    <dxf>
      <font>
        <color rgb="FF9C0006"/>
      </font>
    </dxf>
    <dxf>
      <font>
        <color rgb="FF9C0006"/>
      </font>
      <fill>
        <patternFill patternType="solid">
          <bgColor theme="7" tint="0.59996337778862885"/>
        </patternFill>
      </fill>
    </dxf>
    <dxf>
      <font>
        <color rgb="FF9C0006"/>
      </font>
      <fill>
        <patternFill>
          <bgColor theme="7" tint="0.59996337778862885"/>
        </patternFill>
      </fill>
    </dxf>
    <dxf>
      <font>
        <color rgb="FF9C0006"/>
      </font>
      <fill>
        <patternFill patternType="solid">
          <bgColor theme="7" tint="0.59996337778862885"/>
        </patternFill>
      </fill>
    </dxf>
    <dxf>
      <font>
        <color rgb="FF9C0006"/>
      </font>
      <fill>
        <patternFill>
          <bgColor theme="7" tint="0.59996337778862885"/>
        </patternFill>
      </fill>
    </dxf>
    <dxf>
      <font>
        <color rgb="FF9C0006"/>
      </font>
      <fill>
        <patternFill>
          <bgColor theme="7" tint="0.59996337778862885"/>
        </patternFill>
      </fill>
    </dxf>
    <dxf>
      <font>
        <color rgb="FF9C0006"/>
      </font>
      <fill>
        <patternFill>
          <bgColor theme="7" tint="0.59996337778862885"/>
        </patternFill>
      </fill>
    </dxf>
    <dxf>
      <font>
        <color rgb="FF9C0006"/>
      </font>
      <fill>
        <patternFill>
          <bgColor theme="7" tint="0.59996337778862885"/>
        </patternFill>
      </fill>
    </dxf>
    <dxf>
      <font>
        <color rgb="FF9C0006"/>
      </font>
      <fill>
        <patternFill>
          <bgColor theme="7" tint="0.59996337778862885"/>
        </patternFill>
      </fill>
    </dxf>
    <dxf>
      <font>
        <color rgb="FF006100"/>
      </font>
      <fill>
        <patternFill>
          <bgColor theme="7" tint="0.59996337778862885"/>
        </patternFill>
      </fill>
    </dxf>
    <dxf>
      <font>
        <color rgb="FF9C0006"/>
      </font>
      <fill>
        <patternFill>
          <bgColor theme="7" tint="0.59996337778862885"/>
        </patternFill>
      </fill>
    </dxf>
    <dxf>
      <font>
        <color rgb="FF006100"/>
      </font>
      <fill>
        <patternFill>
          <bgColor theme="7" tint="0.59996337778862885"/>
        </patternFill>
      </fill>
    </dxf>
    <dxf>
      <font>
        <color rgb="FF9C0006"/>
      </font>
      <fill>
        <patternFill>
          <bgColor theme="7" tint="0.59996337778862885"/>
        </patternFill>
      </fill>
    </dxf>
    <dxf>
      <font>
        <color rgb="FF9C0006"/>
      </font>
      <fill>
        <patternFill patternType="solid">
          <bgColor theme="7" tint="0.59996337778862885"/>
        </patternFill>
      </fill>
    </dxf>
    <dxf>
      <font>
        <color rgb="FF9C0006"/>
      </font>
      <fill>
        <patternFill>
          <bgColor theme="7"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Style="combo" dx="31" fmlaLink="$C$17" fmlaRange="'Spec Sheet'!$C$20:$C$22" noThreeD="1" sel="3" val="0"/>
</file>

<file path=xl/ctrlProps/ctrlProp2.xml><?xml version="1.0" encoding="utf-8"?>
<formControlPr xmlns="http://schemas.microsoft.com/office/spreadsheetml/2009/9/main" objectType="Drop" dropStyle="combo" dx="31" fmlaLink="$C$18" fmlaRange="$P$34:$P$37" noThreeD="1" sel="2" val="0"/>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7.emf"/></Relationships>
</file>

<file path=xl/drawings/_rels/drawing3.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editAs="oneCell">
    <xdr:from>
      <xdr:col>8</xdr:col>
      <xdr:colOff>408534</xdr:colOff>
      <xdr:row>58</xdr:row>
      <xdr:rowOff>140494</xdr:rowOff>
    </xdr:from>
    <xdr:to>
      <xdr:col>13</xdr:col>
      <xdr:colOff>369524</xdr:colOff>
      <xdr:row>78</xdr:row>
      <xdr:rowOff>145422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0647909" y="10677525"/>
          <a:ext cx="3000260" cy="3579978"/>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xdr:col>
          <xdr:colOff>0</xdr:colOff>
          <xdr:row>16</xdr:row>
          <xdr:rowOff>7620</xdr:rowOff>
        </xdr:from>
        <xdr:to>
          <xdr:col>3</xdr:col>
          <xdr:colOff>22860</xdr:colOff>
          <xdr:row>17</xdr:row>
          <xdr:rowOff>346</xdr:rowOff>
        </xdr:to>
        <xdr:sp macro="" textlink="">
          <xdr:nvSpPr>
            <xdr:cNvPr id="1031" name="Drop Dow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17</xdr:row>
          <xdr:rowOff>0</xdr:rowOff>
        </xdr:from>
        <xdr:to>
          <xdr:col>3</xdr:col>
          <xdr:colOff>22860</xdr:colOff>
          <xdr:row>17</xdr:row>
          <xdr:rowOff>228600</xdr:rowOff>
        </xdr:to>
        <xdr:sp macro="" textlink="">
          <xdr:nvSpPr>
            <xdr:cNvPr id="1034" name="Drop Dow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oneCell">
    <xdr:from>
      <xdr:col>8</xdr:col>
      <xdr:colOff>467519</xdr:colOff>
      <xdr:row>95</xdr:row>
      <xdr:rowOff>131761</xdr:rowOff>
    </xdr:from>
    <xdr:to>
      <xdr:col>15</xdr:col>
      <xdr:colOff>250032</xdr:colOff>
      <xdr:row>109</xdr:row>
      <xdr:rowOff>65599</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10706894" y="17157699"/>
          <a:ext cx="4033044" cy="2430975"/>
        </a:xfrm>
        <a:prstGeom prst="rect">
          <a:avLst/>
        </a:prstGeom>
      </xdr:spPr>
    </xdr:pic>
    <xdr:clientData/>
  </xdr:twoCellAnchor>
  <xdr:twoCellAnchor editAs="oneCell">
    <xdr:from>
      <xdr:col>8</xdr:col>
      <xdr:colOff>436275</xdr:colOff>
      <xdr:row>24</xdr:row>
      <xdr:rowOff>151652</xdr:rowOff>
    </xdr:from>
    <xdr:to>
      <xdr:col>13</xdr:col>
      <xdr:colOff>164353</xdr:colOff>
      <xdr:row>49</xdr:row>
      <xdr:rowOff>79067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3"/>
        <a:stretch>
          <a:fillRect/>
        </a:stretch>
      </xdr:blipFill>
      <xdr:spPr>
        <a:xfrm>
          <a:off x="10693393" y="5112123"/>
          <a:ext cx="2791020" cy="4593358"/>
        </a:xfrm>
        <a:prstGeom prst="rect">
          <a:avLst/>
        </a:prstGeom>
      </xdr:spPr>
    </xdr:pic>
    <xdr:clientData/>
  </xdr:twoCellAnchor>
  <xdr:twoCellAnchor editAs="oneCell">
    <xdr:from>
      <xdr:col>9</xdr:col>
      <xdr:colOff>34315</xdr:colOff>
      <xdr:row>185</xdr:row>
      <xdr:rowOff>214312</xdr:rowOff>
    </xdr:from>
    <xdr:to>
      <xdr:col>14</xdr:col>
      <xdr:colOff>229512</xdr:colOff>
      <xdr:row>214</xdr:row>
      <xdr:rowOff>8425</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4"/>
        <a:stretch>
          <a:fillRect/>
        </a:stretch>
      </xdr:blipFill>
      <xdr:spPr>
        <a:xfrm>
          <a:off x="10880909" y="32063531"/>
          <a:ext cx="3231292" cy="5250352"/>
        </a:xfrm>
        <a:prstGeom prst="rect">
          <a:avLst/>
        </a:prstGeom>
      </xdr:spPr>
    </xdr:pic>
    <xdr:clientData/>
  </xdr:twoCellAnchor>
  <xdr:twoCellAnchor editAs="oneCell">
    <xdr:from>
      <xdr:col>8</xdr:col>
      <xdr:colOff>594239</xdr:colOff>
      <xdr:row>265</xdr:row>
      <xdr:rowOff>163655</xdr:rowOff>
    </xdr:from>
    <xdr:to>
      <xdr:col>16</xdr:col>
      <xdr:colOff>533215</xdr:colOff>
      <xdr:row>282</xdr:row>
      <xdr:rowOff>131437</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a:stretch>
          <a:fillRect/>
        </a:stretch>
      </xdr:blipFill>
      <xdr:spPr>
        <a:xfrm>
          <a:off x="10851357" y="49506890"/>
          <a:ext cx="5023644" cy="3142783"/>
        </a:xfrm>
        <a:prstGeom prst="rect">
          <a:avLst/>
        </a:prstGeom>
      </xdr:spPr>
    </xdr:pic>
    <xdr:clientData/>
  </xdr:twoCellAnchor>
  <xdr:twoCellAnchor editAs="oneCell">
    <xdr:from>
      <xdr:col>9</xdr:col>
      <xdr:colOff>101478</xdr:colOff>
      <xdr:row>224</xdr:row>
      <xdr:rowOff>134469</xdr:rowOff>
    </xdr:from>
    <xdr:to>
      <xdr:col>14</xdr:col>
      <xdr:colOff>579676</xdr:colOff>
      <xdr:row>249</xdr:row>
      <xdr:rowOff>621</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6"/>
        <a:stretch>
          <a:fillRect/>
        </a:stretch>
      </xdr:blipFill>
      <xdr:spPr>
        <a:xfrm>
          <a:off x="10971184" y="41760587"/>
          <a:ext cx="3550665" cy="452338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2</xdr:row>
          <xdr:rowOff>0</xdr:rowOff>
        </xdr:from>
        <xdr:to>
          <xdr:col>26</xdr:col>
          <xdr:colOff>514350</xdr:colOff>
          <xdr:row>30</xdr:row>
          <xdr:rowOff>25400</xdr:rowOff>
        </xdr:to>
        <xdr:pic>
          <xdr:nvPicPr>
            <xdr:cNvPr id="5" name="Picture 4">
              <a:extLst>
                <a:ext uri="{FF2B5EF4-FFF2-40B4-BE49-F238E27FC236}">
                  <a16:creationId xmlns:a16="http://schemas.microsoft.com/office/drawing/2014/main" id="{00000000-0008-0000-0100-000005000000}"/>
                </a:ext>
              </a:extLst>
            </xdr:cNvPr>
            <xdr:cNvPicPr>
              <a:picLocks noChangeAspect="1" noChangeArrowheads="1"/>
              <a:extLst>
                <a:ext uri="{84589F7E-364E-4C9E-8A38-B11213B215E9}">
                  <a14:cameraTool cellRange="schematic" spid="_x0000_s2921"/>
                </a:ext>
              </a:extLst>
            </xdr:cNvPicPr>
          </xdr:nvPicPr>
          <xdr:blipFill>
            <a:blip xmlns:r="http://schemas.openxmlformats.org/officeDocument/2006/relationships" r:embed="rId1"/>
            <a:srcRect/>
            <a:stretch>
              <a:fillRect/>
            </a:stretch>
          </xdr:blipFill>
          <xdr:spPr bwMode="auto">
            <a:xfrm>
              <a:off x="7194550" y="393700"/>
              <a:ext cx="11487150" cy="52070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1</xdr:col>
          <xdr:colOff>60960</xdr:colOff>
          <xdr:row>36</xdr:row>
          <xdr:rowOff>60960</xdr:rowOff>
        </xdr:from>
        <xdr:to>
          <xdr:col>3</xdr:col>
          <xdr:colOff>541020</xdr:colOff>
          <xdr:row>39</xdr:row>
          <xdr:rowOff>68580</xdr:rowOff>
        </xdr:to>
        <xdr:sp macro="" textlink="">
          <xdr:nvSpPr>
            <xdr:cNvPr id="2133" name="Button 85" hidden="1">
              <a:extLst>
                <a:ext uri="{63B3BB69-23CF-44E3-9099-C40C66FF867C}">
                  <a14:compatExt spid="_x0000_s2133"/>
                </a:ext>
                <a:ext uri="{FF2B5EF4-FFF2-40B4-BE49-F238E27FC236}">
                  <a16:creationId xmlns:a16="http://schemas.microsoft.com/office/drawing/2014/main" id="{00000000-0008-0000-0100-000055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and open in LT Spice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xdr:row>
          <xdr:rowOff>0</xdr:rowOff>
        </xdr:from>
        <xdr:to>
          <xdr:col>26</xdr:col>
          <xdr:colOff>514350</xdr:colOff>
          <xdr:row>30</xdr:row>
          <xdr:rowOff>31750</xdr:rowOff>
        </xdr:to>
        <xdr:pic>
          <xdr:nvPicPr>
            <xdr:cNvPr id="2275" name="Picture 4">
              <a:extLst>
                <a:ext uri="{FF2B5EF4-FFF2-40B4-BE49-F238E27FC236}">
                  <a16:creationId xmlns:a16="http://schemas.microsoft.com/office/drawing/2014/main" id="{00000000-0008-0000-0100-0000E3080000}"/>
                </a:ext>
              </a:extLst>
            </xdr:cNvPr>
            <xdr:cNvPicPr>
              <a:picLocks noChangeAspect="1" noChangeArrowheads="1"/>
              <a:extLst>
                <a:ext uri="{84589F7E-364E-4C9E-8A38-B11213B215E9}">
                  <a14:cameraTool cellRange="schematic" spid="_x0000_s2922"/>
                </a:ext>
              </a:extLst>
            </xdr:cNvPicPr>
          </xdr:nvPicPr>
          <xdr:blipFill>
            <a:blip xmlns:r="http://schemas.openxmlformats.org/officeDocument/2006/relationships" r:embed="rId1"/>
            <a:srcRect/>
            <a:stretch>
              <a:fillRect/>
            </a:stretch>
          </xdr:blipFill>
          <xdr:spPr bwMode="auto">
            <a:xfrm>
              <a:off x="7194550" y="393700"/>
              <a:ext cx="11487150" cy="52133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xdr:row>
          <xdr:rowOff>0</xdr:rowOff>
        </xdr:from>
        <xdr:to>
          <xdr:col>26</xdr:col>
          <xdr:colOff>411480</xdr:colOff>
          <xdr:row>30</xdr:row>
          <xdr:rowOff>22860</xdr:rowOff>
        </xdr:to>
        <xdr:pic>
          <xdr:nvPicPr>
            <xdr:cNvPr id="2843" name="Picture 4">
              <a:extLst>
                <a:ext uri="{FF2B5EF4-FFF2-40B4-BE49-F238E27FC236}">
                  <a16:creationId xmlns:a16="http://schemas.microsoft.com/office/drawing/2014/main" id="{FC660BA2-0001-7EE7-ABA7-D8D172604FD8}"/>
                </a:ext>
              </a:extLst>
            </xdr:cNvPr>
            <xdr:cNvPicPr>
              <a:picLocks noChangeAspect="1" noChangeArrowheads="1"/>
              <a:extLst>
                <a:ext uri="{84589F7E-364E-4C9E-8A38-B11213B215E9}">
                  <a14:cameraTool cellRange="schematic" spid="_x0000_s2923"/>
                </a:ext>
              </a:extLst>
            </xdr:cNvPicPr>
          </xdr:nvPicPr>
          <xdr:blipFill>
            <a:blip xmlns:r="http://schemas.openxmlformats.org/officeDocument/2006/relationships" r:embed="rId1"/>
            <a:srcRect/>
            <a:stretch>
              <a:fillRect/>
            </a:stretch>
          </xdr:blipFill>
          <xdr:spPr bwMode="auto">
            <a:xfrm>
              <a:off x="7498080" y="396240"/>
              <a:ext cx="11109960" cy="51739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1</xdr:col>
      <xdr:colOff>8867028</xdr:colOff>
      <xdr:row>2</xdr:row>
      <xdr:rowOff>4940335</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1"/>
        <a:stretch>
          <a:fillRect/>
        </a:stretch>
      </xdr:blipFill>
      <xdr:spPr>
        <a:xfrm>
          <a:off x="605118" y="358588"/>
          <a:ext cx="8867028" cy="4940335"/>
        </a:xfrm>
        <a:prstGeom prst="rect">
          <a:avLst/>
        </a:prstGeom>
      </xdr:spPr>
    </xdr:pic>
    <xdr:clientData/>
  </xdr:twoCellAnchor>
  <xdr:twoCellAnchor editAs="oneCell">
    <xdr:from>
      <xdr:col>1</xdr:col>
      <xdr:colOff>1</xdr:colOff>
      <xdr:row>4</xdr:row>
      <xdr:rowOff>1</xdr:rowOff>
    </xdr:from>
    <xdr:to>
      <xdr:col>1</xdr:col>
      <xdr:colOff>8729383</xdr:colOff>
      <xdr:row>4</xdr:row>
      <xdr:rowOff>4966909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605119" y="10757648"/>
          <a:ext cx="8729382" cy="4966908"/>
        </a:xfrm>
        <a:prstGeom prst="rect">
          <a:avLst/>
        </a:prstGeom>
      </xdr:spPr>
    </xdr:pic>
    <xdr:clientData/>
  </xdr:twoCellAnchor>
  <xdr:twoCellAnchor editAs="oneCell">
    <xdr:from>
      <xdr:col>1</xdr:col>
      <xdr:colOff>0</xdr:colOff>
      <xdr:row>3</xdr:row>
      <xdr:rowOff>0</xdr:rowOff>
    </xdr:from>
    <xdr:to>
      <xdr:col>1</xdr:col>
      <xdr:colOff>8929687</xdr:colOff>
      <xdr:row>3</xdr:row>
      <xdr:rowOff>4986890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stretch>
          <a:fillRect/>
        </a:stretch>
      </xdr:blipFill>
      <xdr:spPr>
        <a:xfrm>
          <a:off x="619125" y="5572125"/>
          <a:ext cx="8929687" cy="4986890"/>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EB30F-EB96-4285-A513-2BF4D353C4CE}">
  <sheetPr codeName="Sheet1"/>
  <dimension ref="B1:V432"/>
  <sheetViews>
    <sheetView tabSelected="1" topLeftCell="A108" zoomScaleNormal="100" workbookViewId="0">
      <selection activeCell="F124" sqref="F124"/>
    </sheetView>
  </sheetViews>
  <sheetFormatPr defaultColWidth="8.6640625" defaultRowHeight="14.4" x14ac:dyDescent="0.3"/>
  <cols>
    <col min="1" max="1" width="8.6640625" style="25"/>
    <col min="2" max="2" width="64.88671875" style="25" customWidth="1"/>
    <col min="3" max="3" width="26.88671875" style="4" customWidth="1"/>
    <col min="4" max="4" width="17.6640625" style="4" customWidth="1"/>
    <col min="5" max="5" width="27.6640625" style="4" customWidth="1"/>
    <col min="6" max="6" width="28" style="25" customWidth="1"/>
    <col min="7" max="7" width="27.6640625" style="25" customWidth="1"/>
    <col min="8" max="13" width="8.6640625" style="25"/>
    <col min="14" max="15" width="8.6640625" style="25" customWidth="1"/>
    <col min="16" max="16" width="11" style="25" customWidth="1"/>
    <col min="17" max="26" width="8.6640625" style="25" customWidth="1"/>
    <col min="27" max="16384" width="8.6640625" style="25"/>
  </cols>
  <sheetData>
    <row r="1" spans="2:8" x14ac:dyDescent="0.3">
      <c r="B1" s="24" t="s">
        <v>86</v>
      </c>
    </row>
    <row r="2" spans="2:8" ht="21" x14ac:dyDescent="0.4">
      <c r="B2" s="160" t="s">
        <v>87</v>
      </c>
      <c r="C2" s="160"/>
      <c r="D2" s="160"/>
      <c r="E2" s="160"/>
      <c r="F2" s="160"/>
      <c r="G2" s="160"/>
      <c r="H2" s="160"/>
    </row>
    <row r="3" spans="2:8" ht="15" thickBot="1" x14ac:dyDescent="0.35"/>
    <row r="4" spans="2:8" ht="21.6" thickBot="1" x14ac:dyDescent="0.45">
      <c r="B4" s="1" t="s">
        <v>2</v>
      </c>
      <c r="C4" s="26"/>
      <c r="D4" s="27"/>
      <c r="E4" s="28"/>
      <c r="F4" s="29"/>
      <c r="G4" s="29"/>
      <c r="H4" s="69"/>
    </row>
    <row r="5" spans="2:8" ht="21" x14ac:dyDescent="0.4">
      <c r="B5" s="12"/>
      <c r="C5" s="30"/>
      <c r="D5" s="5"/>
      <c r="H5" s="70"/>
    </row>
    <row r="6" spans="2:8" ht="15.6" x14ac:dyDescent="0.3">
      <c r="B6" s="13" t="s">
        <v>0</v>
      </c>
      <c r="C6" s="86">
        <v>12</v>
      </c>
      <c r="D6" s="31" t="s">
        <v>3</v>
      </c>
      <c r="H6" s="70"/>
    </row>
    <row r="7" spans="2:8" ht="15.6" x14ac:dyDescent="0.3">
      <c r="B7" s="13" t="s">
        <v>4</v>
      </c>
      <c r="C7" s="86">
        <v>13</v>
      </c>
      <c r="D7" s="31" t="s">
        <v>3</v>
      </c>
      <c r="H7" s="70"/>
    </row>
    <row r="8" spans="2:8" ht="15.6" x14ac:dyDescent="0.3">
      <c r="B8" s="13" t="s">
        <v>5</v>
      </c>
      <c r="C8" s="86">
        <v>11.5</v>
      </c>
      <c r="D8" s="31" t="s">
        <v>3</v>
      </c>
      <c r="H8" s="70"/>
    </row>
    <row r="9" spans="2:8" ht="15.6" x14ac:dyDescent="0.3">
      <c r="B9" s="13" t="s">
        <v>6</v>
      </c>
      <c r="C9" s="86">
        <v>10.5</v>
      </c>
      <c r="D9" s="31" t="s">
        <v>3</v>
      </c>
      <c r="H9" s="70"/>
    </row>
    <row r="10" spans="2:8" ht="15.6" x14ac:dyDescent="0.3">
      <c r="B10" s="13" t="s">
        <v>164</v>
      </c>
      <c r="C10" s="86">
        <v>1</v>
      </c>
      <c r="D10" s="31" t="s">
        <v>34</v>
      </c>
      <c r="H10" s="70"/>
    </row>
    <row r="11" spans="2:8" ht="15.6" x14ac:dyDescent="0.3">
      <c r="B11" s="13" t="s">
        <v>1</v>
      </c>
      <c r="C11" s="86">
        <v>25</v>
      </c>
      <c r="D11" s="31" t="s">
        <v>7</v>
      </c>
      <c r="H11" s="70"/>
    </row>
    <row r="12" spans="2:8" ht="16.2" thickBot="1" x14ac:dyDescent="0.35">
      <c r="B12" s="78" t="s">
        <v>51</v>
      </c>
      <c r="C12" s="87">
        <v>20</v>
      </c>
      <c r="D12" s="82" t="s">
        <v>7</v>
      </c>
      <c r="E12" s="50"/>
      <c r="F12" s="45"/>
      <c r="G12" s="45"/>
      <c r="H12" s="71"/>
    </row>
    <row r="13" spans="2:8" ht="15.6" x14ac:dyDescent="0.3">
      <c r="B13" s="111" t="str">
        <f>IF((C6-(C6*C10/100))&gt;C8," ","Undervoltage threshold is lower than the allowed supply voltage tolerance. Chose a lower Undervoltage Threshold")</f>
        <v xml:space="preserve"> </v>
      </c>
      <c r="C13" s="15"/>
    </row>
    <row r="14" spans="2:8" ht="16.2" thickBot="1" x14ac:dyDescent="0.35">
      <c r="B14" s="112" t="str">
        <f>IF((C6+(C6*C10/100))&lt;C7," ","Overvoltage threshold is lower than the allowed supply voltage tolerance. Chose a higher Overvoltage Threshold")</f>
        <v xml:space="preserve"> </v>
      </c>
      <c r="C14" s="15"/>
    </row>
    <row r="15" spans="2:8" ht="18" x14ac:dyDescent="0.35">
      <c r="B15" s="16" t="s">
        <v>25</v>
      </c>
      <c r="C15" s="6"/>
      <c r="D15" s="28"/>
      <c r="E15" s="28"/>
      <c r="F15" s="29"/>
      <c r="G15" s="29"/>
      <c r="H15" s="69"/>
    </row>
    <row r="16" spans="2:8" ht="15.6" x14ac:dyDescent="0.3">
      <c r="B16" s="17" t="s">
        <v>30</v>
      </c>
      <c r="C16" s="15"/>
      <c r="H16" s="70"/>
    </row>
    <row r="17" spans="2:16" ht="20.25" customHeight="1" x14ac:dyDescent="0.3">
      <c r="B17" s="81" t="s">
        <v>151</v>
      </c>
      <c r="C17" s="96">
        <v>3</v>
      </c>
      <c r="H17" s="70"/>
    </row>
    <row r="18" spans="2:16" ht="18.75" customHeight="1" x14ac:dyDescent="0.3">
      <c r="B18" s="33" t="s">
        <v>35</v>
      </c>
      <c r="C18" s="98">
        <v>2</v>
      </c>
      <c r="H18" s="70"/>
      <c r="P18" s="97" t="str">
        <f>IF(C18=1,P34,IF(C18=2,P35,IF(C18=3,P36,IF(C18=4,P37,"Please select the resistor tolerance for your design"))))</f>
        <v>E192 (0.5%)</v>
      </c>
    </row>
    <row r="19" spans="2:16" ht="18" x14ac:dyDescent="0.35">
      <c r="B19" s="85" t="str">
        <f>IF(C17=1,"Go to line#21 to continue design",IF(C17=2,"Go to line#56 to continue design",IF(C17=3,"Go to line#95 to continue design","")))</f>
        <v>Go to line#95 to continue design</v>
      </c>
      <c r="C19" s="34"/>
      <c r="H19" s="70"/>
    </row>
    <row r="20" spans="2:16" ht="18.600000000000001" thickBot="1" x14ac:dyDescent="0.4">
      <c r="B20" s="85"/>
      <c r="C20" s="34"/>
      <c r="H20" s="70"/>
    </row>
    <row r="21" spans="2:16" ht="18" x14ac:dyDescent="0.35">
      <c r="B21" s="73" t="s">
        <v>152</v>
      </c>
      <c r="C21" s="47"/>
      <c r="D21" s="47"/>
      <c r="E21" s="47"/>
      <c r="F21" s="47"/>
      <c r="G21" s="47"/>
      <c r="H21" s="74"/>
    </row>
    <row r="22" spans="2:16" x14ac:dyDescent="0.3">
      <c r="B22" s="75" t="s">
        <v>26</v>
      </c>
      <c r="C22" s="88">
        <v>10</v>
      </c>
      <c r="D22" s="10" t="s">
        <v>27</v>
      </c>
      <c r="E22" s="34"/>
      <c r="F22" s="34"/>
      <c r="G22" s="34"/>
      <c r="H22" s="76"/>
    </row>
    <row r="23" spans="2:16" x14ac:dyDescent="0.3">
      <c r="B23" s="75" t="s">
        <v>148</v>
      </c>
      <c r="C23" s="10">
        <f>'Spec Sheet'!G6</f>
        <v>10</v>
      </c>
      <c r="D23" s="10" t="str">
        <f>'Spec Sheet'!H6</f>
        <v>nA</v>
      </c>
      <c r="E23" s="34"/>
      <c r="F23" s="34"/>
      <c r="G23" s="34"/>
      <c r="H23" s="76"/>
    </row>
    <row r="24" spans="2:16" ht="31.5" customHeight="1" x14ac:dyDescent="0.3">
      <c r="B24" s="75" t="str">
        <f>IF(C22&lt;(100*C23/1000),"In order to minimize the effect of the pin leakage current on the UV OV threshold voltages, it is advised to use resistor ladder current 100X greater than the pin leakage current","")</f>
        <v/>
      </c>
      <c r="C24" s="10"/>
      <c r="D24" s="10"/>
      <c r="E24" s="34"/>
      <c r="F24" s="34"/>
      <c r="G24" s="34"/>
      <c r="H24" s="76"/>
    </row>
    <row r="25" spans="2:16" x14ac:dyDescent="0.3">
      <c r="B25" s="75"/>
      <c r="C25" s="10"/>
      <c r="D25" s="10"/>
      <c r="E25" s="34"/>
      <c r="F25" s="34"/>
      <c r="G25" s="34"/>
      <c r="H25" s="76"/>
    </row>
    <row r="26" spans="2:16" x14ac:dyDescent="0.3">
      <c r="B26" s="75" t="s">
        <v>28</v>
      </c>
      <c r="C26" s="10">
        <f>(C6/C22)*1000</f>
        <v>1200</v>
      </c>
      <c r="D26" s="10" t="s">
        <v>32</v>
      </c>
      <c r="E26" s="34"/>
      <c r="F26" s="34"/>
      <c r="G26" s="34"/>
      <c r="H26" s="76"/>
    </row>
    <row r="27" spans="2:16" x14ac:dyDescent="0.3">
      <c r="B27" s="75" t="s">
        <v>88</v>
      </c>
      <c r="C27" s="10">
        <f>('Spec Sheet'!F4/1000)*(Design!C26)/Design!C7</f>
        <v>46.153846153846153</v>
      </c>
      <c r="D27" s="10" t="s">
        <v>32</v>
      </c>
      <c r="E27" s="34"/>
      <c r="F27" s="34"/>
      <c r="G27" s="34"/>
      <c r="H27" s="76"/>
    </row>
    <row r="28" spans="2:16" x14ac:dyDescent="0.3">
      <c r="B28" s="75" t="s">
        <v>29</v>
      </c>
      <c r="C28" s="10">
        <f>((C7/C8)-1)*C27</f>
        <v>6.020066889632103</v>
      </c>
      <c r="D28" s="10" t="s">
        <v>32</v>
      </c>
      <c r="E28" s="34"/>
      <c r="F28" s="34"/>
      <c r="G28" s="34"/>
      <c r="H28" s="76"/>
    </row>
    <row r="29" spans="2:16" x14ac:dyDescent="0.3">
      <c r="B29" s="75" t="s">
        <v>89</v>
      </c>
      <c r="C29" s="10">
        <f>((C8/C9)-1)*(C7/C8)*C27</f>
        <v>4.9689440993788869</v>
      </c>
      <c r="D29" s="10" t="s">
        <v>32</v>
      </c>
      <c r="E29" s="34"/>
      <c r="F29" s="34"/>
      <c r="G29" s="34"/>
      <c r="H29" s="76"/>
    </row>
    <row r="30" spans="2:16" x14ac:dyDescent="0.3">
      <c r="B30" s="75" t="s">
        <v>31</v>
      </c>
      <c r="C30" s="10">
        <f>C26-C27-C28-C29</f>
        <v>1142.8571428571429</v>
      </c>
      <c r="D30" s="10" t="s">
        <v>32</v>
      </c>
      <c r="E30" s="34"/>
      <c r="F30" s="34"/>
      <c r="G30" s="34"/>
      <c r="H30" s="76"/>
    </row>
    <row r="31" spans="2:16" x14ac:dyDescent="0.3">
      <c r="B31" s="75"/>
      <c r="C31" s="10"/>
      <c r="D31" s="10"/>
      <c r="E31" s="34"/>
      <c r="F31" s="34"/>
      <c r="G31" s="34"/>
      <c r="H31" s="76"/>
    </row>
    <row r="32" spans="2:16" x14ac:dyDescent="0.3">
      <c r="B32" s="75"/>
      <c r="C32" s="10"/>
      <c r="D32" s="10"/>
      <c r="E32" s="34"/>
      <c r="F32" s="34"/>
      <c r="G32" s="34"/>
      <c r="H32" s="76"/>
    </row>
    <row r="33" spans="2:22" x14ac:dyDescent="0.3">
      <c r="B33" s="75" t="s">
        <v>99</v>
      </c>
      <c r="C33" s="10"/>
      <c r="D33" s="10"/>
      <c r="E33" s="34"/>
      <c r="F33" s="34"/>
      <c r="G33" s="34"/>
      <c r="H33" s="76"/>
    </row>
    <row r="34" spans="2:22" x14ac:dyDescent="0.3">
      <c r="B34" s="75" t="s">
        <v>88</v>
      </c>
      <c r="C34" s="10">
        <f>ROUND(10^(ROUND((LOG10(C27)-INT(LOG10(C27)))*$U$35,0)/$U$35),2)*10^(INT(LOG10(C27)))</f>
        <v>46.4</v>
      </c>
      <c r="D34" s="10" t="s">
        <v>32</v>
      </c>
      <c r="E34" s="34"/>
      <c r="F34" s="34"/>
      <c r="G34" s="34"/>
      <c r="H34" s="76"/>
      <c r="P34" s="37" t="s">
        <v>93</v>
      </c>
      <c r="Q34" s="38">
        <v>96</v>
      </c>
      <c r="R34" s="38">
        <v>1</v>
      </c>
      <c r="S34" s="38">
        <f>IF($P$18=P34,1,0)</f>
        <v>0</v>
      </c>
      <c r="T34" s="38"/>
      <c r="U34" s="39" t="s">
        <v>94</v>
      </c>
      <c r="V34" s="39" t="s">
        <v>95</v>
      </c>
    </row>
    <row r="35" spans="2:22" x14ac:dyDescent="0.3">
      <c r="B35" s="75" t="s">
        <v>29</v>
      </c>
      <c r="C35" s="10">
        <f>ROUND(10^(ROUND((LOG10(C28)-INT(LOG10(C28)))*$U$35,0)/$U$35),2)*10^(INT(LOG10(C28)))</f>
        <v>6.04</v>
      </c>
      <c r="D35" s="10" t="s">
        <v>32</v>
      </c>
      <c r="E35" s="34"/>
      <c r="F35" s="34"/>
      <c r="G35" s="34"/>
      <c r="H35" s="76"/>
      <c r="P35" s="37" t="s">
        <v>96</v>
      </c>
      <c r="Q35" s="38">
        <v>192</v>
      </c>
      <c r="R35" s="38">
        <v>0.5</v>
      </c>
      <c r="S35" s="38">
        <f>IF($P$18=P35,1,0)</f>
        <v>1</v>
      </c>
      <c r="T35" s="38"/>
      <c r="U35" s="40">
        <f>IF(S34=1,96,192)</f>
        <v>192</v>
      </c>
      <c r="V35" s="41">
        <f>IF(S34=1,R34,IF(S35=1,R35,IF(S36=1,R36,IF(S37=1,R37,1))))</f>
        <v>0.5</v>
      </c>
    </row>
    <row r="36" spans="2:22" x14ac:dyDescent="0.3">
      <c r="B36" s="75" t="s">
        <v>89</v>
      </c>
      <c r="C36" s="10">
        <f t="shared" ref="C36:C37" si="0">ROUND(10^(ROUND((LOG10(C29)-INT(LOG10(C29)))*$U$35,0)/$U$35),2)*10^(INT(LOG10(C29)))</f>
        <v>4.99</v>
      </c>
      <c r="D36" s="10" t="s">
        <v>32</v>
      </c>
      <c r="E36" s="34"/>
      <c r="F36" s="34"/>
      <c r="G36" s="34"/>
      <c r="H36" s="76"/>
      <c r="P36" s="37" t="s">
        <v>97</v>
      </c>
      <c r="Q36" s="38">
        <v>192</v>
      </c>
      <c r="R36" s="38">
        <v>0.25</v>
      </c>
      <c r="S36" s="38">
        <f>IF($P$18=P36,1,0)</f>
        <v>0</v>
      </c>
      <c r="T36" s="38"/>
      <c r="U36" s="40"/>
      <c r="V36" s="41"/>
    </row>
    <row r="37" spans="2:22" x14ac:dyDescent="0.3">
      <c r="B37" s="75" t="s">
        <v>31</v>
      </c>
      <c r="C37" s="10">
        <f t="shared" si="0"/>
        <v>1140</v>
      </c>
      <c r="D37" s="10" t="s">
        <v>32</v>
      </c>
      <c r="E37" s="34"/>
      <c r="F37" s="34"/>
      <c r="G37" s="34"/>
      <c r="H37" s="76"/>
      <c r="P37" s="37" t="s">
        <v>98</v>
      </c>
      <c r="Q37" s="38">
        <v>192</v>
      </c>
      <c r="R37" s="38">
        <v>0.1</v>
      </c>
      <c r="S37" s="38">
        <f>IF($P$18=P37,1,0)</f>
        <v>0</v>
      </c>
      <c r="T37" s="38"/>
      <c r="U37" s="40"/>
      <c r="V37" s="41"/>
    </row>
    <row r="38" spans="2:22" x14ac:dyDescent="0.3">
      <c r="B38" s="75"/>
      <c r="C38" s="10"/>
      <c r="D38" s="10"/>
      <c r="E38" s="34"/>
      <c r="F38" s="34"/>
      <c r="G38" s="34"/>
      <c r="H38" s="76"/>
    </row>
    <row r="39" spans="2:22" x14ac:dyDescent="0.3">
      <c r="B39" s="75" t="s">
        <v>33</v>
      </c>
      <c r="C39" s="10"/>
      <c r="D39" s="10"/>
      <c r="E39" s="34"/>
      <c r="F39" s="34"/>
      <c r="G39" s="34"/>
      <c r="H39" s="76"/>
      <c r="P39" s="4" t="s">
        <v>90</v>
      </c>
      <c r="Q39" s="25" t="s">
        <v>91</v>
      </c>
    </row>
    <row r="40" spans="2:22" x14ac:dyDescent="0.3">
      <c r="B40" s="75" t="s">
        <v>88</v>
      </c>
      <c r="C40" s="88">
        <v>38.799999999999997</v>
      </c>
      <c r="D40" s="10" t="s">
        <v>32</v>
      </c>
      <c r="E40" s="34"/>
      <c r="F40" s="34"/>
      <c r="G40" s="34"/>
      <c r="H40" s="76"/>
      <c r="P40" s="4">
        <f>C40-($C$44/100*C40)</f>
        <v>38.605999999999995</v>
      </c>
      <c r="Q40" s="25">
        <f>C40+($C$44/100*C40)</f>
        <v>38.994</v>
      </c>
    </row>
    <row r="41" spans="2:22" x14ac:dyDescent="0.3">
      <c r="B41" s="75" t="s">
        <v>29</v>
      </c>
      <c r="C41" s="88">
        <v>13.5</v>
      </c>
      <c r="D41" s="10" t="s">
        <v>32</v>
      </c>
      <c r="E41" s="34"/>
      <c r="F41" s="34"/>
      <c r="G41" s="34"/>
      <c r="H41" s="76"/>
      <c r="P41" s="4">
        <f>C41-($C$44/100*C41)</f>
        <v>13.432499999999999</v>
      </c>
      <c r="Q41" s="25">
        <f>C41+($C$44/100*C41)</f>
        <v>13.567500000000001</v>
      </c>
    </row>
    <row r="42" spans="2:22" x14ac:dyDescent="0.3">
      <c r="B42" s="75" t="s">
        <v>89</v>
      </c>
      <c r="C42" s="88">
        <v>4.99</v>
      </c>
      <c r="D42" s="10" t="s">
        <v>32</v>
      </c>
      <c r="E42" s="34"/>
      <c r="F42" s="34"/>
      <c r="G42" s="34"/>
      <c r="H42" s="76"/>
      <c r="P42" s="4">
        <f>C42-($C$44/100*C42)</f>
        <v>4.9650500000000006</v>
      </c>
      <c r="Q42" s="25">
        <f>C42+($C$44/100*C42)</f>
        <v>5.0149499999999998</v>
      </c>
    </row>
    <row r="43" spans="2:22" x14ac:dyDescent="0.3">
      <c r="B43" s="75" t="s">
        <v>31</v>
      </c>
      <c r="C43" s="88">
        <v>1140</v>
      </c>
      <c r="D43" s="10" t="s">
        <v>32</v>
      </c>
      <c r="E43" s="34"/>
      <c r="F43" s="34"/>
      <c r="G43" s="34"/>
      <c r="H43" s="76"/>
      <c r="P43" s="4">
        <f>C43-($C$44/100*C43)</f>
        <v>1134.3</v>
      </c>
      <c r="Q43" s="25">
        <f>C43+($C$44/100*C43)</f>
        <v>1145.7</v>
      </c>
    </row>
    <row r="44" spans="2:22" x14ac:dyDescent="0.3">
      <c r="B44" s="75" t="s">
        <v>35</v>
      </c>
      <c r="C44" s="10">
        <f>V35</f>
        <v>0.5</v>
      </c>
      <c r="D44" s="10" t="s">
        <v>34</v>
      </c>
      <c r="E44" s="34"/>
      <c r="F44" s="34"/>
      <c r="G44" s="34"/>
      <c r="H44" s="76"/>
    </row>
    <row r="45" spans="2:22" x14ac:dyDescent="0.3">
      <c r="B45" s="75" t="s">
        <v>138</v>
      </c>
      <c r="C45" s="68">
        <f>C22*C22*MAX(C40:C43)/(10^(9))</f>
        <v>1.1400000000000001E-4</v>
      </c>
      <c r="D45" s="10" t="s">
        <v>61</v>
      </c>
      <c r="E45" s="34"/>
      <c r="F45" s="34"/>
      <c r="G45" s="34"/>
      <c r="H45" s="76"/>
      <c r="P45" s="25" t="s">
        <v>111</v>
      </c>
    </row>
    <row r="46" spans="2:22" x14ac:dyDescent="0.3">
      <c r="B46" s="75" t="s">
        <v>112</v>
      </c>
      <c r="C46" s="10">
        <f>IF(C45&lt;$P$46,$P$46,IF(C45&lt;$P$47,$P$47,IF(C45&lt;$P$48,$P$48,IF(C45&lt;$P$49,$P$49,IF(C45&lt;$P$50,$P$50,IF(C45&lt;$P$51,$P$51,IF(C45&lt;$P$52,$P$52,"Too much power dissipation in the resistor")))))))</f>
        <v>0.05</v>
      </c>
      <c r="D46" s="10" t="s">
        <v>61</v>
      </c>
      <c r="E46" s="34"/>
      <c r="F46" s="34"/>
      <c r="G46" s="34"/>
      <c r="H46" s="76"/>
      <c r="P46" s="25">
        <v>0.05</v>
      </c>
    </row>
    <row r="47" spans="2:22" x14ac:dyDescent="0.3">
      <c r="B47" s="75"/>
      <c r="C47" s="10"/>
      <c r="D47" s="10"/>
      <c r="E47" s="34"/>
      <c r="F47" s="34"/>
      <c r="G47" s="34"/>
      <c r="H47" s="76"/>
      <c r="P47" s="25">
        <v>6.2E-2</v>
      </c>
    </row>
    <row r="48" spans="2:22" x14ac:dyDescent="0.3">
      <c r="B48" s="75" t="s">
        <v>145</v>
      </c>
      <c r="C48" s="10" t="s">
        <v>11</v>
      </c>
      <c r="D48" s="10" t="s">
        <v>12</v>
      </c>
      <c r="E48" s="10" t="s">
        <v>13</v>
      </c>
      <c r="F48" s="10"/>
      <c r="G48" s="34"/>
      <c r="H48" s="76"/>
      <c r="P48" s="25">
        <v>0.1</v>
      </c>
    </row>
    <row r="49" spans="2:16" x14ac:dyDescent="0.3">
      <c r="B49" s="75" t="s">
        <v>36</v>
      </c>
      <c r="C49" s="10">
        <f>(Q40+P41+P42+P43)*('Spec Sheet'!$E$4)/(Design!Q40)/1000</f>
        <v>14.974838680309791</v>
      </c>
      <c r="D49" s="10">
        <f>SUM(C40:C43)*'Spec Sheet'!$F$4/Design!C40/1000</f>
        <v>15.428994845360826</v>
      </c>
      <c r="E49" s="10">
        <f>(P40+Q41+Q42+Q43)*'Spec Sheet'!$G$4/Design!P40/1000</f>
        <v>15.890615694451643</v>
      </c>
      <c r="F49" s="10" t="s">
        <v>3</v>
      </c>
      <c r="G49" s="34"/>
      <c r="H49" s="76"/>
      <c r="P49" s="25">
        <v>0.125</v>
      </c>
    </row>
    <row r="50" spans="2:16" x14ac:dyDescent="0.3">
      <c r="B50" s="75" t="s">
        <v>52</v>
      </c>
      <c r="C50" s="10">
        <f>P43/Q40*('Spec Sheet'!$E$4-'Spec Sheet'!$G$5)/1000</f>
        <v>12.508308970610862</v>
      </c>
      <c r="D50" s="10">
        <f>C43/C40*('Spec Sheet'!$F$4-'Spec Sheet'!$F$5)/1000</f>
        <v>13.221649484536083</v>
      </c>
      <c r="E50" s="10">
        <f>Q43/P40*('Spec Sheet'!$G$4-'Spec Sheet'!$E$5)/1000</f>
        <v>13.948065067606073</v>
      </c>
      <c r="F50" s="10" t="s">
        <v>3</v>
      </c>
      <c r="G50" s="34"/>
      <c r="H50" s="76"/>
      <c r="P50" s="25">
        <v>0.25</v>
      </c>
    </row>
    <row r="51" spans="2:16" x14ac:dyDescent="0.3">
      <c r="B51" s="75" t="s">
        <v>37</v>
      </c>
      <c r="C51" s="10">
        <f>(Q40+Q41+P42+P43)*'Spec Sheet'!$E$4/(Design!Q40+Q41)/1000</f>
        <v>11.11069907632012</v>
      </c>
      <c r="D51" s="10">
        <f>SUM(C40:C43)*'Spec Sheet'!$F$4/(Design!C40+C41)/1000</f>
        <v>11.446367112810709</v>
      </c>
      <c r="E51" s="10">
        <f>(P40+P41+Q42+Q43)*'Spec Sheet'!$G$4/(Design!P40+P41)/1000</f>
        <v>11.78750846969071</v>
      </c>
      <c r="F51" s="10" t="s">
        <v>3</v>
      </c>
      <c r="G51" s="34"/>
      <c r="H51" s="76"/>
      <c r="P51" s="25">
        <v>0.5</v>
      </c>
    </row>
    <row r="52" spans="2:16" x14ac:dyDescent="0.3">
      <c r="B52" s="75" t="s">
        <v>38</v>
      </c>
      <c r="C52" s="10">
        <f>(Q40+Q41+Q42+P43)*'Spec Sheet'!$E$4/(Design!Q40+Q41+Q42)/1000</f>
        <v>10.143373905476979</v>
      </c>
      <c r="D52" s="10">
        <f>SUM(C40:C43)*'Spec Sheet'!$F$4/(Design!C40+C41+C42)/1000</f>
        <v>10.449380345610054</v>
      </c>
      <c r="E52" s="10">
        <f>(P40+P41+P42+Q43)*'Spec Sheet'!$G$4/(Design!P40+P41+P42)/1000</f>
        <v>10.7603616002863</v>
      </c>
      <c r="F52" s="10" t="s">
        <v>3</v>
      </c>
      <c r="G52" s="34"/>
      <c r="H52" s="76"/>
      <c r="P52" s="25">
        <v>1</v>
      </c>
    </row>
    <row r="53" spans="2:16" x14ac:dyDescent="0.3">
      <c r="B53" s="84"/>
      <c r="C53" s="34"/>
      <c r="D53" s="34"/>
      <c r="E53" s="34"/>
      <c r="F53" s="34"/>
      <c r="G53" s="34"/>
      <c r="H53" s="76"/>
    </row>
    <row r="54" spans="2:16" ht="15.6" x14ac:dyDescent="0.3">
      <c r="B54" s="14" t="str">
        <f>IF(($C$6-($C$6*$C$10/100))&gt;E51," ","Undervoltage threshold is lower than the allowed supply voltage tolerance. Chose a lower Undervoltage Threshold")</f>
        <v xml:space="preserve"> </v>
      </c>
      <c r="C54" s="34"/>
      <c r="D54" s="34"/>
      <c r="E54" s="34"/>
      <c r="F54" s="34"/>
      <c r="G54" s="34"/>
      <c r="H54" s="76"/>
    </row>
    <row r="55" spans="2:16" ht="15.6" x14ac:dyDescent="0.3">
      <c r="B55" s="14" t="str">
        <f>IF(AND((C17=1),($C$6+($C$6*$C$10/100))&gt;=C50),"Overvoltage B53threshold is lower than the allowed supply voltage tolerance. Chose a higher Overvoltage Threshold","")</f>
        <v/>
      </c>
      <c r="C55" s="34"/>
      <c r="D55" s="34"/>
      <c r="E55" s="34"/>
      <c r="H55" s="70"/>
    </row>
    <row r="56" spans="2:16" ht="18" x14ac:dyDescent="0.35">
      <c r="B56" s="77" t="s">
        <v>158</v>
      </c>
      <c r="C56" s="10"/>
      <c r="D56" s="10"/>
      <c r="E56" s="34"/>
      <c r="H56" s="70"/>
    </row>
    <row r="57" spans="2:16" x14ac:dyDescent="0.3">
      <c r="B57" s="33"/>
      <c r="C57" s="10"/>
      <c r="D57" s="10"/>
      <c r="E57" s="34"/>
      <c r="H57" s="70"/>
    </row>
    <row r="58" spans="2:16" x14ac:dyDescent="0.3">
      <c r="B58" s="75" t="s">
        <v>153</v>
      </c>
      <c r="C58" s="88">
        <v>3</v>
      </c>
      <c r="D58" s="10" t="s">
        <v>27</v>
      </c>
      <c r="E58" s="34"/>
      <c r="H58" s="70"/>
    </row>
    <row r="59" spans="2:16" x14ac:dyDescent="0.3">
      <c r="B59" s="75" t="s">
        <v>148</v>
      </c>
      <c r="C59" s="10">
        <f>'Spec Sheet'!G6</f>
        <v>10</v>
      </c>
      <c r="D59" s="10" t="str">
        <f>'Spec Sheet'!H6</f>
        <v>nA</v>
      </c>
      <c r="E59" s="34"/>
      <c r="H59" s="70"/>
    </row>
    <row r="60" spans="2:16" x14ac:dyDescent="0.3">
      <c r="B60" s="75" t="str">
        <f>IF(C58&lt;(100*C59/1000),"In order to minimize the effect of the pin leakage current on the UV OV threshold voltages, it is advised to use resistor ladder current 100X greater than the pin leakage current","")</f>
        <v/>
      </c>
      <c r="C60" s="10"/>
      <c r="D60" s="10"/>
      <c r="E60" s="34"/>
      <c r="H60" s="70"/>
    </row>
    <row r="61" spans="2:16" x14ac:dyDescent="0.3">
      <c r="B61" s="75" t="s">
        <v>157</v>
      </c>
      <c r="C61" s="10"/>
      <c r="D61" s="10"/>
      <c r="E61" s="34"/>
      <c r="H61" s="70"/>
    </row>
    <row r="62" spans="2:16" x14ac:dyDescent="0.3">
      <c r="B62" s="75" t="s">
        <v>154</v>
      </c>
      <c r="C62" s="10">
        <f>C6/C58*1000</f>
        <v>4000</v>
      </c>
      <c r="D62" s="10" t="s">
        <v>32</v>
      </c>
      <c r="E62" s="34"/>
      <c r="H62" s="70"/>
    </row>
    <row r="63" spans="2:16" x14ac:dyDescent="0.3">
      <c r="B63" s="33" t="s">
        <v>88</v>
      </c>
      <c r="C63" s="10">
        <f>'Spec Sheet'!F4*Design!C62/Design!C8/1000</f>
        <v>173.91304347826087</v>
      </c>
      <c r="D63" s="10" t="s">
        <v>32</v>
      </c>
      <c r="E63" s="34"/>
      <c r="H63" s="70"/>
    </row>
    <row r="64" spans="2:16" x14ac:dyDescent="0.3">
      <c r="B64" s="33" t="s">
        <v>29</v>
      </c>
      <c r="C64" s="10">
        <f>('Spec Sheet'!F4/Design!C9*Design!C62/1000)-Design!C63</f>
        <v>16.563146997929607</v>
      </c>
      <c r="D64" s="10" t="s">
        <v>32</v>
      </c>
      <c r="E64" s="34"/>
      <c r="H64" s="70"/>
    </row>
    <row r="65" spans="2:17" x14ac:dyDescent="0.3">
      <c r="B65" s="33" t="s">
        <v>89</v>
      </c>
      <c r="C65" s="10">
        <f>C62-C63-C64</f>
        <v>3809.5238095238092</v>
      </c>
      <c r="D65" s="10" t="s">
        <v>32</v>
      </c>
      <c r="E65" s="34"/>
      <c r="H65" s="70"/>
    </row>
    <row r="66" spans="2:17" x14ac:dyDescent="0.3">
      <c r="B66" s="33" t="s">
        <v>31</v>
      </c>
      <c r="C66" s="10">
        <f>'Spec Sheet'!F4*Design!C62/Design!C7/1000</f>
        <v>153.84615384615384</v>
      </c>
      <c r="D66" s="10" t="s">
        <v>32</v>
      </c>
      <c r="E66" s="34"/>
      <c r="H66" s="70"/>
    </row>
    <row r="67" spans="2:17" x14ac:dyDescent="0.3">
      <c r="B67" s="33" t="s">
        <v>104</v>
      </c>
      <c r="C67" s="10">
        <f>C62-C66</f>
        <v>3846.1538461538462</v>
      </c>
      <c r="D67" s="10" t="s">
        <v>32</v>
      </c>
      <c r="E67" s="34"/>
      <c r="H67" s="70"/>
    </row>
    <row r="68" spans="2:17" x14ac:dyDescent="0.3">
      <c r="B68" s="33"/>
      <c r="C68" s="10"/>
      <c r="D68" s="10"/>
      <c r="E68" s="34"/>
      <c r="H68" s="70"/>
    </row>
    <row r="69" spans="2:17" x14ac:dyDescent="0.3">
      <c r="B69" s="75" t="s">
        <v>99</v>
      </c>
      <c r="C69" s="10"/>
      <c r="D69" s="10"/>
      <c r="E69" s="34"/>
      <c r="H69" s="70"/>
    </row>
    <row r="70" spans="2:17" x14ac:dyDescent="0.3">
      <c r="B70" s="33" t="s">
        <v>88</v>
      </c>
      <c r="C70" s="10">
        <f>ROUND(10^(ROUND((LOG10(C63)-INT(LOG10(C63)))*$U$35,0)/$U$35),2)*10^(INT(LOG10(C63)))</f>
        <v>174</v>
      </c>
      <c r="D70" s="10" t="s">
        <v>32</v>
      </c>
      <c r="E70" s="34"/>
      <c r="H70" s="70"/>
    </row>
    <row r="71" spans="2:17" x14ac:dyDescent="0.3">
      <c r="B71" s="33" t="s">
        <v>29</v>
      </c>
      <c r="C71" s="10">
        <f>ROUND(10^(ROUND((LOG10(C64)-INT(LOG10(C64)))*$U$35,0)/$U$35),2)*10^(INT(LOG10(C64)))</f>
        <v>16.5</v>
      </c>
      <c r="D71" s="10" t="s">
        <v>32</v>
      </c>
      <c r="E71" s="34"/>
      <c r="H71" s="70"/>
    </row>
    <row r="72" spans="2:17" x14ac:dyDescent="0.3">
      <c r="B72" s="33" t="s">
        <v>89</v>
      </c>
      <c r="C72" s="10">
        <f>ROUND(10^(ROUND((LOG10(C65)-INT(LOG10(C65)))*$U$35,0)/$U$35),2)*10^(INT(LOG10(C65)))</f>
        <v>3830</v>
      </c>
      <c r="D72" s="10" t="s">
        <v>32</v>
      </c>
      <c r="E72" s="34"/>
      <c r="H72" s="70"/>
    </row>
    <row r="73" spans="2:17" x14ac:dyDescent="0.3">
      <c r="B73" s="33" t="s">
        <v>31</v>
      </c>
      <c r="C73" s="10">
        <f>ROUND(10^(ROUND((LOG10(C66)-INT(LOG10(C66)))*$U$35,0)/$U$35),2)*10^(INT(LOG10(C66)))</f>
        <v>154</v>
      </c>
      <c r="D73" s="10" t="s">
        <v>32</v>
      </c>
      <c r="E73" s="34"/>
      <c r="H73" s="70"/>
    </row>
    <row r="74" spans="2:17" x14ac:dyDescent="0.3">
      <c r="B74" s="33" t="s">
        <v>104</v>
      </c>
      <c r="C74" s="10">
        <f>ROUND(10^(ROUND((LOG10(C67)-INT(LOG10(C67)))*$U$35,0)/$U$35),2)*10^(INT(LOG10(C67)))</f>
        <v>3830</v>
      </c>
      <c r="D74" s="10" t="s">
        <v>32</v>
      </c>
      <c r="E74" s="34"/>
      <c r="H74" s="70"/>
    </row>
    <row r="75" spans="2:17" x14ac:dyDescent="0.3">
      <c r="B75" s="32"/>
      <c r="C75" s="34"/>
      <c r="D75" s="34"/>
      <c r="E75" s="34"/>
      <c r="H75" s="70"/>
    </row>
    <row r="76" spans="2:17" x14ac:dyDescent="0.3">
      <c r="B76" s="75" t="s">
        <v>33</v>
      </c>
      <c r="C76" s="10"/>
      <c r="D76" s="10"/>
      <c r="E76" s="34"/>
      <c r="F76" s="34"/>
      <c r="H76" s="70"/>
      <c r="P76" s="25" t="s">
        <v>90</v>
      </c>
      <c r="Q76" s="25" t="s">
        <v>91</v>
      </c>
    </row>
    <row r="77" spans="2:17" x14ac:dyDescent="0.3">
      <c r="B77" s="33" t="s">
        <v>88</v>
      </c>
      <c r="C77" s="88">
        <v>221</v>
      </c>
      <c r="D77" s="10" t="s">
        <v>32</v>
      </c>
      <c r="E77" s="34"/>
      <c r="F77" s="34"/>
      <c r="H77" s="70"/>
      <c r="P77" s="25">
        <f>C77-($C$82/100*C77)</f>
        <v>219.89500000000001</v>
      </c>
      <c r="Q77" s="25">
        <f>C77+($C$82/100*C77)</f>
        <v>222.10499999999999</v>
      </c>
    </row>
    <row r="78" spans="2:17" x14ac:dyDescent="0.3">
      <c r="B78" s="33" t="s">
        <v>29</v>
      </c>
      <c r="C78" s="88">
        <v>110</v>
      </c>
      <c r="D78" s="10" t="s">
        <v>32</v>
      </c>
      <c r="E78" s="34"/>
      <c r="F78" s="34"/>
      <c r="H78" s="70"/>
      <c r="P78" s="25">
        <f t="shared" ref="P78:P81" si="1">C78-($C$82/100*C78)</f>
        <v>109.45</v>
      </c>
      <c r="Q78" s="25">
        <f t="shared" ref="Q78:Q81" si="2">C78+($C$82/100*C78)</f>
        <v>110.55</v>
      </c>
    </row>
    <row r="79" spans="2:17" x14ac:dyDescent="0.3">
      <c r="B79" s="33" t="s">
        <v>89</v>
      </c>
      <c r="C79" s="88">
        <v>3650</v>
      </c>
      <c r="D79" s="10" t="s">
        <v>32</v>
      </c>
      <c r="E79" s="34"/>
      <c r="F79" s="34"/>
      <c r="H79" s="70"/>
      <c r="P79" s="25">
        <f t="shared" si="1"/>
        <v>3631.75</v>
      </c>
      <c r="Q79" s="25">
        <f t="shared" si="2"/>
        <v>3668.25</v>
      </c>
    </row>
    <row r="80" spans="2:17" x14ac:dyDescent="0.3">
      <c r="B80" s="33" t="s">
        <v>31</v>
      </c>
      <c r="C80" s="88">
        <v>124</v>
      </c>
      <c r="D80" s="10" t="s">
        <v>32</v>
      </c>
      <c r="E80" s="34"/>
      <c r="F80" s="34"/>
      <c r="H80" s="70"/>
      <c r="P80" s="25">
        <f t="shared" si="1"/>
        <v>123.38</v>
      </c>
      <c r="Q80" s="25">
        <f t="shared" si="2"/>
        <v>124.62</v>
      </c>
    </row>
    <row r="81" spans="2:17" x14ac:dyDescent="0.3">
      <c r="B81" s="33" t="s">
        <v>104</v>
      </c>
      <c r="C81" s="88">
        <v>3830</v>
      </c>
      <c r="D81" s="10" t="s">
        <v>32</v>
      </c>
      <c r="E81" s="34"/>
      <c r="F81" s="34"/>
      <c r="H81" s="70"/>
      <c r="P81" s="25">
        <f t="shared" si="1"/>
        <v>3810.85</v>
      </c>
      <c r="Q81" s="25">
        <f t="shared" si="2"/>
        <v>3849.15</v>
      </c>
    </row>
    <row r="82" spans="2:17" x14ac:dyDescent="0.3">
      <c r="B82" s="75" t="s">
        <v>35</v>
      </c>
      <c r="C82" s="10">
        <f>V35</f>
        <v>0.5</v>
      </c>
      <c r="D82" s="10" t="s">
        <v>34</v>
      </c>
      <c r="E82" s="34"/>
      <c r="F82" s="34"/>
      <c r="H82" s="70"/>
    </row>
    <row r="83" spans="2:17" x14ac:dyDescent="0.3">
      <c r="B83" s="75" t="s">
        <v>138</v>
      </c>
      <c r="C83" s="68">
        <f>C59*C59*MAX(C77:C81)/(10^(9))</f>
        <v>3.8299999999999999E-4</v>
      </c>
      <c r="D83" s="10" t="s">
        <v>61</v>
      </c>
      <c r="E83" s="34"/>
      <c r="F83" s="34"/>
      <c r="H83" s="70"/>
    </row>
    <row r="84" spans="2:17" x14ac:dyDescent="0.3">
      <c r="B84" s="75" t="s">
        <v>112</v>
      </c>
      <c r="C84" s="10">
        <f>IF(C83&lt;$P$46,$P$46,IF(C83&lt;$P$47,$P$47,IF(C83&lt;$P$48,$P$48,IF(C83&lt;$P$49,$P$49,IF(C83&lt;$P$50,$P$50,IF(C83&lt;$P$51,$P$51,IF(C83&lt;$P$52,$P$52,"Too much power dissipation in the resistor")))))))</f>
        <v>0.05</v>
      </c>
      <c r="D84" s="10" t="s">
        <v>61</v>
      </c>
      <c r="E84" s="34"/>
      <c r="F84" s="34"/>
      <c r="H84" s="70"/>
    </row>
    <row r="85" spans="2:17" x14ac:dyDescent="0.3">
      <c r="B85" s="75"/>
      <c r="C85" s="10"/>
      <c r="D85" s="10"/>
      <c r="E85" s="34"/>
      <c r="F85" s="34"/>
      <c r="H85" s="70"/>
    </row>
    <row r="86" spans="2:17" x14ac:dyDescent="0.3">
      <c r="B86" s="75" t="s">
        <v>145</v>
      </c>
      <c r="C86" s="10" t="s">
        <v>11</v>
      </c>
      <c r="D86" s="10" t="s">
        <v>12</v>
      </c>
      <c r="E86" s="10" t="s">
        <v>13</v>
      </c>
      <c r="F86" s="10"/>
      <c r="H86" s="70"/>
    </row>
    <row r="87" spans="2:17" x14ac:dyDescent="0.3">
      <c r="B87" s="75" t="s">
        <v>36</v>
      </c>
      <c r="C87" s="10">
        <f>(Q80+P81)/Q80*'Spec Sheet'!E4/1000</f>
        <v>15.474083614187128</v>
      </c>
      <c r="D87" s="10">
        <f>SUM(C80:C81)/C80*'Spec Sheet'!F4/1000</f>
        <v>15.943548387096774</v>
      </c>
      <c r="E87" s="10">
        <f>(P80+Q81)/P80*'Spec Sheet'!G4/1000</f>
        <v>16.420735127249152</v>
      </c>
      <c r="F87" s="10" t="s">
        <v>3</v>
      </c>
      <c r="H87" s="70"/>
    </row>
    <row r="88" spans="2:17" x14ac:dyDescent="0.3">
      <c r="B88" s="75" t="s">
        <v>52</v>
      </c>
      <c r="C88" s="10">
        <f>(Q80+P81)/Q80*('Spec Sheet'!E4-'Spec Sheet'!G5)/1000</f>
        <v>13.579297865511153</v>
      </c>
      <c r="D88" s="10">
        <f>SUM(C80:C81)/C80*('Spec Sheet'!F4-'Spec Sheet'!F5)/1000</f>
        <v>14.349193548387097</v>
      </c>
      <c r="E88" s="10">
        <f>(P80+Q81)/P80*('Spec Sheet'!G4-'Spec Sheet'!E5)/1000</f>
        <v>15.132834332955099</v>
      </c>
      <c r="F88" s="10" t="s">
        <v>3</v>
      </c>
      <c r="H88" s="70"/>
    </row>
    <row r="89" spans="2:17" x14ac:dyDescent="0.3">
      <c r="B89" s="75" t="s">
        <v>37</v>
      </c>
      <c r="C89" s="10">
        <f>(Q77+P78+P79)/Q77*'Spec Sheet'!E4/1000</f>
        <v>8.7436998266585615</v>
      </c>
      <c r="D89" s="10">
        <f>SUM(C77:C79)/C77*'Spec Sheet'!F4/1000</f>
        <v>9.0067873303167421</v>
      </c>
      <c r="E89" s="10">
        <f>(P77+Q78+Q79)/P77*'Spec Sheet'!G4/1000</f>
        <v>9.2741283339775809</v>
      </c>
      <c r="F89" s="10" t="s">
        <v>3</v>
      </c>
      <c r="H89" s="70"/>
    </row>
    <row r="90" spans="2:17" x14ac:dyDescent="0.3">
      <c r="B90" s="75" t="s">
        <v>38</v>
      </c>
      <c r="C90" s="10">
        <f>(Q77+Q78+P79)/(Q77+Q78)*'Spec Sheet'!E4/1000</f>
        <v>5.839558852264358</v>
      </c>
      <c r="D90" s="10">
        <f>SUM(C77:C79)/SUM(C77:C78)*'Spec Sheet'!F4/1000</f>
        <v>6.0135951661631424</v>
      </c>
      <c r="E90" s="10">
        <f>(P77+P78+Q79)/(P77+P78)*'Spec Sheet'!G4/1000</f>
        <v>6.19038834656667</v>
      </c>
      <c r="F90" s="10" t="s">
        <v>3</v>
      </c>
      <c r="H90" s="70"/>
    </row>
    <row r="91" spans="2:17" x14ac:dyDescent="0.3">
      <c r="B91" s="84"/>
      <c r="C91" s="59"/>
      <c r="D91" s="59"/>
      <c r="E91" s="59"/>
      <c r="F91" s="59"/>
      <c r="H91" s="70"/>
    </row>
    <row r="92" spans="2:17" ht="15.6" x14ac:dyDescent="0.3">
      <c r="B92" s="14" t="str">
        <f>IF(($C$6-($C$6*$C$10/100))&gt;E89," ","Undervoltage threshold is lower than the allowed supply voltage tolerance. Chose a lower Undervoltage Threshold")</f>
        <v xml:space="preserve"> </v>
      </c>
      <c r="C92" s="34"/>
      <c r="D92" s="34"/>
      <c r="E92" s="34"/>
      <c r="F92" s="34"/>
      <c r="G92" s="34"/>
      <c r="H92" s="76"/>
    </row>
    <row r="93" spans="2:17" ht="15.6" x14ac:dyDescent="0.3">
      <c r="B93" s="14" t="str">
        <f>IF(AND((C17=2),($C$6+($C$6*$C$10/100))&gt;=C88),"Overvoltage threshold is lower than the allowed supply voltage tolerance. Chose a higher Overvoltage Threshold","")</f>
        <v/>
      </c>
      <c r="C93" s="34"/>
      <c r="D93" s="34"/>
      <c r="E93" s="34"/>
      <c r="H93" s="70"/>
    </row>
    <row r="94" spans="2:17" x14ac:dyDescent="0.3">
      <c r="B94" s="32"/>
      <c r="C94" s="34"/>
      <c r="D94" s="34"/>
      <c r="E94" s="34"/>
      <c r="H94" s="70"/>
    </row>
    <row r="95" spans="2:17" ht="18" x14ac:dyDescent="0.35">
      <c r="B95" s="77" t="s">
        <v>159</v>
      </c>
      <c r="C95" s="10"/>
      <c r="D95" s="10"/>
      <c r="E95" s="34"/>
      <c r="H95" s="70"/>
    </row>
    <row r="96" spans="2:17" x14ac:dyDescent="0.3">
      <c r="B96" s="33"/>
      <c r="C96" s="10"/>
      <c r="D96" s="10"/>
      <c r="E96" s="34"/>
      <c r="H96" s="70"/>
    </row>
    <row r="97" spans="2:8" x14ac:dyDescent="0.3">
      <c r="B97" s="75" t="s">
        <v>153</v>
      </c>
      <c r="C97" s="88">
        <v>2</v>
      </c>
      <c r="D97" s="10" t="s">
        <v>27</v>
      </c>
      <c r="E97" s="34"/>
      <c r="H97" s="70"/>
    </row>
    <row r="98" spans="2:8" x14ac:dyDescent="0.3">
      <c r="B98" s="75" t="s">
        <v>148</v>
      </c>
      <c r="C98" s="10">
        <f>'Spec Sheet'!G6</f>
        <v>10</v>
      </c>
      <c r="D98" s="10" t="str">
        <f>'Spec Sheet'!H6</f>
        <v>nA</v>
      </c>
      <c r="E98" s="34"/>
      <c r="H98" s="70"/>
    </row>
    <row r="99" spans="2:8" x14ac:dyDescent="0.3">
      <c r="B99" s="75" t="str">
        <f>IF(C97&lt;(100*C98/1000),"In order to minimize the effect of the pin leakage current on the UV OV threshold voltages, it is advised to use resistor ladder current 100X greater than the pin leakage current","")</f>
        <v/>
      </c>
      <c r="C99" s="10"/>
      <c r="D99" s="10"/>
      <c r="E99" s="34"/>
      <c r="H99" s="70"/>
    </row>
    <row r="100" spans="2:8" x14ac:dyDescent="0.3">
      <c r="B100" s="75" t="s">
        <v>157</v>
      </c>
      <c r="C100" s="10"/>
      <c r="D100" s="10"/>
      <c r="E100" s="34"/>
      <c r="H100" s="70"/>
    </row>
    <row r="101" spans="2:8" x14ac:dyDescent="0.3">
      <c r="B101" s="75" t="s">
        <v>154</v>
      </c>
      <c r="C101" s="10">
        <f>C6/C97*1000</f>
        <v>6000</v>
      </c>
      <c r="D101" s="10" t="s">
        <v>32</v>
      </c>
      <c r="E101" s="34"/>
      <c r="H101" s="70"/>
    </row>
    <row r="102" spans="2:8" x14ac:dyDescent="0.3">
      <c r="B102" s="33" t="s">
        <v>88</v>
      </c>
      <c r="C102" s="10">
        <f>'Spec Sheet'!$F$4*(Design!$C$101)/C9/1000</f>
        <v>285.71428571428572</v>
      </c>
      <c r="D102" s="10" t="s">
        <v>32</v>
      </c>
      <c r="E102" s="34"/>
      <c r="H102" s="70"/>
    </row>
    <row r="103" spans="2:8" x14ac:dyDescent="0.3">
      <c r="B103" s="33" t="s">
        <v>29</v>
      </c>
      <c r="C103" s="10">
        <f>$C$101-C102</f>
        <v>5714.2857142857147</v>
      </c>
      <c r="D103" s="10" t="s">
        <v>32</v>
      </c>
      <c r="E103" s="34"/>
      <c r="H103" s="70"/>
    </row>
    <row r="104" spans="2:8" x14ac:dyDescent="0.3">
      <c r="B104" s="33" t="s">
        <v>89</v>
      </c>
      <c r="C104" s="10">
        <f>'Spec Sheet'!$F$4*(Design!$C$101)/C8/1000</f>
        <v>260.86956521739131</v>
      </c>
      <c r="D104" s="10" t="s">
        <v>32</v>
      </c>
      <c r="E104" s="34"/>
      <c r="H104" s="70"/>
    </row>
    <row r="105" spans="2:8" x14ac:dyDescent="0.3">
      <c r="B105" s="33" t="s">
        <v>31</v>
      </c>
      <c r="C105" s="10">
        <f>$C$101-C104</f>
        <v>5739.130434782609</v>
      </c>
      <c r="D105" s="10" t="s">
        <v>32</v>
      </c>
      <c r="E105" s="34"/>
      <c r="H105" s="70"/>
    </row>
    <row r="106" spans="2:8" x14ac:dyDescent="0.3">
      <c r="B106" s="33" t="s">
        <v>104</v>
      </c>
      <c r="C106" s="10">
        <f>'Spec Sheet'!$F$4*(Design!$C$101)/C7/1000</f>
        <v>230.76923076923077</v>
      </c>
      <c r="D106" s="10" t="s">
        <v>32</v>
      </c>
      <c r="E106" s="34"/>
      <c r="H106" s="70"/>
    </row>
    <row r="107" spans="2:8" x14ac:dyDescent="0.3">
      <c r="B107" s="33" t="s">
        <v>105</v>
      </c>
      <c r="C107" s="10">
        <f>$C$101-C106</f>
        <v>5769.2307692307695</v>
      </c>
      <c r="D107" s="10" t="s">
        <v>32</v>
      </c>
      <c r="E107" s="34"/>
      <c r="H107" s="70"/>
    </row>
    <row r="108" spans="2:8" x14ac:dyDescent="0.3">
      <c r="B108" s="33"/>
      <c r="C108" s="10"/>
      <c r="D108" s="10"/>
      <c r="E108" s="34"/>
      <c r="H108" s="70"/>
    </row>
    <row r="109" spans="2:8" x14ac:dyDescent="0.3">
      <c r="B109" s="75" t="s">
        <v>99</v>
      </c>
      <c r="C109" s="10"/>
      <c r="D109" s="10"/>
      <c r="E109" s="34"/>
      <c r="H109" s="70"/>
    </row>
    <row r="110" spans="2:8" x14ac:dyDescent="0.3">
      <c r="B110" s="33" t="s">
        <v>88</v>
      </c>
      <c r="C110" s="10">
        <f t="shared" ref="C110:C115" si="3">ROUND(10^(ROUND((LOG10(C102)-INT(LOG10(C102)))*$U$35,0)/$U$35),2)*10^(INT(LOG10(C102)))</f>
        <v>287</v>
      </c>
      <c r="D110" s="10" t="s">
        <v>32</v>
      </c>
      <c r="E110" s="34"/>
      <c r="H110" s="70"/>
    </row>
    <row r="111" spans="2:8" x14ac:dyDescent="0.3">
      <c r="B111" s="33" t="s">
        <v>29</v>
      </c>
      <c r="C111" s="10">
        <f t="shared" si="3"/>
        <v>5690</v>
      </c>
      <c r="D111" s="10" t="s">
        <v>32</v>
      </c>
      <c r="E111" s="34"/>
      <c r="H111" s="70"/>
    </row>
    <row r="112" spans="2:8" x14ac:dyDescent="0.3">
      <c r="B112" s="33" t="s">
        <v>89</v>
      </c>
      <c r="C112" s="10">
        <f t="shared" si="3"/>
        <v>261</v>
      </c>
      <c r="D112" s="10" t="s">
        <v>32</v>
      </c>
      <c r="E112" s="34"/>
      <c r="H112" s="70"/>
    </row>
    <row r="113" spans="2:17" x14ac:dyDescent="0.3">
      <c r="B113" s="33" t="s">
        <v>31</v>
      </c>
      <c r="C113" s="10">
        <f t="shared" si="3"/>
        <v>5760</v>
      </c>
      <c r="D113" s="10" t="s">
        <v>32</v>
      </c>
      <c r="E113" s="34"/>
      <c r="H113" s="70"/>
    </row>
    <row r="114" spans="2:17" x14ac:dyDescent="0.3">
      <c r="B114" s="33" t="s">
        <v>104</v>
      </c>
      <c r="C114" s="10">
        <f t="shared" si="3"/>
        <v>231.99999999999997</v>
      </c>
      <c r="D114" s="10" t="s">
        <v>32</v>
      </c>
      <c r="E114" s="34"/>
      <c r="H114" s="70"/>
    </row>
    <row r="115" spans="2:17" x14ac:dyDescent="0.3">
      <c r="B115" s="33" t="s">
        <v>105</v>
      </c>
      <c r="C115" s="10">
        <f t="shared" si="3"/>
        <v>5760</v>
      </c>
      <c r="D115" s="10" t="s">
        <v>32</v>
      </c>
      <c r="E115" s="34"/>
      <c r="H115" s="70"/>
    </row>
    <row r="116" spans="2:17" x14ac:dyDescent="0.3">
      <c r="B116" s="32"/>
      <c r="C116" s="34"/>
      <c r="D116" s="34"/>
      <c r="E116" s="34"/>
      <c r="H116" s="70"/>
    </row>
    <row r="117" spans="2:17" x14ac:dyDescent="0.3">
      <c r="B117" s="75" t="s">
        <v>33</v>
      </c>
      <c r="C117" s="10"/>
      <c r="D117" s="10"/>
      <c r="E117" s="34"/>
      <c r="F117" s="34"/>
      <c r="H117" s="70"/>
      <c r="P117" s="25" t="s">
        <v>90</v>
      </c>
      <c r="Q117" s="25" t="s">
        <v>91</v>
      </c>
    </row>
    <row r="118" spans="2:17" x14ac:dyDescent="0.3">
      <c r="B118" s="33" t="s">
        <v>88</v>
      </c>
      <c r="C118" s="88">
        <v>287</v>
      </c>
      <c r="D118" s="10" t="s">
        <v>32</v>
      </c>
      <c r="E118" s="34"/>
      <c r="F118" s="34"/>
      <c r="H118" s="70"/>
      <c r="P118" s="25">
        <f>C118-($C$82/100*C118)</f>
        <v>285.565</v>
      </c>
      <c r="Q118" s="25">
        <f>C118+($C$82/100*C118)</f>
        <v>288.435</v>
      </c>
    </row>
    <row r="119" spans="2:17" x14ac:dyDescent="0.3">
      <c r="B119" s="33" t="s">
        <v>29</v>
      </c>
      <c r="C119" s="88">
        <v>5760</v>
      </c>
      <c r="D119" s="10" t="s">
        <v>32</v>
      </c>
      <c r="E119" s="34"/>
      <c r="F119" s="34"/>
      <c r="H119" s="70"/>
      <c r="P119" s="25">
        <f t="shared" ref="P119:P122" si="4">C119-($C$82/100*C119)</f>
        <v>5731.2</v>
      </c>
      <c r="Q119" s="25">
        <f t="shared" ref="Q119:Q122" si="5">C119+($C$82/100*C119)</f>
        <v>5788.8</v>
      </c>
    </row>
    <row r="120" spans="2:17" x14ac:dyDescent="0.3">
      <c r="B120" s="33" t="s">
        <v>89</v>
      </c>
      <c r="C120" s="88">
        <v>261</v>
      </c>
      <c r="D120" s="10" t="s">
        <v>32</v>
      </c>
      <c r="E120" s="34"/>
      <c r="F120" s="34"/>
      <c r="H120" s="70"/>
      <c r="P120" s="25">
        <f t="shared" si="4"/>
        <v>259.69499999999999</v>
      </c>
      <c r="Q120" s="25">
        <f t="shared" si="5"/>
        <v>262.30500000000001</v>
      </c>
    </row>
    <row r="121" spans="2:17" x14ac:dyDescent="0.3">
      <c r="B121" s="33" t="s">
        <v>31</v>
      </c>
      <c r="C121" s="88">
        <f t="shared" ref="C118:C123" si="6">ROUND(10^(ROUND((LOG10(C113)-INT(LOG10(C113)))*$U$35,0)/$U$35),2)*10^(INT(LOG10(C113)))</f>
        <v>5760</v>
      </c>
      <c r="D121" s="10" t="s">
        <v>32</v>
      </c>
      <c r="E121" s="34"/>
      <c r="F121" s="34"/>
      <c r="H121" s="70"/>
      <c r="P121" s="25">
        <f t="shared" si="4"/>
        <v>5731.2</v>
      </c>
      <c r="Q121" s="25">
        <f t="shared" si="5"/>
        <v>5788.8</v>
      </c>
    </row>
    <row r="122" spans="2:17" x14ac:dyDescent="0.3">
      <c r="B122" s="33" t="s">
        <v>104</v>
      </c>
      <c r="C122" s="88">
        <v>215</v>
      </c>
      <c r="D122" s="10" t="s">
        <v>32</v>
      </c>
      <c r="E122" s="34"/>
      <c r="F122" s="34"/>
      <c r="H122" s="70"/>
      <c r="P122" s="25">
        <f t="shared" si="4"/>
        <v>213.92500000000001</v>
      </c>
      <c r="Q122" s="25">
        <f t="shared" si="5"/>
        <v>216.07499999999999</v>
      </c>
    </row>
    <row r="123" spans="2:17" x14ac:dyDescent="0.3">
      <c r="B123" s="33" t="s">
        <v>105</v>
      </c>
      <c r="C123" s="88">
        <f t="shared" si="6"/>
        <v>5760</v>
      </c>
      <c r="D123" s="10" t="s">
        <v>32</v>
      </c>
      <c r="E123" s="34"/>
      <c r="F123" s="34"/>
      <c r="H123" s="70"/>
      <c r="P123" s="25">
        <f t="shared" ref="P123" si="7">C123-($C$82/100*C123)</f>
        <v>5731.2</v>
      </c>
      <c r="Q123" s="25">
        <f t="shared" ref="Q123" si="8">C123+($C$82/100*C123)</f>
        <v>5788.8</v>
      </c>
    </row>
    <row r="124" spans="2:17" x14ac:dyDescent="0.3">
      <c r="B124" s="75" t="s">
        <v>35</v>
      </c>
      <c r="C124" s="10">
        <f>V35</f>
        <v>0.5</v>
      </c>
      <c r="D124" s="10" t="s">
        <v>34</v>
      </c>
      <c r="E124" s="34"/>
      <c r="F124" s="34"/>
      <c r="H124" s="70"/>
    </row>
    <row r="125" spans="2:17" x14ac:dyDescent="0.3">
      <c r="B125" s="75" t="s">
        <v>138</v>
      </c>
      <c r="C125" s="68">
        <f>C98*C98*MAX(C118:C122)/(10^(9))</f>
        <v>5.7600000000000001E-4</v>
      </c>
      <c r="D125" s="10" t="s">
        <v>61</v>
      </c>
      <c r="E125" s="34"/>
      <c r="F125" s="34"/>
      <c r="H125" s="70"/>
    </row>
    <row r="126" spans="2:17" x14ac:dyDescent="0.3">
      <c r="B126" s="75" t="s">
        <v>112</v>
      </c>
      <c r="C126" s="10">
        <f>IF(C125&lt;$P$46,$P$46,IF(C125&lt;$P$47,$P$47,IF(C125&lt;$P$48,$P$48,IF(C125&lt;$P$49,$P$49,IF(C125&lt;$P$50,$P$50,IF(C125&lt;$P$51,$P$51,IF(C125&lt;$P$52,$P$52,"Too much power dissipation in the resistor")))))))</f>
        <v>0.05</v>
      </c>
      <c r="D126" s="10" t="s">
        <v>61</v>
      </c>
      <c r="E126" s="34"/>
      <c r="F126" s="34"/>
      <c r="H126" s="70"/>
    </row>
    <row r="127" spans="2:17" x14ac:dyDescent="0.3">
      <c r="B127" s="75"/>
      <c r="C127" s="10"/>
      <c r="D127" s="10"/>
      <c r="E127" s="34"/>
      <c r="F127" s="34"/>
      <c r="H127" s="70"/>
    </row>
    <row r="128" spans="2:17" x14ac:dyDescent="0.3">
      <c r="B128" s="75" t="s">
        <v>145</v>
      </c>
      <c r="C128" s="10" t="s">
        <v>11</v>
      </c>
      <c r="D128" s="10" t="s">
        <v>12</v>
      </c>
      <c r="E128" s="10" t="s">
        <v>13</v>
      </c>
      <c r="F128" s="10"/>
      <c r="H128" s="70"/>
    </row>
    <row r="129" spans="2:8" x14ac:dyDescent="0.3">
      <c r="B129" s="75" t="s">
        <v>36</v>
      </c>
      <c r="C129" s="10">
        <f>'Spec Sheet'!E4*(Design!Q122+Design!P123)/Design!Q122/1000</f>
        <v>13.486820548420688</v>
      </c>
      <c r="D129" s="10">
        <f>'Spec Sheet'!F4*(Design!C122+Design!C123)/Design!C122/1000</f>
        <v>13.895348837209301</v>
      </c>
      <c r="E129" s="10">
        <f>'Spec Sheet'!G4*(Design!P122+Design!Q123)/Design!P122/1000</f>
        <v>14.310574967862568</v>
      </c>
      <c r="F129" s="10" t="s">
        <v>3</v>
      </c>
      <c r="H129" s="70"/>
    </row>
    <row r="130" spans="2:8" x14ac:dyDescent="0.3">
      <c r="B130" s="75" t="s">
        <v>52</v>
      </c>
      <c r="C130" s="10">
        <f>('Spec Sheet'!E4-'Spec Sheet'!E5)*(Design!Q122+Design!P123)/1000/Design!Q122</f>
        <v>12.385855605692468</v>
      </c>
      <c r="D130" s="10">
        <f>('Spec Sheet'!F4-'Spec Sheet'!F5)*(Design!C122+Design!C123)/1000/Design!C122</f>
        <v>12.505813953488373</v>
      </c>
      <c r="E130" s="10">
        <f>('Spec Sheet'!G4-'Spec Sheet'!G5)*(Design!P122+Design!Q123)/1000/Design!P122</f>
        <v>12.626977912819914</v>
      </c>
      <c r="F130" s="10" t="s">
        <v>3</v>
      </c>
      <c r="H130" s="70"/>
    </row>
    <row r="131" spans="2:8" x14ac:dyDescent="0.3">
      <c r="B131" s="75" t="s">
        <v>37</v>
      </c>
      <c r="C131" s="10">
        <f>'Spec Sheet'!E4*(Design!Q120+Design!P121)/Design!Q120/1000</f>
        <v>11.196193172070682</v>
      </c>
      <c r="D131" s="10">
        <f>'Spec Sheet'!F4*(Design!C120+Design!C121)/Design!C120/1000</f>
        <v>11.53448275862069</v>
      </c>
      <c r="E131" s="10">
        <f>'Spec Sheet'!G4*(Design!P120+Design!Q121)/Design!P120/1000</f>
        <v>11.878289724484491</v>
      </c>
      <c r="F131" s="10" t="s">
        <v>3</v>
      </c>
      <c r="H131" s="70"/>
    </row>
    <row r="132" spans="2:8" x14ac:dyDescent="0.3">
      <c r="B132" s="75" t="s">
        <v>38</v>
      </c>
      <c r="C132" s="10">
        <f>'Spec Sheet'!E4*(Design!Q118+Design!P119)/Design!Q118/1000</f>
        <v>10.226294139060794</v>
      </c>
      <c r="D132" s="10">
        <f>'Spec Sheet'!F4*(Design!C118+Design!C119)/Design!C118/1000</f>
        <v>10.534843205574912</v>
      </c>
      <c r="E132" s="10">
        <f>'Spec Sheet'!G4*(Design!P118+Design!Q119)/Design!P118/1000</f>
        <v>10.848409819130495</v>
      </c>
      <c r="F132" s="10" t="s">
        <v>3</v>
      </c>
      <c r="H132" s="70"/>
    </row>
    <row r="133" spans="2:8" x14ac:dyDescent="0.3">
      <c r="B133" s="84"/>
      <c r="C133" s="34"/>
      <c r="D133" s="34"/>
      <c r="E133" s="34"/>
      <c r="F133" s="34"/>
      <c r="H133" s="70"/>
    </row>
    <row r="134" spans="2:8" ht="15.6" x14ac:dyDescent="0.3">
      <c r="B134" s="14" t="str">
        <f>IF(($C$6-($C$6*$C$10/100))&gt;E131," ","Undervoltage threshold is lower than the allowed supply voltage tolerance. Chose a lower Undervoltage Threshold")</f>
        <v xml:space="preserve"> </v>
      </c>
      <c r="C134" s="34"/>
      <c r="D134" s="34"/>
      <c r="E134" s="34"/>
      <c r="F134" s="34"/>
      <c r="G134" s="34"/>
      <c r="H134" s="76"/>
    </row>
    <row r="135" spans="2:8" ht="16.2" thickBot="1" x14ac:dyDescent="0.35">
      <c r="B135" s="109" t="str">
        <f>IF(AND((C17=3),($C$6+($C$6*$C$10/100))&gt;=C130),"Overvoltage threshold is lower than the allowed supply voltage tolerance. Chose a higher Overvoltage Threshold","")</f>
        <v/>
      </c>
      <c r="C135" s="80"/>
      <c r="D135" s="80"/>
      <c r="E135" s="80"/>
      <c r="F135" s="45"/>
      <c r="G135" s="45"/>
      <c r="H135" s="71"/>
    </row>
    <row r="136" spans="2:8" ht="15" thickBot="1" x14ac:dyDescent="0.35">
      <c r="B136" s="45"/>
    </row>
    <row r="137" spans="2:8" ht="18" x14ac:dyDescent="0.35">
      <c r="B137" s="108" t="s">
        <v>121</v>
      </c>
      <c r="C137" s="100"/>
      <c r="D137" s="100"/>
      <c r="E137" s="28"/>
      <c r="F137" s="29"/>
      <c r="G137" s="29"/>
      <c r="H137" s="69"/>
    </row>
    <row r="138" spans="2:8" x14ac:dyDescent="0.3">
      <c r="B138" s="103" t="s">
        <v>169</v>
      </c>
      <c r="C138" s="7">
        <f>C11</f>
        <v>25</v>
      </c>
      <c r="D138" s="7" t="str">
        <f>D11</f>
        <v>A</v>
      </c>
      <c r="H138" s="70"/>
    </row>
    <row r="139" spans="2:8" x14ac:dyDescent="0.3">
      <c r="B139" s="104"/>
      <c r="H139" s="70"/>
    </row>
    <row r="140" spans="2:8" x14ac:dyDescent="0.3">
      <c r="B140" s="103"/>
      <c r="C140" s="7" t="s">
        <v>11</v>
      </c>
      <c r="D140" s="7" t="s">
        <v>12</v>
      </c>
      <c r="E140" s="7" t="s">
        <v>13</v>
      </c>
      <c r="H140" s="70"/>
    </row>
    <row r="141" spans="2:8" x14ac:dyDescent="0.3">
      <c r="B141" s="102" t="s">
        <v>170</v>
      </c>
      <c r="C141" s="7">
        <f>'Spec Sheet'!E7*Design!$C$138/1000</f>
        <v>0.5</v>
      </c>
      <c r="D141" s="7">
        <f>'Spec Sheet'!F7*Design!$C$138/1000</f>
        <v>0.625</v>
      </c>
      <c r="E141" s="7">
        <f>'Spec Sheet'!G7*Design!$C$138/1000</f>
        <v>0.75</v>
      </c>
      <c r="F141" s="35" t="s">
        <v>61</v>
      </c>
      <c r="H141" s="70"/>
    </row>
    <row r="142" spans="2:8" x14ac:dyDescent="0.3">
      <c r="B142" s="33" t="s">
        <v>60</v>
      </c>
      <c r="C142" s="89">
        <v>1</v>
      </c>
      <c r="D142" s="11" t="s">
        <v>61</v>
      </c>
      <c r="H142" s="70"/>
    </row>
    <row r="143" spans="2:8" x14ac:dyDescent="0.3">
      <c r="B143" s="33" t="s">
        <v>62</v>
      </c>
      <c r="C143" s="89">
        <v>0.5</v>
      </c>
      <c r="D143" s="11" t="s">
        <v>61</v>
      </c>
      <c r="H143" s="70"/>
    </row>
    <row r="144" spans="2:8" x14ac:dyDescent="0.3">
      <c r="B144" s="33" t="s">
        <v>171</v>
      </c>
      <c r="C144" s="105">
        <f>INT(D141/C143)</f>
        <v>1</v>
      </c>
      <c r="D144" s="11"/>
      <c r="H144" s="70"/>
    </row>
    <row r="145" spans="2:8" x14ac:dyDescent="0.3">
      <c r="B145" s="33" t="s">
        <v>172</v>
      </c>
      <c r="C145" s="105">
        <f>'Spec Sheet'!F7/Design!C138</f>
        <v>1</v>
      </c>
      <c r="D145" s="11" t="s">
        <v>49</v>
      </c>
      <c r="H145" s="70"/>
    </row>
    <row r="146" spans="2:8" x14ac:dyDescent="0.3">
      <c r="B146" s="33" t="s">
        <v>173</v>
      </c>
      <c r="C146" s="105">
        <f>C144*C145</f>
        <v>1</v>
      </c>
      <c r="D146" s="11" t="s">
        <v>49</v>
      </c>
      <c r="H146" s="70"/>
    </row>
    <row r="147" spans="2:8" x14ac:dyDescent="0.3">
      <c r="B147" s="33" t="s">
        <v>48</v>
      </c>
      <c r="C147" s="89">
        <v>1</v>
      </c>
      <c r="D147" s="11" t="s">
        <v>49</v>
      </c>
      <c r="H147" s="70"/>
    </row>
    <row r="148" spans="2:8" x14ac:dyDescent="0.3">
      <c r="B148" s="33" t="s">
        <v>92</v>
      </c>
      <c r="C148" s="90">
        <v>1</v>
      </c>
      <c r="D148" s="11" t="s">
        <v>34</v>
      </c>
      <c r="H148" s="70"/>
    </row>
    <row r="149" spans="2:8" x14ac:dyDescent="0.3">
      <c r="B149" s="33" t="s">
        <v>63</v>
      </c>
      <c r="C149" s="91">
        <v>1</v>
      </c>
      <c r="D149" s="11"/>
      <c r="H149" s="70"/>
    </row>
    <row r="150" spans="2:8" x14ac:dyDescent="0.3">
      <c r="B150" s="32" t="str">
        <f>IF(INT(C149)&lt;INT(C144),"The maximum Power Dissipation per Sense Resistor is going to be more than the desired maximum power dissipation. Either increase the number of sense resistors in parallel or change the sense resistor to higher power rating sense resistor","")</f>
        <v/>
      </c>
      <c r="C150" s="99"/>
      <c r="D150" s="18"/>
      <c r="H150" s="70"/>
    </row>
    <row r="151" spans="2:8" x14ac:dyDescent="0.3">
      <c r="B151" s="106" t="str">
        <f>IF(C147/C149=C145,"","The equivalent Rsense with the selected value of Rsense resistor and number of Rsense resistors is different than the desired value of equivalent Rsense. Please pay attention to current limit value as it will be different than the desired value")</f>
        <v/>
      </c>
      <c r="C151" s="99"/>
      <c r="D151" s="18"/>
      <c r="H151" s="70"/>
    </row>
    <row r="152" spans="2:8" x14ac:dyDescent="0.3">
      <c r="B152" s="32"/>
      <c r="C152" s="19" t="s">
        <v>11</v>
      </c>
      <c r="D152" s="11" t="s">
        <v>12</v>
      </c>
      <c r="E152" s="7" t="s">
        <v>13</v>
      </c>
      <c r="H152" s="70"/>
    </row>
    <row r="153" spans="2:8" x14ac:dyDescent="0.3">
      <c r="B153" s="33" t="s">
        <v>64</v>
      </c>
      <c r="C153" s="7">
        <f>(C147-(C148/100*C147))/C149</f>
        <v>0.99</v>
      </c>
      <c r="D153" s="10">
        <f>C147/C149</f>
        <v>1</v>
      </c>
      <c r="E153" s="7">
        <f>(C147+(C147*C148/100))/C149</f>
        <v>1.01</v>
      </c>
      <c r="F153" s="11" t="s">
        <v>49</v>
      </c>
      <c r="H153" s="70"/>
    </row>
    <row r="154" spans="2:8" x14ac:dyDescent="0.3">
      <c r="B154" s="32"/>
      <c r="D154" s="18"/>
      <c r="H154" s="70"/>
    </row>
    <row r="155" spans="2:8" x14ac:dyDescent="0.3">
      <c r="B155" s="32"/>
      <c r="D155" s="18"/>
      <c r="H155" s="70"/>
    </row>
    <row r="156" spans="2:8" x14ac:dyDescent="0.3">
      <c r="B156" s="32"/>
      <c r="C156" s="7" t="s">
        <v>11</v>
      </c>
      <c r="D156" s="7" t="s">
        <v>12</v>
      </c>
      <c r="E156" s="7" t="s">
        <v>13</v>
      </c>
      <c r="H156" s="70"/>
    </row>
    <row r="157" spans="2:8" x14ac:dyDescent="0.3">
      <c r="B157" s="33" t="s">
        <v>50</v>
      </c>
      <c r="C157" s="10">
        <f>'Spec Sheet'!E7/Design!E153</f>
        <v>19.801980198019802</v>
      </c>
      <c r="D157" s="10">
        <f>'Spec Sheet'!F7/Design!D153</f>
        <v>25</v>
      </c>
      <c r="E157" s="10">
        <f>'Spec Sheet'!G7/Design!C153</f>
        <v>30.303030303030305</v>
      </c>
      <c r="F157" s="35" t="s">
        <v>7</v>
      </c>
      <c r="H157" s="70"/>
    </row>
    <row r="158" spans="2:8" x14ac:dyDescent="0.3">
      <c r="B158" s="33" t="s">
        <v>168</v>
      </c>
      <c r="C158" s="10">
        <f>((C157/C149)^2)*C153/1000</f>
        <v>0.38819723556514069</v>
      </c>
      <c r="D158" s="10">
        <f>((D157/C149)^2)*C147/1000</f>
        <v>0.625</v>
      </c>
      <c r="E158" s="10">
        <f>((E157/C149)^2)*E153/1000</f>
        <v>0.92745638200183667</v>
      </c>
      <c r="F158" s="35" t="s">
        <v>61</v>
      </c>
      <c r="H158" s="70"/>
    </row>
    <row r="159" spans="2:8" ht="15" thickBot="1" x14ac:dyDescent="0.35">
      <c r="B159" s="101"/>
      <c r="C159" s="45"/>
      <c r="D159" s="45"/>
      <c r="E159" s="45"/>
      <c r="F159" s="45"/>
      <c r="G159" s="45"/>
      <c r="H159" s="71"/>
    </row>
    <row r="160" spans="2:8" ht="15" thickBot="1" x14ac:dyDescent="0.35">
      <c r="B160" s="32"/>
      <c r="C160" s="34"/>
      <c r="D160" s="34"/>
      <c r="E160" s="34"/>
    </row>
    <row r="161" spans="2:8" ht="18" x14ac:dyDescent="0.35">
      <c r="B161" s="72" t="s">
        <v>142</v>
      </c>
      <c r="C161" s="47"/>
      <c r="D161" s="47"/>
      <c r="E161" s="47"/>
      <c r="F161" s="29"/>
      <c r="G161" s="29"/>
      <c r="H161" s="69"/>
    </row>
    <row r="162" spans="2:8" x14ac:dyDescent="0.3">
      <c r="B162" s="33" t="s">
        <v>133</v>
      </c>
      <c r="C162" s="10">
        <v>10</v>
      </c>
      <c r="D162" s="10" t="s">
        <v>57</v>
      </c>
      <c r="E162" s="34"/>
      <c r="H162" s="70"/>
    </row>
    <row r="163" spans="2:8" x14ac:dyDescent="0.3">
      <c r="B163" s="33" t="s">
        <v>143</v>
      </c>
      <c r="C163" s="10">
        <f>C6/D157</f>
        <v>0.48</v>
      </c>
      <c r="D163" s="11" t="s">
        <v>124</v>
      </c>
      <c r="E163" s="34"/>
      <c r="H163" s="70"/>
    </row>
    <row r="164" spans="2:8" x14ac:dyDescent="0.3">
      <c r="B164" s="33" t="s">
        <v>35</v>
      </c>
      <c r="C164" s="92" t="s">
        <v>93</v>
      </c>
      <c r="D164" s="10"/>
      <c r="E164" s="34"/>
      <c r="H164" s="70"/>
    </row>
    <row r="165" spans="2:8" x14ac:dyDescent="0.3">
      <c r="B165" s="33" t="s">
        <v>147</v>
      </c>
      <c r="C165" s="36">
        <f>ROUND(10^(ROUND((LOG10(C163)-INT(LOG10(C163)))*$U$35,0)/$U$35),2)*10^(INT(LOG10(C163)))</f>
        <v>0.48099999999999998</v>
      </c>
      <c r="D165" s="11" t="s">
        <v>124</v>
      </c>
      <c r="E165" s="34"/>
      <c r="H165" s="70"/>
    </row>
    <row r="166" spans="2:8" x14ac:dyDescent="0.3">
      <c r="B166" s="32"/>
      <c r="C166" s="67"/>
      <c r="D166" s="18"/>
      <c r="E166" s="34"/>
      <c r="H166" s="70"/>
    </row>
    <row r="167" spans="2:8" ht="18" x14ac:dyDescent="0.35">
      <c r="B167" s="16" t="s">
        <v>101</v>
      </c>
      <c r="C167" s="34"/>
      <c r="D167" s="34"/>
      <c r="E167" s="34"/>
      <c r="H167" s="70"/>
    </row>
    <row r="168" spans="2:8" x14ac:dyDescent="0.3">
      <c r="B168" s="33" t="s">
        <v>123</v>
      </c>
      <c r="C168" s="63">
        <v>8.9999999999999993E-3</v>
      </c>
      <c r="D168" s="93">
        <v>0.01</v>
      </c>
      <c r="E168" s="93">
        <v>1.0999999999999999E-2</v>
      </c>
      <c r="F168" s="11" t="s">
        <v>124</v>
      </c>
      <c r="H168" s="70"/>
    </row>
    <row r="169" spans="2:8" x14ac:dyDescent="0.3">
      <c r="B169" s="33" t="s">
        <v>125</v>
      </c>
      <c r="C169" s="4">
        <f>C168*C157</f>
        <v>0.17821782178217821</v>
      </c>
      <c r="D169" s="10">
        <f>D168*D157</f>
        <v>0.25</v>
      </c>
      <c r="E169" s="10">
        <f>E168*E157</f>
        <v>0.33333333333333331</v>
      </c>
      <c r="F169" s="35" t="s">
        <v>3</v>
      </c>
      <c r="H169" s="70"/>
    </row>
    <row r="170" spans="2:8" x14ac:dyDescent="0.3">
      <c r="B170" s="33" t="s">
        <v>126</v>
      </c>
      <c r="C170" s="10">
        <f>C51-C52</f>
        <v>0.96732517084314118</v>
      </c>
      <c r="D170" s="10">
        <f>D51-D52</f>
        <v>0.99698676720065471</v>
      </c>
      <c r="E170" s="10">
        <f>E51-E52</f>
        <v>1.0271468694044099</v>
      </c>
      <c r="F170" s="10" t="s">
        <v>3</v>
      </c>
      <c r="H170" s="70"/>
    </row>
    <row r="171" spans="2:8" ht="18.600000000000001" thickBot="1" x14ac:dyDescent="0.4">
      <c r="B171" s="161" t="str">
        <f>IF(C170&gt;(5*E169), "Low chance of Motor Boating","High chance of Motor boating. Please set the UVrise and UVfall voltages further apart.")</f>
        <v>High chance of Motor boating. Please set the UVrise and UVfall voltages further apart.</v>
      </c>
      <c r="C171" s="162"/>
      <c r="D171" s="162"/>
      <c r="E171" s="162"/>
      <c r="F171" s="163"/>
      <c r="G171" s="45"/>
      <c r="H171" s="71"/>
    </row>
    <row r="172" spans="2:8" x14ac:dyDescent="0.3">
      <c r="C172" s="34"/>
      <c r="D172" s="34"/>
      <c r="E172" s="34"/>
    </row>
    <row r="173" spans="2:8" x14ac:dyDescent="0.3">
      <c r="C173" s="34"/>
      <c r="D173" s="34"/>
      <c r="E173" s="34"/>
    </row>
    <row r="174" spans="2:8" x14ac:dyDescent="0.3">
      <c r="C174" s="34"/>
      <c r="D174" s="34"/>
      <c r="E174" s="34"/>
    </row>
    <row r="175" spans="2:8" ht="15" thickBot="1" x14ac:dyDescent="0.35">
      <c r="C175" s="34"/>
      <c r="D175" s="34"/>
      <c r="E175" s="34"/>
    </row>
    <row r="176" spans="2:8" ht="21" x14ac:dyDescent="0.4">
      <c r="B176" s="2" t="s">
        <v>135</v>
      </c>
      <c r="C176" s="6"/>
      <c r="D176" s="46"/>
      <c r="E176" s="47"/>
      <c r="F176" s="29"/>
      <c r="G176" s="29"/>
      <c r="H176" s="69"/>
    </row>
    <row r="177" spans="2:8" ht="15.6" x14ac:dyDescent="0.3">
      <c r="B177" s="17" t="s">
        <v>136</v>
      </c>
      <c r="C177" s="86">
        <v>12</v>
      </c>
      <c r="D177" s="7" t="s">
        <v>3</v>
      </c>
      <c r="E177" s="34"/>
      <c r="H177" s="70"/>
    </row>
    <row r="178" spans="2:8" ht="15.6" x14ac:dyDescent="0.3">
      <c r="B178" s="17" t="s">
        <v>4</v>
      </c>
      <c r="C178" s="86">
        <v>13</v>
      </c>
      <c r="D178" s="7" t="s">
        <v>3</v>
      </c>
      <c r="E178" s="34"/>
      <c r="H178" s="70"/>
    </row>
    <row r="179" spans="2:8" ht="15.6" x14ac:dyDescent="0.3">
      <c r="B179" s="17" t="s">
        <v>5</v>
      </c>
      <c r="C179" s="86">
        <v>11.5</v>
      </c>
      <c r="D179" s="7" t="s">
        <v>3</v>
      </c>
      <c r="E179" s="34"/>
      <c r="H179" s="70"/>
    </row>
    <row r="180" spans="2:8" ht="15.6" x14ac:dyDescent="0.3">
      <c r="B180" s="17" t="s">
        <v>6</v>
      </c>
      <c r="C180" s="145">
        <v>10.5</v>
      </c>
      <c r="D180" s="7" t="s">
        <v>3</v>
      </c>
      <c r="E180" s="34"/>
      <c r="H180" s="70"/>
    </row>
    <row r="181" spans="2:8" ht="15.6" x14ac:dyDescent="0.3">
      <c r="B181" s="17" t="s">
        <v>164</v>
      </c>
      <c r="C181" s="86">
        <v>1</v>
      </c>
      <c r="D181" s="7" t="s">
        <v>34</v>
      </c>
      <c r="E181" s="34"/>
      <c r="H181" s="70"/>
    </row>
    <row r="182" spans="2:8" ht="15.6" x14ac:dyDescent="0.3">
      <c r="B182" s="17" t="s">
        <v>1</v>
      </c>
      <c r="C182" s="94">
        <v>16.25</v>
      </c>
      <c r="D182" s="7" t="s">
        <v>7</v>
      </c>
      <c r="E182" s="34"/>
      <c r="H182" s="70"/>
    </row>
    <row r="183" spans="2:8" ht="16.2" thickBot="1" x14ac:dyDescent="0.35">
      <c r="B183" s="78" t="str">
        <f>B12</f>
        <v>Load Current</v>
      </c>
      <c r="C183" s="79">
        <f>C12</f>
        <v>20</v>
      </c>
      <c r="D183" s="79" t="str">
        <f>D12</f>
        <v>A</v>
      </c>
      <c r="E183" s="80"/>
      <c r="F183" s="45"/>
      <c r="G183" s="45"/>
      <c r="H183" s="71"/>
    </row>
    <row r="184" spans="2:8" ht="18" x14ac:dyDescent="0.35">
      <c r="B184" s="110" t="str">
        <f>IF(C17=1,"Go to line#179 to continue design",IF(C17=2,"Go to line#217 to continue design",IF(C17=3,"Go to line#256 to continue design","")))</f>
        <v>Go to line#256 to continue design</v>
      </c>
      <c r="C184" s="15"/>
      <c r="D184" s="15"/>
      <c r="E184" s="34"/>
    </row>
    <row r="185" spans="2:8" ht="15" thickBot="1" x14ac:dyDescent="0.35">
      <c r="C185" s="34"/>
      <c r="D185" s="34"/>
      <c r="E185" s="34"/>
    </row>
    <row r="186" spans="2:8" ht="18" x14ac:dyDescent="0.35">
      <c r="B186" s="73" t="s">
        <v>152</v>
      </c>
      <c r="C186" s="47"/>
      <c r="D186" s="47"/>
      <c r="E186" s="47"/>
      <c r="F186" s="47"/>
      <c r="G186" s="47"/>
      <c r="H186" s="74"/>
    </row>
    <row r="187" spans="2:8" x14ac:dyDescent="0.3">
      <c r="B187" s="75" t="s">
        <v>25</v>
      </c>
      <c r="C187" s="10"/>
      <c r="D187" s="10"/>
      <c r="E187" s="34"/>
      <c r="F187" s="34"/>
      <c r="G187" s="34"/>
      <c r="H187" s="76"/>
    </row>
    <row r="188" spans="2:8" x14ac:dyDescent="0.3">
      <c r="B188" s="75" t="s">
        <v>26</v>
      </c>
      <c r="C188" s="88">
        <v>10</v>
      </c>
      <c r="D188" s="10" t="s">
        <v>27</v>
      </c>
      <c r="E188" s="34"/>
      <c r="F188" s="34"/>
      <c r="G188" s="34"/>
      <c r="H188" s="76"/>
    </row>
    <row r="189" spans="2:8" x14ac:dyDescent="0.3">
      <c r="B189" s="75" t="s">
        <v>149</v>
      </c>
      <c r="C189" s="10">
        <f>'Spec Sheet'!G6</f>
        <v>10</v>
      </c>
      <c r="D189" s="10" t="str">
        <f>'Spec Sheet'!H6</f>
        <v>nA</v>
      </c>
      <c r="E189" s="34"/>
      <c r="F189" s="34"/>
      <c r="G189" s="34"/>
      <c r="H189" s="76"/>
    </row>
    <row r="190" spans="2:8" x14ac:dyDescent="0.3">
      <c r="B190" s="75"/>
      <c r="C190" s="10"/>
      <c r="D190" s="10"/>
      <c r="E190" s="34"/>
      <c r="F190" s="34"/>
      <c r="G190" s="34"/>
      <c r="H190" s="76"/>
    </row>
    <row r="191" spans="2:8" ht="30.6" customHeight="1" x14ac:dyDescent="0.3">
      <c r="B191" s="75" t="str">
        <f>IF(C188&lt;(500*C189/1000),"In order to minimize the effect of the pin leakage current on the UV OV threshold voltages, it is advised to use resistor ladder current 500X greater than the pin leakage current","")</f>
        <v/>
      </c>
      <c r="C191" s="10"/>
      <c r="D191" s="10"/>
      <c r="E191" s="34"/>
      <c r="F191" s="34"/>
      <c r="G191" s="34"/>
      <c r="H191" s="76"/>
    </row>
    <row r="192" spans="2:8" x14ac:dyDescent="0.3">
      <c r="B192" s="75"/>
      <c r="C192" s="10"/>
      <c r="D192" s="10"/>
      <c r="E192" s="34"/>
      <c r="F192" s="34"/>
      <c r="G192" s="34"/>
      <c r="H192" s="76"/>
    </row>
    <row r="193" spans="2:17" x14ac:dyDescent="0.3">
      <c r="B193" s="75" t="s">
        <v>108</v>
      </c>
      <c r="C193" s="10">
        <f>(C177/C188)*1000</f>
        <v>1200</v>
      </c>
      <c r="D193" s="10" t="s">
        <v>32</v>
      </c>
      <c r="E193" s="34"/>
      <c r="F193" s="34"/>
      <c r="G193" s="34"/>
      <c r="H193" s="76"/>
    </row>
    <row r="194" spans="2:17" x14ac:dyDescent="0.3">
      <c r="B194" s="75" t="s">
        <v>104</v>
      </c>
      <c r="C194" s="10">
        <f>('Spec Sheet'!F4/1000)*(Design!C193)/Design!C178</f>
        <v>46.153846153846153</v>
      </c>
      <c r="D194" s="10" t="s">
        <v>32</v>
      </c>
      <c r="E194" s="34"/>
      <c r="F194" s="34"/>
      <c r="G194" s="34"/>
      <c r="H194" s="76"/>
    </row>
    <row r="195" spans="2:17" x14ac:dyDescent="0.3">
      <c r="B195" s="75" t="s">
        <v>105</v>
      </c>
      <c r="C195" s="10">
        <f>((C178/C179)-1)*C194</f>
        <v>6.020066889632103</v>
      </c>
      <c r="D195" s="10" t="s">
        <v>32</v>
      </c>
      <c r="E195" s="34"/>
      <c r="F195" s="34"/>
      <c r="G195" s="34"/>
      <c r="H195" s="76"/>
    </row>
    <row r="196" spans="2:17" x14ac:dyDescent="0.3">
      <c r="B196" s="75" t="s">
        <v>106</v>
      </c>
      <c r="C196" s="10">
        <f>((C179/C180)-1)*(C178/C179)*C194</f>
        <v>4.9689440993788869</v>
      </c>
      <c r="D196" s="10" t="s">
        <v>32</v>
      </c>
      <c r="E196" s="34"/>
      <c r="F196" s="34"/>
      <c r="G196" s="34"/>
      <c r="H196" s="76"/>
    </row>
    <row r="197" spans="2:17" x14ac:dyDescent="0.3">
      <c r="B197" s="75" t="s">
        <v>107</v>
      </c>
      <c r="C197" s="10">
        <f>C193-C194-C195-C196</f>
        <v>1142.8571428571429</v>
      </c>
      <c r="D197" s="10" t="s">
        <v>32</v>
      </c>
      <c r="E197" s="34"/>
      <c r="F197" s="34"/>
      <c r="G197" s="34"/>
      <c r="H197" s="76"/>
    </row>
    <row r="198" spans="2:17" x14ac:dyDescent="0.3">
      <c r="B198" s="75"/>
      <c r="C198" s="10"/>
      <c r="D198" s="10"/>
      <c r="E198" s="34"/>
      <c r="F198" s="34"/>
      <c r="G198" s="34"/>
      <c r="H198" s="76"/>
    </row>
    <row r="199" spans="2:17" x14ac:dyDescent="0.3">
      <c r="B199" s="75" t="s">
        <v>99</v>
      </c>
      <c r="C199" s="10"/>
      <c r="D199" s="10"/>
      <c r="E199" s="34"/>
      <c r="F199" s="34"/>
      <c r="G199" s="34"/>
      <c r="H199" s="76"/>
    </row>
    <row r="200" spans="2:17" x14ac:dyDescent="0.3">
      <c r="B200" s="75" t="s">
        <v>35</v>
      </c>
      <c r="C200" s="10" t="s">
        <v>93</v>
      </c>
      <c r="D200" s="10"/>
      <c r="E200" s="34"/>
      <c r="F200" s="34"/>
      <c r="G200" s="34"/>
      <c r="H200" s="76"/>
    </row>
    <row r="201" spans="2:17" x14ac:dyDescent="0.3">
      <c r="B201" s="75" t="s">
        <v>104</v>
      </c>
      <c r="C201" s="10">
        <f t="shared" ref="C201:C203" si="9">ROUND(10^(ROUND((LOG10(C194)-INT(LOG10(C194)))*$U$35,0)/$U$35),2)*10^(INT(LOG10(C194)))</f>
        <v>46.4</v>
      </c>
      <c r="D201" s="10" t="s">
        <v>32</v>
      </c>
      <c r="E201" s="34"/>
      <c r="F201" s="34"/>
      <c r="G201" s="34"/>
      <c r="H201" s="76"/>
    </row>
    <row r="202" spans="2:17" x14ac:dyDescent="0.3">
      <c r="B202" s="75" t="s">
        <v>105</v>
      </c>
      <c r="C202" s="10">
        <f t="shared" si="9"/>
        <v>6.04</v>
      </c>
      <c r="D202" s="10" t="s">
        <v>32</v>
      </c>
      <c r="E202" s="34"/>
      <c r="F202" s="34"/>
      <c r="G202" s="34"/>
      <c r="H202" s="76"/>
    </row>
    <row r="203" spans="2:17" x14ac:dyDescent="0.3">
      <c r="B203" s="75" t="s">
        <v>106</v>
      </c>
      <c r="C203" s="10">
        <f t="shared" si="9"/>
        <v>4.99</v>
      </c>
      <c r="D203" s="10" t="s">
        <v>32</v>
      </c>
      <c r="E203" s="34"/>
      <c r="F203" s="34"/>
      <c r="G203" s="34"/>
      <c r="H203" s="76"/>
    </row>
    <row r="204" spans="2:17" x14ac:dyDescent="0.3">
      <c r="B204" s="75" t="s">
        <v>107</v>
      </c>
      <c r="C204" s="10">
        <f>ROUND(10^(ROUND((LOG10(C197)-INT(LOG10(C197)))*$U$35,0)/$U$35),2)*10^(INT(LOG10(C197)))</f>
        <v>1140</v>
      </c>
      <c r="D204" s="10" t="s">
        <v>32</v>
      </c>
      <c r="E204" s="34"/>
      <c r="F204" s="34"/>
      <c r="G204" s="34"/>
      <c r="H204" s="76"/>
    </row>
    <row r="205" spans="2:17" x14ac:dyDescent="0.3">
      <c r="B205" s="75"/>
      <c r="C205" s="10"/>
      <c r="D205" s="10"/>
      <c r="E205" s="34"/>
      <c r="F205" s="34"/>
      <c r="G205" s="34"/>
      <c r="H205" s="76"/>
    </row>
    <row r="206" spans="2:17" x14ac:dyDescent="0.3">
      <c r="B206" s="75"/>
      <c r="C206" s="10"/>
      <c r="D206" s="10"/>
      <c r="E206" s="34"/>
      <c r="F206" s="34"/>
      <c r="G206" s="34"/>
      <c r="H206" s="76"/>
    </row>
    <row r="207" spans="2:17" x14ac:dyDescent="0.3">
      <c r="B207" s="75" t="s">
        <v>33</v>
      </c>
      <c r="C207" s="10"/>
      <c r="D207" s="10"/>
      <c r="E207" s="34"/>
      <c r="F207" s="34"/>
      <c r="G207" s="34"/>
      <c r="H207" s="76"/>
      <c r="P207" s="4" t="s">
        <v>90</v>
      </c>
      <c r="Q207" s="25" t="s">
        <v>91</v>
      </c>
    </row>
    <row r="208" spans="2:17" x14ac:dyDescent="0.3">
      <c r="B208" s="75" t="s">
        <v>104</v>
      </c>
      <c r="C208" s="88">
        <v>38.799999999999997</v>
      </c>
      <c r="D208" s="10" t="s">
        <v>32</v>
      </c>
      <c r="E208" s="34"/>
      <c r="F208" s="34"/>
      <c r="G208" s="34"/>
      <c r="H208" s="76"/>
      <c r="P208" s="4">
        <f>C208-($C$44/100*C208)</f>
        <v>38.605999999999995</v>
      </c>
      <c r="Q208" s="25">
        <f>C208+($C$44/100*C208)</f>
        <v>38.994</v>
      </c>
    </row>
    <row r="209" spans="2:17" x14ac:dyDescent="0.3">
      <c r="B209" s="75" t="s">
        <v>105</v>
      </c>
      <c r="C209" s="88">
        <v>13.5</v>
      </c>
      <c r="D209" s="10" t="s">
        <v>32</v>
      </c>
      <c r="E209" s="34"/>
      <c r="F209" s="34"/>
      <c r="G209" s="34"/>
      <c r="H209" s="76"/>
      <c r="P209" s="4">
        <f>C209-($C$44/100*C209)</f>
        <v>13.432499999999999</v>
      </c>
      <c r="Q209" s="25">
        <f>C209+($C$44/100*C209)</f>
        <v>13.567500000000001</v>
      </c>
    </row>
    <row r="210" spans="2:17" x14ac:dyDescent="0.3">
      <c r="B210" s="75" t="s">
        <v>106</v>
      </c>
      <c r="C210" s="95">
        <v>9.65</v>
      </c>
      <c r="D210" s="10" t="s">
        <v>32</v>
      </c>
      <c r="E210" s="34"/>
      <c r="F210" s="34"/>
      <c r="G210" s="34"/>
      <c r="H210" s="76"/>
      <c r="P210" s="4">
        <f>C210-($C$44/100*C210)</f>
        <v>9.6017500000000009</v>
      </c>
      <c r="Q210" s="25">
        <f>C210+($C$44/100*C210)</f>
        <v>9.6982499999999998</v>
      </c>
    </row>
    <row r="211" spans="2:17" x14ac:dyDescent="0.3">
      <c r="B211" s="75" t="s">
        <v>107</v>
      </c>
      <c r="C211" s="88">
        <v>1140</v>
      </c>
      <c r="D211" s="10" t="s">
        <v>32</v>
      </c>
      <c r="E211" s="34"/>
      <c r="F211" s="34"/>
      <c r="G211" s="34"/>
      <c r="H211" s="76"/>
      <c r="P211" s="4">
        <f>C211-($C$44/100*C211)</f>
        <v>1134.3</v>
      </c>
      <c r="Q211" s="25">
        <f>C211+($C$44/100*C211)</f>
        <v>1145.7</v>
      </c>
    </row>
    <row r="212" spans="2:17" x14ac:dyDescent="0.3">
      <c r="B212" s="75" t="s">
        <v>35</v>
      </c>
      <c r="C212" s="10">
        <f>V35</f>
        <v>0.5</v>
      </c>
      <c r="D212" s="10" t="s">
        <v>34</v>
      </c>
      <c r="E212" s="34"/>
      <c r="F212" s="34"/>
      <c r="G212" s="34"/>
      <c r="H212" s="76"/>
    </row>
    <row r="213" spans="2:17" x14ac:dyDescent="0.3">
      <c r="B213" s="75" t="s">
        <v>138</v>
      </c>
      <c r="C213" s="10">
        <f>C22*C22*MAX(C208:C211)/(10^(9))</f>
        <v>1.1400000000000001E-4</v>
      </c>
      <c r="D213" s="10" t="s">
        <v>61</v>
      </c>
      <c r="E213" s="10"/>
      <c r="F213" s="10"/>
      <c r="G213" s="34"/>
      <c r="H213" s="76"/>
    </row>
    <row r="214" spans="2:17" x14ac:dyDescent="0.3">
      <c r="B214" s="75" t="s">
        <v>112</v>
      </c>
      <c r="C214" s="10">
        <f>IF(C45&lt;P46,P46,IF(C45&lt;P47,P47,IF(C45&lt;P48,P48,IF(C45&lt;P49,P49,IF(C45&lt;P50,P50,IF(C45&lt;P51,P51,IF(C45&lt;P52,P52,"Too much power dissipation in the resistor")))))))</f>
        <v>0.05</v>
      </c>
      <c r="D214" s="10" t="s">
        <v>61</v>
      </c>
      <c r="E214" s="10"/>
      <c r="F214" s="10"/>
      <c r="G214" s="34"/>
      <c r="H214" s="76"/>
    </row>
    <row r="215" spans="2:17" x14ac:dyDescent="0.3">
      <c r="B215" s="75"/>
      <c r="C215" s="10"/>
      <c r="D215" s="10"/>
      <c r="E215" s="10"/>
      <c r="F215" s="10"/>
      <c r="G215" s="34"/>
      <c r="H215" s="76"/>
    </row>
    <row r="216" spans="2:17" x14ac:dyDescent="0.3">
      <c r="B216" s="75"/>
      <c r="C216" s="10"/>
      <c r="D216" s="10"/>
      <c r="E216" s="10"/>
      <c r="F216" s="10"/>
      <c r="G216" s="34"/>
      <c r="H216" s="76"/>
    </row>
    <row r="217" spans="2:17" x14ac:dyDescent="0.3">
      <c r="B217" s="75" t="s">
        <v>145</v>
      </c>
      <c r="C217" s="10" t="s">
        <v>11</v>
      </c>
      <c r="D217" s="10" t="s">
        <v>12</v>
      </c>
      <c r="E217" s="10" t="s">
        <v>13</v>
      </c>
      <c r="F217" s="10"/>
      <c r="G217" s="34"/>
      <c r="H217" s="76"/>
    </row>
    <row r="218" spans="2:17" x14ac:dyDescent="0.3">
      <c r="B218" s="75" t="s">
        <v>36</v>
      </c>
      <c r="C218" s="10">
        <f>(Q208+P209+P210+P211)*('Spec Sheet'!$E$4)/(Design!Q208)/1000</f>
        <v>15.033103618505413</v>
      </c>
      <c r="D218" s="10">
        <f>SUM(C208:C211)*'Spec Sheet'!$F$4/Design!C208/1000</f>
        <v>15.489046391752577</v>
      </c>
      <c r="E218" s="10">
        <f>(P208+Q209+Q210+Q211)*'Spec Sheet'!$G$4/Design!P208/1000</f>
        <v>15.952483875563386</v>
      </c>
      <c r="F218" s="10" t="s">
        <v>3</v>
      </c>
      <c r="G218" s="34"/>
      <c r="H218" s="76"/>
    </row>
    <row r="219" spans="2:17" x14ac:dyDescent="0.3">
      <c r="B219" s="33" t="s">
        <v>52</v>
      </c>
      <c r="C219" s="10">
        <f>P211/Q208*('Spec Sheet'!$E$4-'Spec Sheet'!$G$5)/1000</f>
        <v>12.508308970610862</v>
      </c>
      <c r="D219" s="10">
        <f>C211/C208*('Spec Sheet'!$F$4-'Spec Sheet'!$F$5)/1000</f>
        <v>13.221649484536083</v>
      </c>
      <c r="E219" s="10">
        <f>Q211/P208*('Spec Sheet'!$G$4-'Spec Sheet'!$E$5)/1000</f>
        <v>13.948065067606073</v>
      </c>
      <c r="F219" s="10" t="s">
        <v>3</v>
      </c>
      <c r="G219" s="34"/>
      <c r="H219" s="76"/>
    </row>
    <row r="220" spans="2:17" x14ac:dyDescent="0.3">
      <c r="B220" s="75" t="s">
        <v>37</v>
      </c>
      <c r="C220" s="10">
        <f>(Q208+Q209+P210+P211)*'Spec Sheet'!$E$4/(Design!Q208+Q209)/1000</f>
        <v>11.153924307715725</v>
      </c>
      <c r="D220" s="10">
        <f>SUM(C208:C211)*'Spec Sheet'!$F$4/(Design!C208+C209)/1000</f>
        <v>11.490917782026768</v>
      </c>
      <c r="E220" s="10">
        <f>(P208+P209+Q210+Q211)*'Spec Sheet'!$G$4/(Design!P208+P209)/1000</f>
        <v>11.833406852618737</v>
      </c>
      <c r="F220" s="10" t="s">
        <v>3</v>
      </c>
      <c r="G220" s="34"/>
      <c r="H220" s="76"/>
    </row>
    <row r="221" spans="2:17" x14ac:dyDescent="0.3">
      <c r="B221" s="75" t="s">
        <v>38</v>
      </c>
      <c r="C221" s="10">
        <f>(Q208+Q209+Q210+P211)*'Spec Sheet'!$E$4/(Design!Q208+Q209+Q210)/1000</f>
        <v>9.4172282654523993</v>
      </c>
      <c r="D221" s="10">
        <f>SUM(C208:C211)*'Spec Sheet'!$F$4/(Design!C208+C209+C210)/1000</f>
        <v>9.7009685230024232</v>
      </c>
      <c r="E221" s="10">
        <f>(P208+P209+P210+Q211)*'Spec Sheet'!$G$4/(Design!P208+P209+P210)/1000</f>
        <v>9.9893093798289261</v>
      </c>
      <c r="F221" s="10" t="s">
        <v>3</v>
      </c>
      <c r="G221" s="34"/>
      <c r="H221" s="76"/>
    </row>
    <row r="222" spans="2:17" ht="15.6" x14ac:dyDescent="0.3">
      <c r="B222" s="14" t="str">
        <f>IF(($C$177-($C$177*$C$181/100))&gt;E220," ","Undervoltage threshold is lower than the allowed supply voltage tolerance. Chose a lower Undervoltage Threshold")</f>
        <v xml:space="preserve"> </v>
      </c>
      <c r="C222" s="34"/>
      <c r="D222" s="34"/>
      <c r="E222" s="34"/>
      <c r="H222" s="70"/>
    </row>
    <row r="223" spans="2:17" ht="15.6" x14ac:dyDescent="0.3">
      <c r="B223" s="14" t="str">
        <f>IF(AND((C17=1),($C$177+($C$177*$C$181/100))&gt;=C219),"Overvoltage threshold is lower than the allowed supply voltage tolerance. Chose a higher Overvoltage Threshold","")</f>
        <v/>
      </c>
      <c r="C223" s="34"/>
      <c r="D223" s="34"/>
      <c r="E223" s="34"/>
      <c r="H223" s="70"/>
    </row>
    <row r="224" spans="2:17" ht="18" x14ac:dyDescent="0.35">
      <c r="B224" s="77" t="s">
        <v>158</v>
      </c>
      <c r="C224" s="10"/>
      <c r="D224" s="10"/>
      <c r="E224" s="34"/>
      <c r="H224" s="70"/>
    </row>
    <row r="225" spans="2:8" x14ac:dyDescent="0.3">
      <c r="B225" s="33"/>
      <c r="C225" s="10"/>
      <c r="D225" s="10"/>
      <c r="E225" s="34"/>
      <c r="H225" s="70"/>
    </row>
    <row r="226" spans="2:8" x14ac:dyDescent="0.3">
      <c r="B226" s="75" t="s">
        <v>153</v>
      </c>
      <c r="C226" s="88">
        <v>3</v>
      </c>
      <c r="D226" s="10" t="s">
        <v>27</v>
      </c>
      <c r="E226" s="34"/>
      <c r="H226" s="70"/>
    </row>
    <row r="227" spans="2:8" x14ac:dyDescent="0.3">
      <c r="B227" s="75" t="s">
        <v>148</v>
      </c>
      <c r="C227" s="10">
        <f>'Spec Sheet'!G6</f>
        <v>10</v>
      </c>
      <c r="D227" s="10" t="str">
        <f>'Spec Sheet'!H6</f>
        <v>nA</v>
      </c>
      <c r="E227" s="34"/>
      <c r="H227" s="70"/>
    </row>
    <row r="228" spans="2:8" x14ac:dyDescent="0.3">
      <c r="B228" s="75" t="str">
        <f>IF(C226&lt;(100*C227/1000),"In order to minimize the effect of the pin leakage current on the UV OV threshold voltages, it is advised to use resistor ladder current 100X greater than the pin leakage current","")</f>
        <v/>
      </c>
      <c r="C228" s="10"/>
      <c r="D228" s="10"/>
      <c r="E228" s="34"/>
      <c r="H228" s="70"/>
    </row>
    <row r="229" spans="2:8" x14ac:dyDescent="0.3">
      <c r="B229" s="75" t="s">
        <v>157</v>
      </c>
      <c r="C229" s="10"/>
      <c r="D229" s="10"/>
      <c r="E229" s="34"/>
      <c r="H229" s="70"/>
    </row>
    <row r="230" spans="2:8" x14ac:dyDescent="0.3">
      <c r="B230" s="75" t="s">
        <v>154</v>
      </c>
      <c r="C230" s="10">
        <f>C177/C226*1000</f>
        <v>4000</v>
      </c>
      <c r="D230" s="10" t="s">
        <v>32</v>
      </c>
      <c r="E230" s="34"/>
      <c r="H230" s="70"/>
    </row>
    <row r="231" spans="2:8" x14ac:dyDescent="0.3">
      <c r="B231" s="33" t="s">
        <v>105</v>
      </c>
      <c r="C231" s="10">
        <f>'Spec Sheet'!F4*Design!C230/Design!C179/1000</f>
        <v>173.91304347826087</v>
      </c>
      <c r="D231" s="10" t="s">
        <v>32</v>
      </c>
      <c r="E231" s="34"/>
      <c r="H231" s="70"/>
    </row>
    <row r="232" spans="2:8" x14ac:dyDescent="0.3">
      <c r="B232" s="33" t="s">
        <v>106</v>
      </c>
      <c r="C232" s="10">
        <f>('Spec Sheet'!F4*Design!C230/Design!C180/1000)-Design!C231</f>
        <v>16.563146997929607</v>
      </c>
      <c r="D232" s="10" t="s">
        <v>32</v>
      </c>
      <c r="E232" s="34"/>
      <c r="H232" s="70"/>
    </row>
    <row r="233" spans="2:8" x14ac:dyDescent="0.3">
      <c r="B233" s="33" t="s">
        <v>107</v>
      </c>
      <c r="C233" s="10">
        <f>C230-C231-C232</f>
        <v>3809.5238095238092</v>
      </c>
      <c r="D233" s="10" t="s">
        <v>32</v>
      </c>
      <c r="E233" s="34"/>
      <c r="H233" s="70"/>
    </row>
    <row r="234" spans="2:8" x14ac:dyDescent="0.3">
      <c r="B234" s="33" t="s">
        <v>160</v>
      </c>
      <c r="C234" s="10">
        <f>'Spec Sheet'!F4*Design!C230/Design!C178/1000</f>
        <v>153.84615384615384</v>
      </c>
      <c r="D234" s="10" t="s">
        <v>32</v>
      </c>
      <c r="E234" s="34"/>
      <c r="H234" s="70"/>
    </row>
    <row r="235" spans="2:8" x14ac:dyDescent="0.3">
      <c r="B235" s="33" t="s">
        <v>150</v>
      </c>
      <c r="C235" s="10">
        <f>C230-C234</f>
        <v>3846.1538461538462</v>
      </c>
      <c r="D235" s="10" t="s">
        <v>32</v>
      </c>
      <c r="E235" s="34"/>
      <c r="H235" s="70"/>
    </row>
    <row r="236" spans="2:8" x14ac:dyDescent="0.3">
      <c r="B236" s="33"/>
      <c r="C236" s="10"/>
      <c r="D236" s="10"/>
      <c r="E236" s="34"/>
      <c r="H236" s="70"/>
    </row>
    <row r="237" spans="2:8" x14ac:dyDescent="0.3">
      <c r="B237" s="75" t="s">
        <v>99</v>
      </c>
      <c r="C237" s="10"/>
      <c r="D237" s="10"/>
      <c r="E237" s="34"/>
      <c r="H237" s="70"/>
    </row>
    <row r="238" spans="2:8" x14ac:dyDescent="0.3">
      <c r="B238" s="33" t="s">
        <v>105</v>
      </c>
      <c r="C238" s="10">
        <f>ROUND(10^(ROUND((LOG10(C231)-INT(LOG10(C231)))*$U$35,0)/$U$35),2)*10^(INT(LOG10(C231)))</f>
        <v>174</v>
      </c>
      <c r="D238" s="10" t="s">
        <v>32</v>
      </c>
      <c r="E238" s="34"/>
      <c r="H238" s="70"/>
    </row>
    <row r="239" spans="2:8" x14ac:dyDescent="0.3">
      <c r="B239" s="33" t="s">
        <v>106</v>
      </c>
      <c r="C239" s="10">
        <f>ROUND(10^(ROUND((LOG10(C232)-INT(LOG10(C232)))*$U$35,0)/$U$35),2)*10^(INT(LOG10(C232)))</f>
        <v>16.5</v>
      </c>
      <c r="D239" s="10" t="s">
        <v>32</v>
      </c>
      <c r="E239" s="34"/>
      <c r="H239" s="70"/>
    </row>
    <row r="240" spans="2:8" x14ac:dyDescent="0.3">
      <c r="B240" s="33" t="s">
        <v>107</v>
      </c>
      <c r="C240" s="10">
        <f>ROUND(10^(ROUND((LOG10(C233)-INT(LOG10(C233)))*$U$35,0)/$U$35),2)*10^(INT(LOG10(C233)))</f>
        <v>3830</v>
      </c>
      <c r="D240" s="10" t="s">
        <v>32</v>
      </c>
      <c r="E240" s="34"/>
      <c r="H240" s="70"/>
    </row>
    <row r="241" spans="2:17" x14ac:dyDescent="0.3">
      <c r="B241" s="33" t="s">
        <v>160</v>
      </c>
      <c r="C241" s="10">
        <f>ROUND(10^(ROUND((LOG10(C234)-INT(LOG10(C234)))*$U$35,0)/$U$35),2)*10^(INT(LOG10(C234)))</f>
        <v>154</v>
      </c>
      <c r="D241" s="10" t="s">
        <v>32</v>
      </c>
      <c r="E241" s="34"/>
      <c r="H241" s="70"/>
    </row>
    <row r="242" spans="2:17" x14ac:dyDescent="0.3">
      <c r="B242" s="33" t="s">
        <v>150</v>
      </c>
      <c r="C242" s="10">
        <f>ROUND(10^(ROUND((LOG10(C235)-INT(LOG10(C235)))*$U$35,0)/$U$35),2)*10^(INT(LOG10(C235)))</f>
        <v>3830</v>
      </c>
      <c r="D242" s="10" t="s">
        <v>32</v>
      </c>
      <c r="E242" s="34"/>
      <c r="H242" s="70"/>
    </row>
    <row r="243" spans="2:17" x14ac:dyDescent="0.3">
      <c r="B243" s="32"/>
      <c r="C243" s="34"/>
      <c r="D243" s="34"/>
      <c r="E243" s="34"/>
      <c r="H243" s="70"/>
    </row>
    <row r="244" spans="2:17" x14ac:dyDescent="0.3">
      <c r="B244" s="75" t="s">
        <v>33</v>
      </c>
      <c r="C244" s="10"/>
      <c r="D244" s="10"/>
      <c r="E244" s="34"/>
      <c r="F244" s="34"/>
      <c r="H244" s="70"/>
      <c r="P244" s="25" t="s">
        <v>90</v>
      </c>
      <c r="Q244" s="25" t="s">
        <v>91</v>
      </c>
    </row>
    <row r="245" spans="2:17" x14ac:dyDescent="0.3">
      <c r="B245" s="33" t="s">
        <v>105</v>
      </c>
      <c r="C245" s="88">
        <v>442</v>
      </c>
      <c r="D245" s="10" t="s">
        <v>32</v>
      </c>
      <c r="E245" s="34"/>
      <c r="F245" s="34"/>
      <c r="H245" s="70"/>
      <c r="P245" s="25">
        <f>C245-($C$82/100*C245)</f>
        <v>439.79</v>
      </c>
      <c r="Q245" s="25">
        <f>C245+($C$82/100*C245)</f>
        <v>444.21</v>
      </c>
    </row>
    <row r="246" spans="2:17" x14ac:dyDescent="0.3">
      <c r="B246" s="33" t="s">
        <v>106</v>
      </c>
      <c r="C246" s="88">
        <v>221</v>
      </c>
      <c r="D246" s="10" t="s">
        <v>32</v>
      </c>
      <c r="E246" s="34"/>
      <c r="F246" s="34"/>
      <c r="H246" s="70"/>
      <c r="P246" s="25">
        <f t="shared" ref="P246:P249" si="10">C246-($C$82/100*C246)</f>
        <v>219.89500000000001</v>
      </c>
      <c r="Q246" s="25">
        <f t="shared" ref="Q246:Q249" si="11">C246+($C$82/100*C246)</f>
        <v>222.10499999999999</v>
      </c>
    </row>
    <row r="247" spans="2:17" x14ac:dyDescent="0.3">
      <c r="B247" s="33" t="s">
        <v>107</v>
      </c>
      <c r="C247" s="88">
        <v>7320</v>
      </c>
      <c r="D247" s="10" t="s">
        <v>32</v>
      </c>
      <c r="E247" s="34"/>
      <c r="F247" s="34"/>
      <c r="H247" s="70"/>
      <c r="P247" s="25">
        <f t="shared" si="10"/>
        <v>7283.4</v>
      </c>
      <c r="Q247" s="25">
        <f t="shared" si="11"/>
        <v>7356.6</v>
      </c>
    </row>
    <row r="248" spans="2:17" x14ac:dyDescent="0.3">
      <c r="B248" s="33" t="s">
        <v>160</v>
      </c>
      <c r="C248" s="88">
        <v>110</v>
      </c>
      <c r="D248" s="10" t="s">
        <v>32</v>
      </c>
      <c r="E248" s="34"/>
      <c r="F248" s="34"/>
      <c r="H248" s="70"/>
      <c r="P248" s="25">
        <f t="shared" si="10"/>
        <v>109.45</v>
      </c>
      <c r="Q248" s="25">
        <f t="shared" si="11"/>
        <v>110.55</v>
      </c>
    </row>
    <row r="249" spans="2:17" x14ac:dyDescent="0.3">
      <c r="B249" s="33" t="s">
        <v>150</v>
      </c>
      <c r="C249" s="88">
        <v>7870</v>
      </c>
      <c r="D249" s="10" t="s">
        <v>32</v>
      </c>
      <c r="E249" s="34"/>
      <c r="F249" s="34"/>
      <c r="H249" s="70"/>
      <c r="P249" s="25">
        <f t="shared" si="10"/>
        <v>7830.65</v>
      </c>
      <c r="Q249" s="25">
        <f t="shared" si="11"/>
        <v>7909.35</v>
      </c>
    </row>
    <row r="250" spans="2:17" x14ac:dyDescent="0.3">
      <c r="B250" s="75" t="s">
        <v>35</v>
      </c>
      <c r="C250" s="10">
        <f>V35</f>
        <v>0.5</v>
      </c>
      <c r="D250" s="10" t="s">
        <v>34</v>
      </c>
      <c r="E250" s="34"/>
      <c r="F250" s="34"/>
      <c r="H250" s="70"/>
    </row>
    <row r="251" spans="2:17" x14ac:dyDescent="0.3">
      <c r="B251" s="75" t="s">
        <v>138</v>
      </c>
      <c r="C251" s="68">
        <f>C227*C227*MAX(C245:C249)/(10^(9))</f>
        <v>7.8700000000000005E-4</v>
      </c>
      <c r="D251" s="10" t="s">
        <v>61</v>
      </c>
      <c r="E251" s="34"/>
      <c r="F251" s="34"/>
      <c r="H251" s="70"/>
    </row>
    <row r="252" spans="2:17" x14ac:dyDescent="0.3">
      <c r="B252" s="75" t="s">
        <v>112</v>
      </c>
      <c r="C252" s="10">
        <f>IF(C251&lt;$P$46,$P$46,IF(C251&lt;$P$47,$P$47,IF(C251&lt;$P$48,$P$48,IF(C251&lt;$P$49,$P$49,IF(C251&lt;$P$50,$P$50,IF(C251&lt;$P$51,$P$51,IF(C251&lt;$P$52,$P$52,"Too much power dissipation in the resistor")))))))</f>
        <v>0.05</v>
      </c>
      <c r="D252" s="10" t="s">
        <v>61</v>
      </c>
      <c r="E252" s="34"/>
      <c r="F252" s="34"/>
      <c r="H252" s="70"/>
    </row>
    <row r="253" spans="2:17" x14ac:dyDescent="0.3">
      <c r="B253" s="75"/>
      <c r="C253" s="10"/>
      <c r="D253" s="10"/>
      <c r="E253" s="34"/>
      <c r="F253" s="34"/>
      <c r="H253" s="70"/>
    </row>
    <row r="254" spans="2:17" x14ac:dyDescent="0.3">
      <c r="B254" s="75" t="s">
        <v>145</v>
      </c>
      <c r="C254" s="10" t="s">
        <v>11</v>
      </c>
      <c r="D254" s="10" t="s">
        <v>12</v>
      </c>
      <c r="E254" s="10" t="s">
        <v>13</v>
      </c>
      <c r="F254" s="10"/>
      <c r="H254" s="70"/>
    </row>
    <row r="255" spans="2:17" x14ac:dyDescent="0.3">
      <c r="B255" s="75" t="s">
        <v>36</v>
      </c>
      <c r="C255" s="10">
        <f>(Q248+P249)/Q248*'Spec Sheet'!E4/1000</f>
        <v>35.198444142921758</v>
      </c>
      <c r="D255" s="10">
        <f>SUM(C248:C249)/C248*'Spec Sheet'!F4/1000</f>
        <v>36.272727272727273</v>
      </c>
      <c r="E255" s="10">
        <f>(P248+Q249)/P248*'Spec Sheet'!G4/1000</f>
        <v>37.364897213339425</v>
      </c>
      <c r="F255" s="10" t="s">
        <v>3</v>
      </c>
      <c r="H255" s="70"/>
    </row>
    <row r="256" spans="2:17" x14ac:dyDescent="0.3">
      <c r="B256" s="75" t="s">
        <v>52</v>
      </c>
      <c r="C256" s="10">
        <f>(Q248+P249)/Q248*('Spec Sheet'!E4-'Spec Sheet'!G5)/1000</f>
        <v>30.888430574400726</v>
      </c>
      <c r="D256" s="10">
        <f>SUM(C248:C249)/C248*('Spec Sheet'!F4-'Spec Sheet'!F5)/1000</f>
        <v>32.645454545454548</v>
      </c>
      <c r="E256" s="10">
        <f>(P248+Q249)/P248*('Spec Sheet'!G4-'Spec Sheet'!E5)/1000</f>
        <v>34.43431703974418</v>
      </c>
      <c r="F256" s="10" t="s">
        <v>3</v>
      </c>
      <c r="H256" s="70"/>
    </row>
    <row r="257" spans="2:8" x14ac:dyDescent="0.3">
      <c r="B257" s="75" t="s">
        <v>37</v>
      </c>
      <c r="C257" s="10">
        <f>(Q245+P246+P247)/Q245*'Spec Sheet'!E4/1000</f>
        <v>8.7667487224510907</v>
      </c>
      <c r="D257" s="10">
        <f>SUM(C245:C247)/C245*'Spec Sheet'!F4/1000</f>
        <v>9.0305429864253401</v>
      </c>
      <c r="E257" s="10">
        <f>(P245+Q246+Q247)/(P245)*('Spec Sheet'!G4)/1000</f>
        <v>9.2986026285272523</v>
      </c>
      <c r="F257" s="10" t="s">
        <v>3</v>
      </c>
      <c r="H257" s="70"/>
    </row>
    <row r="258" spans="2:8" x14ac:dyDescent="0.3">
      <c r="B258" s="75" t="s">
        <v>38</v>
      </c>
      <c r="C258" s="10">
        <f>(Q245+Q246+P247)/(Q245+Q246)*'Spec Sheet'!E4/1000</f>
        <v>5.8461243555975768</v>
      </c>
      <c r="D258" s="10">
        <f>SUM(C245:C247)/SUM(C245:C246)*'Spec Sheet'!F4/1000</f>
        <v>6.0203619909502262</v>
      </c>
      <c r="E258" s="10">
        <f>(P245+P246+Q247)/(P245+P246)*'Spec Sheet'!G4/1000</f>
        <v>6.1973598763046001</v>
      </c>
      <c r="F258" s="10" t="s">
        <v>3</v>
      </c>
      <c r="H258" s="70"/>
    </row>
    <row r="259" spans="2:8" x14ac:dyDescent="0.3">
      <c r="B259" s="84"/>
      <c r="C259" s="59"/>
      <c r="D259" s="59"/>
      <c r="E259" s="59"/>
      <c r="F259" s="59"/>
      <c r="H259" s="70"/>
    </row>
    <row r="260" spans="2:8" ht="15.6" x14ac:dyDescent="0.3">
      <c r="B260" s="14" t="str">
        <f>IF(($C$177-($C$177*$C$181/100))&gt;E257," ","Undervoltage threshold is lower than the allowed supply voltage tolerance. Choose a lower Undervoltage Threshold")</f>
        <v xml:space="preserve"> </v>
      </c>
      <c r="C260" s="34"/>
      <c r="D260" s="34"/>
      <c r="E260" s="34"/>
      <c r="F260" s="34"/>
      <c r="G260" s="34"/>
      <c r="H260" s="76"/>
    </row>
    <row r="261" spans="2:8" ht="15.6" x14ac:dyDescent="0.3">
      <c r="B261" s="14" t="str">
        <f>IF(AND((C17=2),($C$177+($C$177*$C$181/100))&gt;=C255),"Overvoltage threshold is lower than the allowed supply voltage tolerance. Chose a higher Overvoltage Threshold","")</f>
        <v/>
      </c>
      <c r="C261" s="34"/>
      <c r="D261" s="34"/>
      <c r="E261" s="34"/>
      <c r="H261" s="70"/>
    </row>
    <row r="262" spans="2:8" x14ac:dyDescent="0.3">
      <c r="B262" s="32"/>
      <c r="C262" s="34"/>
      <c r="D262" s="34"/>
      <c r="E262" s="34"/>
      <c r="H262" s="70"/>
    </row>
    <row r="263" spans="2:8" ht="18" x14ac:dyDescent="0.35">
      <c r="B263" s="77" t="s">
        <v>159</v>
      </c>
      <c r="C263" s="10"/>
      <c r="D263" s="10"/>
      <c r="E263" s="34"/>
      <c r="H263" s="70"/>
    </row>
    <row r="264" spans="2:8" x14ac:dyDescent="0.3">
      <c r="B264" s="33"/>
      <c r="C264" s="10"/>
      <c r="D264" s="10"/>
      <c r="E264" s="34"/>
      <c r="H264" s="70"/>
    </row>
    <row r="265" spans="2:8" x14ac:dyDescent="0.3">
      <c r="B265" s="75" t="s">
        <v>153</v>
      </c>
      <c r="C265" s="88">
        <v>2</v>
      </c>
      <c r="D265" s="10" t="s">
        <v>27</v>
      </c>
      <c r="E265" s="34"/>
      <c r="H265" s="70"/>
    </row>
    <row r="266" spans="2:8" x14ac:dyDescent="0.3">
      <c r="B266" s="75" t="s">
        <v>148</v>
      </c>
      <c r="C266" s="10">
        <f>'Spec Sheet'!G6</f>
        <v>10</v>
      </c>
      <c r="D266" s="10" t="str">
        <f>'Spec Sheet'!H6</f>
        <v>nA</v>
      </c>
      <c r="E266" s="34"/>
      <c r="H266" s="70"/>
    </row>
    <row r="267" spans="2:8" x14ac:dyDescent="0.3">
      <c r="B267" s="75" t="str">
        <f>IF(C265&lt;(100*C266/1000),"In order to minimize the effect of the pin leakage current on the UV OV threshold voltages, it is advised to use resistor ladder current 100X greater than the pin leakage current","")</f>
        <v/>
      </c>
      <c r="C267" s="10"/>
      <c r="D267" s="10"/>
      <c r="E267" s="34"/>
      <c r="H267" s="70"/>
    </row>
    <row r="268" spans="2:8" x14ac:dyDescent="0.3">
      <c r="B268" s="75" t="s">
        <v>157</v>
      </c>
      <c r="C268" s="10"/>
      <c r="D268" s="10"/>
      <c r="E268" s="34"/>
      <c r="H268" s="70"/>
    </row>
    <row r="269" spans="2:8" x14ac:dyDescent="0.3">
      <c r="B269" s="75" t="s">
        <v>154</v>
      </c>
      <c r="C269" s="10">
        <f>C177/C265*1000</f>
        <v>6000</v>
      </c>
      <c r="D269" s="10" t="s">
        <v>32</v>
      </c>
      <c r="E269" s="34"/>
      <c r="H269" s="70"/>
    </row>
    <row r="270" spans="2:8" x14ac:dyDescent="0.3">
      <c r="B270" s="33" t="s">
        <v>106</v>
      </c>
      <c r="C270" s="10">
        <f>'Spec Sheet'!$F$4*(Design!$C269)/C180/1000</f>
        <v>285.71428571428572</v>
      </c>
      <c r="D270" s="10" t="s">
        <v>32</v>
      </c>
      <c r="E270" s="34"/>
      <c r="H270" s="70"/>
    </row>
    <row r="271" spans="2:8" x14ac:dyDescent="0.3">
      <c r="B271" s="33" t="s">
        <v>107</v>
      </c>
      <c r="C271" s="10">
        <f>$C269-C270</f>
        <v>5714.2857142857147</v>
      </c>
      <c r="D271" s="10" t="s">
        <v>32</v>
      </c>
      <c r="E271" s="34"/>
      <c r="H271" s="70"/>
    </row>
    <row r="272" spans="2:8" x14ac:dyDescent="0.3">
      <c r="B272" s="33" t="s">
        <v>160</v>
      </c>
      <c r="C272" s="10">
        <f>'Spec Sheet'!$F$4*(Design!$C269)/C179/1000</f>
        <v>260.86956521739131</v>
      </c>
      <c r="D272" s="10" t="s">
        <v>32</v>
      </c>
      <c r="E272" s="34"/>
      <c r="H272" s="70"/>
    </row>
    <row r="273" spans="2:17" x14ac:dyDescent="0.3">
      <c r="B273" s="33" t="s">
        <v>150</v>
      </c>
      <c r="C273" s="10">
        <f>$C269-C272</f>
        <v>5739.130434782609</v>
      </c>
      <c r="D273" s="10" t="s">
        <v>32</v>
      </c>
      <c r="E273" s="34"/>
      <c r="H273" s="70"/>
    </row>
    <row r="274" spans="2:17" x14ac:dyDescent="0.3">
      <c r="B274" s="33" t="s">
        <v>155</v>
      </c>
      <c r="C274" s="10">
        <f>'Spec Sheet'!$F$4*(Design!$C269)/C178/1000</f>
        <v>230.76923076923077</v>
      </c>
      <c r="D274" s="10" t="s">
        <v>32</v>
      </c>
      <c r="E274" s="34"/>
      <c r="H274" s="70"/>
    </row>
    <row r="275" spans="2:17" x14ac:dyDescent="0.3">
      <c r="B275" s="33" t="s">
        <v>156</v>
      </c>
      <c r="C275" s="10">
        <f>$C269-C274</f>
        <v>5769.2307692307695</v>
      </c>
      <c r="D275" s="10" t="s">
        <v>32</v>
      </c>
      <c r="E275" s="34"/>
      <c r="H275" s="70"/>
    </row>
    <row r="276" spans="2:17" x14ac:dyDescent="0.3">
      <c r="B276" s="33"/>
      <c r="C276" s="10"/>
      <c r="D276" s="10"/>
      <c r="E276" s="34"/>
      <c r="H276" s="70"/>
    </row>
    <row r="277" spans="2:17" x14ac:dyDescent="0.3">
      <c r="B277" s="75" t="s">
        <v>99</v>
      </c>
      <c r="C277" s="10"/>
      <c r="D277" s="10"/>
      <c r="E277" s="34"/>
      <c r="H277" s="70"/>
    </row>
    <row r="278" spans="2:17" x14ac:dyDescent="0.3">
      <c r="B278" s="33" t="s">
        <v>106</v>
      </c>
      <c r="C278" s="10">
        <f t="shared" ref="C278:C283" si="12">ROUND(10^(ROUND((LOG10(C270)-INT(LOG10(C270)))*$U$35,0)/$U$35),2)*10^(INT(LOG10(C270)))</f>
        <v>287</v>
      </c>
      <c r="D278" s="10" t="s">
        <v>32</v>
      </c>
      <c r="E278" s="34"/>
      <c r="H278" s="70"/>
    </row>
    <row r="279" spans="2:17" x14ac:dyDescent="0.3">
      <c r="B279" s="33" t="s">
        <v>107</v>
      </c>
      <c r="C279" s="10">
        <f t="shared" si="12"/>
        <v>5690</v>
      </c>
      <c r="D279" s="10" t="s">
        <v>32</v>
      </c>
      <c r="E279" s="34"/>
      <c r="H279" s="70"/>
    </row>
    <row r="280" spans="2:17" x14ac:dyDescent="0.3">
      <c r="B280" s="33" t="s">
        <v>160</v>
      </c>
      <c r="C280" s="10">
        <f t="shared" si="12"/>
        <v>261</v>
      </c>
      <c r="D280" s="10" t="s">
        <v>32</v>
      </c>
      <c r="E280" s="34"/>
      <c r="H280" s="70"/>
    </row>
    <row r="281" spans="2:17" x14ac:dyDescent="0.3">
      <c r="B281" s="33" t="s">
        <v>150</v>
      </c>
      <c r="C281" s="10">
        <f t="shared" si="12"/>
        <v>5760</v>
      </c>
      <c r="D281" s="10" t="s">
        <v>32</v>
      </c>
      <c r="E281" s="34"/>
      <c r="H281" s="70"/>
    </row>
    <row r="282" spans="2:17" x14ac:dyDescent="0.3">
      <c r="B282" s="33" t="s">
        <v>155</v>
      </c>
      <c r="C282" s="10">
        <f t="shared" si="12"/>
        <v>231.99999999999997</v>
      </c>
      <c r="D282" s="10" t="s">
        <v>32</v>
      </c>
      <c r="E282" s="34"/>
      <c r="H282" s="70"/>
    </row>
    <row r="283" spans="2:17" x14ac:dyDescent="0.3">
      <c r="B283" s="33" t="s">
        <v>156</v>
      </c>
      <c r="C283" s="10">
        <f t="shared" si="12"/>
        <v>5760</v>
      </c>
      <c r="D283" s="10" t="s">
        <v>32</v>
      </c>
      <c r="E283" s="34"/>
      <c r="H283" s="70"/>
    </row>
    <row r="284" spans="2:17" x14ac:dyDescent="0.3">
      <c r="B284" s="32"/>
      <c r="C284" s="34"/>
      <c r="D284" s="34"/>
      <c r="E284" s="34"/>
      <c r="H284" s="70"/>
    </row>
    <row r="285" spans="2:17" x14ac:dyDescent="0.3">
      <c r="B285" s="75" t="s">
        <v>33</v>
      </c>
      <c r="C285" s="10"/>
      <c r="D285" s="10"/>
      <c r="E285" s="34"/>
      <c r="F285" s="34"/>
      <c r="H285" s="70"/>
      <c r="P285" s="25" t="s">
        <v>90</v>
      </c>
      <c r="Q285" s="25" t="s">
        <v>91</v>
      </c>
    </row>
    <row r="286" spans="2:17" x14ac:dyDescent="0.3">
      <c r="B286" s="33" t="s">
        <v>106</v>
      </c>
      <c r="C286" s="88">
        <f t="shared" ref="C286:C291" si="13">ROUND(10^(ROUND((LOG10(C278)-INT(LOG10(C278)))*$U$35,0)/$U$35),2)*10^(INT(LOG10(C278)))</f>
        <v>287</v>
      </c>
      <c r="D286" s="10" t="s">
        <v>32</v>
      </c>
      <c r="E286" s="34"/>
      <c r="F286" s="34"/>
      <c r="H286" s="70"/>
      <c r="P286" s="25">
        <f>C286-($C$82/100*C286)</f>
        <v>285.565</v>
      </c>
      <c r="Q286" s="25">
        <f>C286+($C$82/100*C286)</f>
        <v>288.435</v>
      </c>
    </row>
    <row r="287" spans="2:17" x14ac:dyDescent="0.3">
      <c r="B287" s="33" t="s">
        <v>107</v>
      </c>
      <c r="C287" s="88">
        <f t="shared" si="13"/>
        <v>5690</v>
      </c>
      <c r="D287" s="10" t="s">
        <v>32</v>
      </c>
      <c r="E287" s="34"/>
      <c r="F287" s="34"/>
      <c r="H287" s="70"/>
      <c r="P287" s="25">
        <f t="shared" ref="P287:P291" si="14">C287-($C$82/100*C287)</f>
        <v>5661.55</v>
      </c>
      <c r="Q287" s="25">
        <f t="shared" ref="Q287:Q291" si="15">C287+($C$82/100*C287)</f>
        <v>5718.45</v>
      </c>
    </row>
    <row r="288" spans="2:17" x14ac:dyDescent="0.3">
      <c r="B288" s="33" t="s">
        <v>160</v>
      </c>
      <c r="C288" s="88">
        <f t="shared" si="13"/>
        <v>261</v>
      </c>
      <c r="D288" s="10" t="s">
        <v>32</v>
      </c>
      <c r="E288" s="34"/>
      <c r="F288" s="34"/>
      <c r="H288" s="70"/>
      <c r="P288" s="25">
        <f t="shared" si="14"/>
        <v>259.69499999999999</v>
      </c>
      <c r="Q288" s="25">
        <f t="shared" si="15"/>
        <v>262.30500000000001</v>
      </c>
    </row>
    <row r="289" spans="2:17" x14ac:dyDescent="0.3">
      <c r="B289" s="33" t="s">
        <v>150</v>
      </c>
      <c r="C289" s="88">
        <f t="shared" si="13"/>
        <v>5760</v>
      </c>
      <c r="D289" s="10" t="s">
        <v>32</v>
      </c>
      <c r="E289" s="34"/>
      <c r="F289" s="34"/>
      <c r="H289" s="70"/>
      <c r="P289" s="25">
        <f t="shared" si="14"/>
        <v>5731.2</v>
      </c>
      <c r="Q289" s="25">
        <f t="shared" si="15"/>
        <v>5788.8</v>
      </c>
    </row>
    <row r="290" spans="2:17" x14ac:dyDescent="0.3">
      <c r="B290" s="33" t="s">
        <v>155</v>
      </c>
      <c r="C290" s="88">
        <f t="shared" si="13"/>
        <v>231.99999999999997</v>
      </c>
      <c r="D290" s="10" t="s">
        <v>32</v>
      </c>
      <c r="E290" s="34"/>
      <c r="F290" s="34"/>
      <c r="H290" s="70"/>
      <c r="P290" s="25">
        <f t="shared" si="14"/>
        <v>230.83999999999997</v>
      </c>
      <c r="Q290" s="25">
        <f t="shared" si="15"/>
        <v>233.15999999999997</v>
      </c>
    </row>
    <row r="291" spans="2:17" x14ac:dyDescent="0.3">
      <c r="B291" s="33" t="s">
        <v>156</v>
      </c>
      <c r="C291" s="88">
        <f t="shared" si="13"/>
        <v>5760</v>
      </c>
      <c r="D291" s="10" t="s">
        <v>32</v>
      </c>
      <c r="E291" s="34"/>
      <c r="F291" s="34"/>
      <c r="H291" s="70"/>
      <c r="P291" s="25">
        <f t="shared" si="14"/>
        <v>5731.2</v>
      </c>
      <c r="Q291" s="25">
        <f t="shared" si="15"/>
        <v>5788.8</v>
      </c>
    </row>
    <row r="292" spans="2:17" x14ac:dyDescent="0.3">
      <c r="B292" s="75" t="s">
        <v>35</v>
      </c>
      <c r="C292" s="10">
        <f>V35</f>
        <v>0.5</v>
      </c>
      <c r="D292" s="10" t="s">
        <v>34</v>
      </c>
      <c r="E292" s="34"/>
      <c r="F292" s="34"/>
      <c r="H292" s="70"/>
    </row>
    <row r="293" spans="2:17" x14ac:dyDescent="0.3">
      <c r="B293" s="75" t="s">
        <v>138</v>
      </c>
      <c r="C293" s="68">
        <f>C266*C266*MAX(C286:C290)/(10^(9))</f>
        <v>5.7600000000000001E-4</v>
      </c>
      <c r="D293" s="10" t="s">
        <v>61</v>
      </c>
      <c r="E293" s="34"/>
      <c r="F293" s="34"/>
      <c r="H293" s="70"/>
    </row>
    <row r="294" spans="2:17" x14ac:dyDescent="0.3">
      <c r="B294" s="75" t="s">
        <v>112</v>
      </c>
      <c r="C294" s="10">
        <f>IF(C293&lt;$P$46,$P$46,IF(C293&lt;$P$47,$P$47,IF(C293&lt;$P$48,$P$48,IF(C293&lt;$P$49,$P$49,IF(C293&lt;$P$50,$P$50,IF(C293&lt;$P$51,$P$51,IF(C293&lt;$P$52,$P$52,"Too much power dissipation in the resistor")))))))</f>
        <v>0.05</v>
      </c>
      <c r="D294" s="10" t="s">
        <v>61</v>
      </c>
      <c r="E294" s="34"/>
      <c r="F294" s="34"/>
      <c r="H294" s="70"/>
    </row>
    <row r="295" spans="2:17" x14ac:dyDescent="0.3">
      <c r="B295" s="75"/>
      <c r="C295" s="10"/>
      <c r="D295" s="10"/>
      <c r="E295" s="34"/>
      <c r="F295" s="34"/>
      <c r="H295" s="70"/>
    </row>
    <row r="296" spans="2:17" x14ac:dyDescent="0.3">
      <c r="B296" s="75" t="s">
        <v>145</v>
      </c>
      <c r="C296" s="10" t="s">
        <v>11</v>
      </c>
      <c r="D296" s="10" t="s">
        <v>12</v>
      </c>
      <c r="E296" s="10" t="s">
        <v>13</v>
      </c>
      <c r="F296" s="10"/>
      <c r="H296" s="70"/>
    </row>
    <row r="297" spans="2:17" x14ac:dyDescent="0.3">
      <c r="B297" s="75" t="s">
        <v>36</v>
      </c>
      <c r="C297" s="10">
        <f>'Spec Sheet'!E4*(Design!Q290+Design!P291)/Design!Q290/1000</f>
        <v>12.534467318579518</v>
      </c>
      <c r="D297" s="10">
        <f>'Spec Sheet'!F4*(Design!C290+Design!C291)/Design!C290/1000</f>
        <v>12.913793103448278</v>
      </c>
      <c r="E297" s="10">
        <f>'Spec Sheet'!G4*(Design!P290+Design!Q291)/Design!P290/1000</f>
        <v>13.299325940045055</v>
      </c>
      <c r="F297" s="10" t="s">
        <v>3</v>
      </c>
      <c r="H297" s="70"/>
    </row>
    <row r="298" spans="2:17" x14ac:dyDescent="0.3">
      <c r="B298" s="75" t="s">
        <v>52</v>
      </c>
      <c r="C298" s="10">
        <f>('Spec Sheet'!E4-'Spec Sheet'!E5)*(Design!Q290+Design!P291)/1000/Design!Q290</f>
        <v>11.511245496654659</v>
      </c>
      <c r="D298" s="10">
        <f>('Spec Sheet'!F4-'Spec Sheet'!F5)*(Design!C290+Design!C291)/1000/Design!C290</f>
        <v>11.622413793103449</v>
      </c>
      <c r="E298" s="10">
        <f>('Spec Sheet'!G4-'Spec Sheet'!G5)*(Design!P290+Design!Q291)/1000/Design!P290</f>
        <v>11.734699358863285</v>
      </c>
      <c r="F298" s="10" t="s">
        <v>3</v>
      </c>
      <c r="H298" s="70"/>
    </row>
    <row r="299" spans="2:17" x14ac:dyDescent="0.3">
      <c r="B299" s="75" t="s">
        <v>37</v>
      </c>
      <c r="C299" s="10">
        <f>'Spec Sheet'!E4*(Design!Q288+Design!P289)/Design!Q288/1000</f>
        <v>11.196193172070682</v>
      </c>
      <c r="D299" s="10">
        <f>'Spec Sheet'!F4*(Design!C288+Design!C289)/Design!C288/1000</f>
        <v>11.53448275862069</v>
      </c>
      <c r="E299" s="10">
        <f>'Spec Sheet'!G4*(Design!P288+Design!Q289)/Design!P288/1000</f>
        <v>11.878289724484491</v>
      </c>
      <c r="F299" s="10" t="s">
        <v>3</v>
      </c>
      <c r="H299" s="70"/>
    </row>
    <row r="300" spans="2:17" x14ac:dyDescent="0.3">
      <c r="B300" s="75" t="s">
        <v>38</v>
      </c>
      <c r="C300" s="10">
        <f>'Spec Sheet'!E4*(Design!Q286+Design!P287)/Design!Q286/1000</f>
        <v>10.107971120009708</v>
      </c>
      <c r="D300" s="10">
        <f>'Spec Sheet'!F4*(Design!C286+Design!C287)/Design!C286/1000</f>
        <v>10.412891986062718</v>
      </c>
      <c r="E300" s="10">
        <f>'Spec Sheet'!G4*(Design!P286+Design!Q287)/Design!P286/1000</f>
        <v>10.722769422023006</v>
      </c>
      <c r="F300" s="10" t="s">
        <v>3</v>
      </c>
      <c r="H300" s="70"/>
    </row>
    <row r="301" spans="2:17" x14ac:dyDescent="0.3">
      <c r="B301" s="84"/>
      <c r="C301" s="34"/>
      <c r="D301" s="34"/>
      <c r="E301" s="34"/>
      <c r="F301" s="34"/>
      <c r="H301" s="70"/>
    </row>
    <row r="302" spans="2:17" ht="15.6" x14ac:dyDescent="0.3">
      <c r="B302" s="14" t="str">
        <f>IF(($C$177-($C$177*$C$181/100))&gt;E299," ","Undervoltage threshold is lower than the allowed supply voltage tolerance. Choose a lower Undervoltage Threshold")</f>
        <v xml:space="preserve"> </v>
      </c>
      <c r="C302" s="34"/>
      <c r="D302" s="34"/>
      <c r="E302" s="34"/>
      <c r="F302" s="34"/>
      <c r="G302" s="34"/>
      <c r="H302" s="76"/>
    </row>
    <row r="303" spans="2:17" ht="16.2" thickBot="1" x14ac:dyDescent="0.35">
      <c r="B303" s="109" t="str">
        <f>IF(AND((C17=3),($C$177+($C$177*$C$181/100))&gt;=C299),"Overvoltage threshold is lower than the allowed supply voltage tolerance. Chose a higher Overvoltage Threshold","")</f>
        <v>Overvoltage threshold is lower than the allowed supply voltage tolerance. Chose a higher Overvoltage Threshold</v>
      </c>
      <c r="C303" s="80"/>
      <c r="D303" s="80"/>
      <c r="E303" s="80"/>
      <c r="F303" s="45"/>
      <c r="G303" s="45"/>
      <c r="H303" s="71"/>
    </row>
    <row r="304" spans="2:17" ht="41.4" customHeight="1" thickBot="1" x14ac:dyDescent="0.35">
      <c r="B304" s="32"/>
    </row>
    <row r="305" spans="2:8" ht="18" x14ac:dyDescent="0.35">
      <c r="B305" s="72" t="s">
        <v>121</v>
      </c>
      <c r="C305" s="47"/>
      <c r="D305" s="47"/>
      <c r="E305" s="47"/>
      <c r="F305" s="29"/>
      <c r="G305" s="29"/>
      <c r="H305" s="69"/>
    </row>
    <row r="306" spans="2:8" x14ac:dyDescent="0.3">
      <c r="B306" s="103" t="s">
        <v>169</v>
      </c>
      <c r="C306" s="7">
        <f>C182</f>
        <v>16.25</v>
      </c>
      <c r="D306" s="7" t="str">
        <f>D182</f>
        <v>A</v>
      </c>
      <c r="H306" s="70"/>
    </row>
    <row r="307" spans="2:8" x14ac:dyDescent="0.3">
      <c r="B307" s="104"/>
      <c r="H307" s="70"/>
    </row>
    <row r="308" spans="2:8" x14ac:dyDescent="0.3">
      <c r="B308" s="103"/>
      <c r="C308" s="7" t="s">
        <v>11</v>
      </c>
      <c r="D308" s="7" t="s">
        <v>12</v>
      </c>
      <c r="E308" s="7" t="s">
        <v>13</v>
      </c>
      <c r="H308" s="70"/>
    </row>
    <row r="309" spans="2:8" x14ac:dyDescent="0.3">
      <c r="B309" s="102" t="s">
        <v>170</v>
      </c>
      <c r="C309" s="7">
        <f>'Spec Sheet'!E7*C306/1000</f>
        <v>0.32500000000000001</v>
      </c>
      <c r="D309" s="7">
        <f>'Spec Sheet'!F7*C306/1000</f>
        <v>0.40625</v>
      </c>
      <c r="E309" s="7">
        <f>'Spec Sheet'!G7*C306/1000</f>
        <v>0.48749999999999999</v>
      </c>
      <c r="F309" s="35" t="s">
        <v>61</v>
      </c>
      <c r="H309" s="70"/>
    </row>
    <row r="310" spans="2:8" x14ac:dyDescent="0.3">
      <c r="B310" s="33" t="s">
        <v>60</v>
      </c>
      <c r="C310" s="89">
        <v>1</v>
      </c>
      <c r="D310" s="11" t="s">
        <v>61</v>
      </c>
      <c r="H310" s="70"/>
    </row>
    <row r="311" spans="2:8" x14ac:dyDescent="0.3">
      <c r="B311" s="33" t="s">
        <v>62</v>
      </c>
      <c r="C311" s="89">
        <v>0.5</v>
      </c>
      <c r="D311" s="11" t="s">
        <v>61</v>
      </c>
      <c r="H311" s="70"/>
    </row>
    <row r="312" spans="2:8" x14ac:dyDescent="0.3">
      <c r="B312" s="33" t="s">
        <v>171</v>
      </c>
      <c r="C312" s="105">
        <f>INT(D309/C311)</f>
        <v>0</v>
      </c>
      <c r="D312" s="11"/>
      <c r="H312" s="70"/>
    </row>
    <row r="313" spans="2:8" x14ac:dyDescent="0.3">
      <c r="B313" s="33" t="s">
        <v>172</v>
      </c>
      <c r="C313" s="105">
        <f>'Spec Sheet'!F7/Design!C306</f>
        <v>1.5384615384615385</v>
      </c>
      <c r="D313" s="11" t="s">
        <v>49</v>
      </c>
      <c r="H313" s="70"/>
    </row>
    <row r="314" spans="2:8" x14ac:dyDescent="0.3">
      <c r="B314" s="33" t="s">
        <v>173</v>
      </c>
      <c r="C314" s="105">
        <f>C312*C313</f>
        <v>0</v>
      </c>
      <c r="D314" s="11" t="s">
        <v>49</v>
      </c>
      <c r="H314" s="70"/>
    </row>
    <row r="315" spans="2:8" x14ac:dyDescent="0.3">
      <c r="B315" s="33" t="s">
        <v>48</v>
      </c>
      <c r="C315" s="89">
        <v>1</v>
      </c>
      <c r="D315" s="11" t="s">
        <v>49</v>
      </c>
      <c r="H315" s="70"/>
    </row>
    <row r="316" spans="2:8" x14ac:dyDescent="0.3">
      <c r="B316" s="33" t="s">
        <v>92</v>
      </c>
      <c r="C316" s="90">
        <v>1</v>
      </c>
      <c r="D316" s="11" t="s">
        <v>34</v>
      </c>
      <c r="H316" s="70"/>
    </row>
    <row r="317" spans="2:8" x14ac:dyDescent="0.3">
      <c r="B317" s="33" t="s">
        <v>63</v>
      </c>
      <c r="C317" s="91">
        <v>1</v>
      </c>
      <c r="D317" s="11"/>
      <c r="H317" s="70"/>
    </row>
    <row r="318" spans="2:8" x14ac:dyDescent="0.3">
      <c r="B318" s="32" t="str">
        <f>IF(INT(C317)&lt;INT(C312),"The maximum Power Dissipation per Sense Resistor is going to be more than the desired maximum power dissipation. Either increase the number of sense resistors in parallel or change the sense resistor to higher power rating sense resistor","")</f>
        <v/>
      </c>
      <c r="C318" s="99"/>
      <c r="D318" s="18"/>
      <c r="H318" s="70"/>
    </row>
    <row r="319" spans="2:8" x14ac:dyDescent="0.3">
      <c r="B319" s="106" t="str">
        <f>IF(C315/C317=C313,"","The equivalent Rsense with the selected value of Rsense resistor and number of Rsense resistors isdifferent than the desired value of equivalent Rsense. Please pay attention to current limit value as it will be different than the desired value")</f>
        <v>The equivalent Rsense with the selected value of Rsense resistor and number of Rsense resistors isdifferent than the desired value of equivalent Rsense. Please pay attention to current limit value as it will be different than the desired value</v>
      </c>
      <c r="C319" s="99"/>
      <c r="D319" s="18"/>
      <c r="H319" s="70"/>
    </row>
    <row r="320" spans="2:8" x14ac:dyDescent="0.3">
      <c r="B320" s="32"/>
      <c r="C320" s="19" t="s">
        <v>11</v>
      </c>
      <c r="D320" s="11" t="s">
        <v>12</v>
      </c>
      <c r="E320" s="7" t="s">
        <v>13</v>
      </c>
      <c r="H320" s="70"/>
    </row>
    <row r="321" spans="2:8" x14ac:dyDescent="0.3">
      <c r="B321" s="33" t="s">
        <v>64</v>
      </c>
      <c r="C321" s="7">
        <f>(C315-(C316/100*C315))/C317</f>
        <v>0.99</v>
      </c>
      <c r="D321" s="10">
        <f>C315/C317</f>
        <v>1</v>
      </c>
      <c r="E321" s="7">
        <f>(C315+(C315*C316/100))/C317</f>
        <v>1.01</v>
      </c>
      <c r="F321" s="11" t="s">
        <v>49</v>
      </c>
      <c r="H321" s="70"/>
    </row>
    <row r="322" spans="2:8" x14ac:dyDescent="0.3">
      <c r="B322" s="32"/>
      <c r="D322" s="18"/>
      <c r="H322" s="70"/>
    </row>
    <row r="323" spans="2:8" x14ac:dyDescent="0.3">
      <c r="B323" s="32"/>
      <c r="D323" s="18"/>
      <c r="H323" s="70"/>
    </row>
    <row r="324" spans="2:8" x14ac:dyDescent="0.3">
      <c r="B324" s="32"/>
      <c r="C324" s="7" t="s">
        <v>11</v>
      </c>
      <c r="D324" s="7" t="s">
        <v>12</v>
      </c>
      <c r="E324" s="7" t="s">
        <v>13</v>
      </c>
      <c r="H324" s="70"/>
    </row>
    <row r="325" spans="2:8" x14ac:dyDescent="0.3">
      <c r="B325" s="33" t="s">
        <v>50</v>
      </c>
      <c r="C325" s="10">
        <f>'Spec Sheet'!E7/Design!E321</f>
        <v>19.801980198019802</v>
      </c>
      <c r="D325" s="10">
        <f>'Spec Sheet'!F7/Design!D321</f>
        <v>25</v>
      </c>
      <c r="E325" s="10">
        <f>'Spec Sheet'!G7/Design!C321</f>
        <v>30.303030303030305</v>
      </c>
      <c r="F325" s="35" t="s">
        <v>7</v>
      </c>
      <c r="H325" s="70"/>
    </row>
    <row r="326" spans="2:8" x14ac:dyDescent="0.3">
      <c r="B326" s="33" t="s">
        <v>168</v>
      </c>
      <c r="C326" s="10">
        <f>((C325/C317)^2)*C321/1000</f>
        <v>0.38819723556514069</v>
      </c>
      <c r="D326" s="10">
        <f>((D325/C317)^2)*D321/1000</f>
        <v>0.625</v>
      </c>
      <c r="E326" s="10">
        <f>((E325/C317)^2)*E321/1000</f>
        <v>0.92745638200183667</v>
      </c>
      <c r="F326" s="35" t="s">
        <v>61</v>
      </c>
      <c r="H326" s="70"/>
    </row>
    <row r="327" spans="2:8" ht="15" thickBot="1" x14ac:dyDescent="0.35">
      <c r="B327" s="101"/>
      <c r="C327" s="45"/>
      <c r="D327" s="45"/>
      <c r="E327" s="45"/>
      <c r="F327" s="45"/>
      <c r="G327" s="45"/>
      <c r="H327" s="71"/>
    </row>
    <row r="328" spans="2:8" ht="15" thickBot="1" x14ac:dyDescent="0.35">
      <c r="C328" s="34"/>
      <c r="D328" s="34"/>
      <c r="E328" s="34"/>
    </row>
    <row r="329" spans="2:8" ht="18" x14ac:dyDescent="0.35">
      <c r="B329" s="72" t="s">
        <v>142</v>
      </c>
      <c r="C329" s="47"/>
      <c r="D329" s="47"/>
      <c r="E329" s="47"/>
      <c r="F329" s="29"/>
      <c r="G329" s="29"/>
      <c r="H329" s="69"/>
    </row>
    <row r="330" spans="2:8" x14ac:dyDescent="0.3">
      <c r="B330" s="33" t="s">
        <v>134</v>
      </c>
      <c r="C330" s="10">
        <v>10</v>
      </c>
      <c r="D330" s="10" t="s">
        <v>57</v>
      </c>
      <c r="E330" s="34"/>
      <c r="H330" s="70"/>
    </row>
    <row r="331" spans="2:8" x14ac:dyDescent="0.3">
      <c r="B331" s="33" t="s">
        <v>144</v>
      </c>
      <c r="C331" s="10">
        <f>C177/D325</f>
        <v>0.48</v>
      </c>
      <c r="D331" s="11" t="s">
        <v>124</v>
      </c>
      <c r="E331" s="34"/>
      <c r="H331" s="70"/>
    </row>
    <row r="332" spans="2:8" x14ac:dyDescent="0.3">
      <c r="B332" s="33" t="s">
        <v>35</v>
      </c>
      <c r="C332" s="92" t="s">
        <v>93</v>
      </c>
      <c r="D332" s="10"/>
      <c r="E332" s="34"/>
      <c r="H332" s="70"/>
    </row>
    <row r="333" spans="2:8" x14ac:dyDescent="0.3">
      <c r="B333" s="33" t="s">
        <v>146</v>
      </c>
      <c r="C333" s="36">
        <f>ROUND(10^(ROUND((LOG10(C331)-INT(LOG10(C331)))*$U$35,0)/$U$35),2)*10^(INT(LOG10(C331)))</f>
        <v>0.48099999999999998</v>
      </c>
      <c r="D333" s="11" t="s">
        <v>124</v>
      </c>
      <c r="E333" s="34"/>
      <c r="H333" s="70"/>
    </row>
    <row r="334" spans="2:8" x14ac:dyDescent="0.3">
      <c r="B334" s="32"/>
      <c r="C334" s="34"/>
      <c r="D334" s="34"/>
      <c r="E334" s="34"/>
      <c r="H334" s="70"/>
    </row>
    <row r="335" spans="2:8" x14ac:dyDescent="0.3">
      <c r="B335" s="32"/>
      <c r="C335" s="34"/>
      <c r="D335" s="34"/>
      <c r="E335" s="34"/>
      <c r="H335" s="70"/>
    </row>
    <row r="336" spans="2:8" ht="18" x14ac:dyDescent="0.35">
      <c r="B336" s="16" t="s">
        <v>101</v>
      </c>
      <c r="C336" s="34"/>
      <c r="D336" s="34"/>
      <c r="E336" s="34"/>
      <c r="H336" s="70"/>
    </row>
    <row r="337" spans="2:8" x14ac:dyDescent="0.3">
      <c r="B337" s="33" t="s">
        <v>123</v>
      </c>
      <c r="C337" s="93">
        <v>8.9999999999999993E-3</v>
      </c>
      <c r="D337" s="93">
        <v>0.01</v>
      </c>
      <c r="E337" s="93">
        <v>1.0999999999999999E-2</v>
      </c>
      <c r="F337" s="11" t="s">
        <v>124</v>
      </c>
      <c r="H337" s="70"/>
    </row>
    <row r="338" spans="2:8" x14ac:dyDescent="0.3">
      <c r="B338" s="33" t="s">
        <v>125</v>
      </c>
      <c r="C338" s="4">
        <f>C337*C318</f>
        <v>0</v>
      </c>
      <c r="D338" s="10">
        <f>D337*D318</f>
        <v>0</v>
      </c>
      <c r="E338" s="10">
        <f>E337*E318</f>
        <v>0</v>
      </c>
      <c r="F338" s="35" t="s">
        <v>3</v>
      </c>
      <c r="H338" s="70"/>
    </row>
    <row r="339" spans="2:8" x14ac:dyDescent="0.3">
      <c r="B339" s="33" t="s">
        <v>126</v>
      </c>
      <c r="C339" s="10">
        <f>C220-C221</f>
        <v>1.7366960422633255</v>
      </c>
      <c r="D339" s="10">
        <f t="shared" ref="D339:E339" si="16">D220-D221</f>
        <v>1.7899492590243451</v>
      </c>
      <c r="E339" s="10">
        <f t="shared" si="16"/>
        <v>1.8440974727898105</v>
      </c>
      <c r="F339" s="10" t="s">
        <v>3</v>
      </c>
      <c r="H339" s="70"/>
    </row>
    <row r="340" spans="2:8" ht="18.600000000000001" thickBot="1" x14ac:dyDescent="0.4">
      <c r="B340" s="161" t="str">
        <f>IF(C339&gt;(5*E338), "Low chance of Motor Boating","High chance of Motor boating. Please set the UVrise and UVfall voltages further apart.")</f>
        <v>Low chance of Motor Boating</v>
      </c>
      <c r="C340" s="162"/>
      <c r="D340" s="162"/>
      <c r="E340" s="162"/>
      <c r="F340" s="163"/>
      <c r="G340" s="45"/>
      <c r="H340" s="71"/>
    </row>
    <row r="341" spans="2:8" ht="15" thickBot="1" x14ac:dyDescent="0.35">
      <c r="C341" s="34"/>
      <c r="D341" s="34"/>
      <c r="E341" s="34"/>
    </row>
    <row r="342" spans="2:8" ht="18" x14ac:dyDescent="0.35">
      <c r="B342" s="64" t="s">
        <v>127</v>
      </c>
      <c r="C342" s="47"/>
      <c r="D342" s="47"/>
      <c r="E342" s="47"/>
      <c r="F342" s="29"/>
      <c r="G342" s="29"/>
      <c r="H342" s="69"/>
    </row>
    <row r="343" spans="2:8" x14ac:dyDescent="0.3">
      <c r="B343" s="33" t="s">
        <v>77</v>
      </c>
      <c r="C343" s="10">
        <v>16</v>
      </c>
      <c r="D343" s="10" t="s">
        <v>78</v>
      </c>
      <c r="E343" s="34"/>
      <c r="H343" s="70"/>
    </row>
    <row r="344" spans="2:8" x14ac:dyDescent="0.3">
      <c r="B344" s="33" t="s">
        <v>82</v>
      </c>
      <c r="C344" s="10">
        <f>C343*'Spec Sheet'!I13/'Spec Sheet'!F13/1000</f>
        <v>1.0026666666666666</v>
      </c>
      <c r="D344" s="10" t="s">
        <v>76</v>
      </c>
      <c r="E344" s="34"/>
      <c r="H344" s="70"/>
    </row>
    <row r="345" spans="2:8" x14ac:dyDescent="0.3">
      <c r="B345" s="33" t="s">
        <v>131</v>
      </c>
      <c r="C345" s="10">
        <f>IF(C344&lt;1,1,IF(C344&lt;1.5,1.5,IF(C344&lt;2.2,2.2,IF(C344&lt;3.3,3.3,IF(C344&lt;4.7,4.7,IF(C344&lt;6.8,6.8,IF(C344&lt;10,10,IF(C344&lt;15,15,IF(C344&lt;22,22,IF(C344&lt;33,33,IF(C344&lt;47,47,IF(C344&lt;68,68,IF(C344&lt;100,100,150)))))))))))))</f>
        <v>1.5</v>
      </c>
      <c r="D345" s="10" t="s">
        <v>76</v>
      </c>
      <c r="E345" s="34"/>
      <c r="H345" s="70"/>
    </row>
    <row r="346" spans="2:8" x14ac:dyDescent="0.3">
      <c r="B346" s="33" t="s">
        <v>83</v>
      </c>
      <c r="C346" s="88">
        <v>1.5</v>
      </c>
      <c r="D346" s="10" t="s">
        <v>76</v>
      </c>
      <c r="E346" s="34"/>
      <c r="H346" s="70"/>
    </row>
    <row r="347" spans="2:8" x14ac:dyDescent="0.3">
      <c r="B347" s="33" t="s">
        <v>100</v>
      </c>
      <c r="C347" s="88">
        <v>1</v>
      </c>
      <c r="D347" s="10" t="s">
        <v>34</v>
      </c>
      <c r="E347" s="34"/>
      <c r="H347" s="70"/>
    </row>
    <row r="348" spans="2:8" x14ac:dyDescent="0.3">
      <c r="B348" s="32" t="str">
        <f>IF(C346&lt;C344,"Selected cap value is smaller than the minimum cap value required to achieve the desired qualification time for validity. Select a bigger value cap","")</f>
        <v/>
      </c>
      <c r="C348" s="34"/>
      <c r="D348" s="34"/>
      <c r="E348" s="34"/>
      <c r="H348" s="70"/>
    </row>
    <row r="349" spans="2:8" x14ac:dyDescent="0.3">
      <c r="B349" s="33"/>
      <c r="C349" s="7" t="s">
        <v>11</v>
      </c>
      <c r="D349" s="7" t="s">
        <v>12</v>
      </c>
      <c r="E349" s="7" t="s">
        <v>13</v>
      </c>
      <c r="H349" s="70"/>
    </row>
    <row r="350" spans="2:8" ht="15" thickBot="1" x14ac:dyDescent="0.35">
      <c r="B350" s="42" t="s">
        <v>84</v>
      </c>
      <c r="C350" s="43">
        <f>'Spec Sheet'!E13/'Spec Sheet'!I13*(Design!C346-(C347*C346/100))*1000</f>
        <v>15.797872340425533</v>
      </c>
      <c r="D350" s="43">
        <f>'Spec Sheet'!F13/'Spec Sheet'!I13*Design!C346*1000</f>
        <v>23.936170212765958</v>
      </c>
      <c r="E350" s="43">
        <f>'Spec Sheet'!G13/'Spec Sheet'!I13*(Design!C346+(C347*C346/100))*1000</f>
        <v>35.457446808510639</v>
      </c>
      <c r="F350" s="44" t="s">
        <v>78</v>
      </c>
      <c r="G350" s="45"/>
      <c r="H350" s="71"/>
    </row>
    <row r="351" spans="2:8" x14ac:dyDescent="0.3">
      <c r="C351" s="34"/>
      <c r="D351" s="34"/>
      <c r="E351" s="34"/>
    </row>
    <row r="352" spans="2:8" ht="15" thickBot="1" x14ac:dyDescent="0.35">
      <c r="C352" s="34"/>
      <c r="D352" s="34"/>
      <c r="E352" s="34"/>
    </row>
    <row r="353" spans="2:8" ht="15.6" x14ac:dyDescent="0.3">
      <c r="B353" s="65" t="s">
        <v>122</v>
      </c>
      <c r="C353" s="28"/>
      <c r="D353" s="28"/>
      <c r="E353" s="28"/>
      <c r="F353" s="29"/>
      <c r="G353" s="29"/>
      <c r="H353" s="69"/>
    </row>
    <row r="354" spans="2:8" x14ac:dyDescent="0.3">
      <c r="B354" s="33" t="s">
        <v>53</v>
      </c>
      <c r="C354" s="89">
        <v>42</v>
      </c>
      <c r="D354" s="11" t="s">
        <v>49</v>
      </c>
      <c r="H354" s="70"/>
    </row>
    <row r="355" spans="2:8" x14ac:dyDescent="0.3">
      <c r="B355" s="33" t="s">
        <v>55</v>
      </c>
      <c r="C355" s="89">
        <v>1200</v>
      </c>
      <c r="D355" s="7" t="s">
        <v>18</v>
      </c>
      <c r="H355" s="70"/>
    </row>
    <row r="356" spans="2:8" x14ac:dyDescent="0.3">
      <c r="B356" s="33" t="s">
        <v>54</v>
      </c>
      <c r="C356" s="7">
        <f>C12*C354</f>
        <v>840</v>
      </c>
      <c r="D356" s="7" t="s">
        <v>18</v>
      </c>
      <c r="H356" s="70"/>
    </row>
    <row r="357" spans="2:8" x14ac:dyDescent="0.3">
      <c r="B357" s="32" t="str">
        <f>IF(C356&gt;C355,"During switch over output voltage will droop more than expected. Change the output cap to a low ESR cap","")</f>
        <v/>
      </c>
      <c r="H357" s="70"/>
    </row>
    <row r="358" spans="2:8" x14ac:dyDescent="0.3">
      <c r="B358" s="33" t="s">
        <v>56</v>
      </c>
      <c r="C358" s="48">
        <f>C12*15/(C355-C356)*1000</f>
        <v>833.33333333333337</v>
      </c>
      <c r="D358" s="7" t="s">
        <v>57</v>
      </c>
      <c r="H358" s="70"/>
    </row>
    <row r="359" spans="2:8" x14ac:dyDescent="0.3">
      <c r="B359" s="33" t="s">
        <v>132</v>
      </c>
      <c r="C359" s="48">
        <f>IF(C358&lt;100,100,IF(C358&lt;150,150,IF(C358&lt;220,220,IF(C358&lt;330,330,IF(C358&lt;470,470,IF(C358&lt;680,680,IF(C358&lt;1000,1000,IF(C358&lt;1500,1500,IF(C358&lt;2200,2200,IF(C358&lt;3300,3300,4700))))))))))</f>
        <v>1000</v>
      </c>
      <c r="D359" s="7" t="s">
        <v>57</v>
      </c>
      <c r="H359" s="70"/>
    </row>
    <row r="360" spans="2:8" x14ac:dyDescent="0.3">
      <c r="B360" s="33" t="s">
        <v>58</v>
      </c>
      <c r="C360" s="89">
        <v>1200</v>
      </c>
      <c r="D360" s="7" t="s">
        <v>57</v>
      </c>
      <c r="H360" s="70"/>
    </row>
    <row r="361" spans="2:8" x14ac:dyDescent="0.3">
      <c r="B361" s="33" t="s">
        <v>137</v>
      </c>
      <c r="C361" s="89">
        <v>20</v>
      </c>
      <c r="D361" s="7" t="s">
        <v>34</v>
      </c>
      <c r="H361" s="70"/>
    </row>
    <row r="362" spans="2:8" x14ac:dyDescent="0.3">
      <c r="B362" s="32" t="str">
        <f>IF(C358&gt;C360,"Selected Output cap is smaller than the minimum output cap required. Increase the value of the output cap","")</f>
        <v/>
      </c>
      <c r="H362" s="70"/>
    </row>
    <row r="363" spans="2:8" x14ac:dyDescent="0.3">
      <c r="B363" s="33"/>
      <c r="C363" s="7" t="s">
        <v>11</v>
      </c>
      <c r="D363" s="7" t="s">
        <v>12</v>
      </c>
      <c r="E363" s="7" t="s">
        <v>13</v>
      </c>
      <c r="H363" s="70"/>
    </row>
    <row r="364" spans="2:8" ht="15" thickBot="1" x14ac:dyDescent="0.35">
      <c r="B364" s="42" t="s">
        <v>59</v>
      </c>
      <c r="C364" s="66">
        <f>(C12*15/(C360+(C361*C360/100))*1000)+C356</f>
        <v>1048.3333333333333</v>
      </c>
      <c r="D364" s="66">
        <f>(C12*15/C360*1000)+C356</f>
        <v>1090</v>
      </c>
      <c r="E364" s="50">
        <f>(C12*15/(C360-(C361*C360/100))*1000)+C356</f>
        <v>1152.5</v>
      </c>
      <c r="F364" s="66" t="s">
        <v>18</v>
      </c>
      <c r="G364" s="45"/>
      <c r="H364" s="71"/>
    </row>
    <row r="365" spans="2:8" ht="15" thickBot="1" x14ac:dyDescent="0.35"/>
    <row r="366" spans="2:8" ht="18.600000000000001" thickBot="1" x14ac:dyDescent="0.4">
      <c r="B366" s="21" t="s">
        <v>184</v>
      </c>
      <c r="C366" s="28"/>
      <c r="D366" s="28"/>
      <c r="E366" s="28"/>
      <c r="F366" s="29"/>
      <c r="G366" s="29"/>
      <c r="H366" s="69"/>
    </row>
    <row r="367" spans="2:8" x14ac:dyDescent="0.3">
      <c r="B367" s="32"/>
      <c r="C367" s="7" t="s">
        <v>11</v>
      </c>
      <c r="D367" s="7" t="s">
        <v>12</v>
      </c>
      <c r="E367" s="7" t="s">
        <v>13</v>
      </c>
      <c r="F367" s="49"/>
      <c r="H367" s="70"/>
    </row>
    <row r="368" spans="2:8" x14ac:dyDescent="0.3">
      <c r="B368" s="33" t="str">
        <f>_xlfn.CONCAT("Time to charge the output cap from 0V to ",C6,"V using primary supply")</f>
        <v>Time to charge the output cap from 0V to 12V using primary supply</v>
      </c>
      <c r="C368" s="7">
        <f>(C360-((C361/100)*C360))*C6/(E157-C12)</f>
        <v>1118.1176470588234</v>
      </c>
      <c r="D368" s="7">
        <f>C360*C6/(D157-C12)</f>
        <v>2880</v>
      </c>
      <c r="E368" s="7">
        <f>(C360+((C361/100)*C360))*C6/(C157-C12)</f>
        <v>-87263.999999999927</v>
      </c>
      <c r="F368" s="35" t="s">
        <v>65</v>
      </c>
      <c r="H368" s="70"/>
    </row>
    <row r="369" spans="2:8" x14ac:dyDescent="0.3">
      <c r="B369" s="32"/>
      <c r="H369" s="70"/>
    </row>
    <row r="370" spans="2:8" x14ac:dyDescent="0.3">
      <c r="B370" s="33" t="s">
        <v>75</v>
      </c>
      <c r="C370" s="10">
        <f>E368/'Spec Sheet'!E12*10</f>
        <v>-1586.6181818181806</v>
      </c>
      <c r="D370" s="7" t="s">
        <v>76</v>
      </c>
      <c r="H370" s="70"/>
    </row>
    <row r="371" spans="2:8" x14ac:dyDescent="0.3">
      <c r="B371" s="33" t="s">
        <v>131</v>
      </c>
      <c r="C371" s="10">
        <f>IF(C370&lt;1,1,IF(C370&lt;1.5,1.5,IF(C370&lt;2.2,2.2,IF(C370&lt;3.3,3.3,IF(C370&lt;4.7,4.7,IF(C370&lt;6.8,6.8,IF(C370&lt;10,10,IF(C370&lt;15,15,IF(C370&lt;22,22,IF(C370&lt;33,33,IF(C370&lt;47,47,IF(C370&lt;68,68,IF(C370&lt;100,100,150)))))))))))))</f>
        <v>1</v>
      </c>
      <c r="D371" s="10" t="s">
        <v>76</v>
      </c>
      <c r="H371" s="70"/>
    </row>
    <row r="372" spans="2:8" x14ac:dyDescent="0.3">
      <c r="B372" s="33" t="s">
        <v>66</v>
      </c>
      <c r="C372" s="89">
        <v>10000</v>
      </c>
      <c r="D372" s="7" t="s">
        <v>76</v>
      </c>
      <c r="H372" s="70"/>
    </row>
    <row r="373" spans="2:8" x14ac:dyDescent="0.3">
      <c r="B373" s="33" t="s">
        <v>85</v>
      </c>
      <c r="C373" s="89">
        <v>5</v>
      </c>
      <c r="D373" s="7" t="s">
        <v>34</v>
      </c>
      <c r="H373" s="70"/>
    </row>
    <row r="374" spans="2:8" x14ac:dyDescent="0.3">
      <c r="B374" s="32" t="str">
        <f>IF(C370&gt;C372,"Timer cap installed is smaller than the minimum Timer cap required to fully charge the output from primary supply. Increase the value of the timer cap","")</f>
        <v/>
      </c>
      <c r="H374" s="70"/>
    </row>
    <row r="375" spans="2:8" x14ac:dyDescent="0.3">
      <c r="B375" s="32"/>
      <c r="C375" s="20" t="s">
        <v>11</v>
      </c>
      <c r="D375" s="20" t="s">
        <v>12</v>
      </c>
      <c r="E375" s="20" t="s">
        <v>13</v>
      </c>
      <c r="H375" s="70"/>
    </row>
    <row r="376" spans="2:8" x14ac:dyDescent="0.3">
      <c r="B376" s="33" t="s">
        <v>67</v>
      </c>
      <c r="C376" s="7">
        <f>(C372-((C373*C372/100)))*'Spec Sheet'!E12/'Spec Sheet'!I12</f>
        <v>522500</v>
      </c>
      <c r="D376" s="7">
        <f>'Spec Sheet'!F12/'Spec Sheet'!I12*Design!C372</f>
        <v>830000</v>
      </c>
      <c r="E376" s="7">
        <f>(C372+((C373*C372/100)))*'Spec Sheet'!G12/'Spec Sheet'!I12</f>
        <v>1312500</v>
      </c>
      <c r="F376" s="35" t="s">
        <v>65</v>
      </c>
      <c r="H376" s="70"/>
    </row>
    <row r="377" spans="2:8" ht="15" thickBot="1" x14ac:dyDescent="0.35">
      <c r="B377" s="134"/>
      <c r="C377" s="50"/>
      <c r="D377" s="50"/>
      <c r="E377" s="50"/>
      <c r="F377" s="45"/>
      <c r="G377" s="45"/>
      <c r="H377" s="71"/>
    </row>
    <row r="378" spans="2:8" ht="15" thickBot="1" x14ac:dyDescent="0.35"/>
    <row r="379" spans="2:8" x14ac:dyDescent="0.3">
      <c r="B379" s="152" t="s">
        <v>175</v>
      </c>
      <c r="C379" s="28"/>
      <c r="D379" s="28"/>
      <c r="E379" s="28"/>
      <c r="F379" s="29"/>
      <c r="G379" s="29"/>
      <c r="H379" s="69"/>
    </row>
    <row r="380" spans="2:8" ht="31.5" customHeight="1" thickBot="1" x14ac:dyDescent="0.35">
      <c r="B380" s="153"/>
      <c r="D380" s="25"/>
      <c r="E380" s="154" t="str">
        <f xml:space="preserve"> IF($C$381 &lt;&gt; "OTHER MOSFET","Data Sheet MOSFET SOA Drain Current at Overvoltage","")</f>
        <v/>
      </c>
      <c r="F380" s="154"/>
      <c r="H380" s="70"/>
    </row>
    <row r="381" spans="2:8" ht="18" x14ac:dyDescent="0.35">
      <c r="B381" s="155" t="s">
        <v>176</v>
      </c>
      <c r="C381" s="157" t="s">
        <v>190</v>
      </c>
      <c r="D381" s="25"/>
      <c r="E381" s="113" t="str">
        <f xml:space="preserve"> IF($C$381 &lt;&gt; "OTHER MOSFET","1ms","")</f>
        <v/>
      </c>
      <c r="F381" s="113" t="str">
        <f xml:space="preserve"> IF($C$381 &lt;&gt; "OTHER MOSFET","10ms","")</f>
        <v/>
      </c>
      <c r="G381" s="114"/>
      <c r="H381" s="70"/>
    </row>
    <row r="382" spans="2:8" ht="20.25" customHeight="1" x14ac:dyDescent="0.3">
      <c r="B382" s="156"/>
      <c r="C382" s="158"/>
      <c r="D382" s="25"/>
      <c r="E382" s="115" t="str">
        <f>'Spec Sheet'!Q30</f>
        <v xml:space="preserve"> </v>
      </c>
      <c r="F382" s="115" t="str">
        <f>'Spec Sheet'!R30</f>
        <v xml:space="preserve"> </v>
      </c>
      <c r="G382" s="116" t="str">
        <f xml:space="preserve"> IF($C$381 &lt;&gt; "OTHER MOSFET","Amps","")</f>
        <v/>
      </c>
      <c r="H382" s="70"/>
    </row>
    <row r="383" spans="2:8" ht="18" x14ac:dyDescent="0.3">
      <c r="B383" s="117"/>
      <c r="C383" s="118"/>
      <c r="D383" s="25"/>
      <c r="E383" s="115"/>
      <c r="F383" s="4"/>
      <c r="G383" s="116"/>
      <c r="H383" s="70"/>
    </row>
    <row r="384" spans="2:8" ht="18" x14ac:dyDescent="0.3">
      <c r="B384" s="117"/>
      <c r="C384" s="118"/>
      <c r="D384" s="25"/>
      <c r="E384" s="115" t="str">
        <f>IF($C$381&lt;&gt;"OTHER MOSFET","T_ambient","")</f>
        <v/>
      </c>
      <c r="F384" s="116" t="str">
        <f>IF($C$381&lt;&gt;"OTHER MOSFET","T_junction max","")</f>
        <v/>
      </c>
      <c r="G384" s="116"/>
      <c r="H384" s="70"/>
    </row>
    <row r="385" spans="2:8" ht="18" x14ac:dyDescent="0.3">
      <c r="B385" s="119"/>
      <c r="C385" s="159" t="str">
        <f>IF($C$381&lt;&gt;"OTHER MOSFET","Enter Ambient Temperature","")</f>
        <v/>
      </c>
      <c r="D385" s="159"/>
      <c r="E385" s="120">
        <v>33</v>
      </c>
      <c r="F385" s="121" t="b">
        <f>'Spec Sheet'!N24</f>
        <v>0</v>
      </c>
      <c r="G385" s="116" t="str">
        <f>IF($C$381 &lt;&gt; "OTHER MOSFET","C","")</f>
        <v/>
      </c>
      <c r="H385" s="70"/>
    </row>
    <row r="386" spans="2:8" x14ac:dyDescent="0.3">
      <c r="B386" s="119"/>
      <c r="C386" s="122"/>
      <c r="D386" s="122"/>
      <c r="E386" s="115" t="str">
        <f>IF($C$381="OTHER MOSFET","1ms","")</f>
        <v>1ms</v>
      </c>
      <c r="F386" s="116" t="str">
        <f>IF($C$381="OTHER MOSFET","10ms","")</f>
        <v>10ms</v>
      </c>
      <c r="G386" s="116"/>
      <c r="H386" s="70"/>
    </row>
    <row r="387" spans="2:8" ht="18" x14ac:dyDescent="0.3">
      <c r="B387" s="146" t="str">
        <f>IF($C$381 = "OTHER MOSFET","Enter MOSFET 1ms and 10ms Data Sheet SOA currents at VDS = Over Voltage Rising ","")</f>
        <v xml:space="preserve">Enter MOSFET 1ms and 10ms Data Sheet SOA currents at VDS = Over Voltage Rising </v>
      </c>
      <c r="C387" s="147"/>
      <c r="D387" s="147"/>
      <c r="E387" s="116">
        <v>200</v>
      </c>
      <c r="F387" s="116">
        <v>90</v>
      </c>
      <c r="G387" s="118" t="str">
        <f>IF($C$381="OTHER MOSFET","Amps","")</f>
        <v>Amps</v>
      </c>
      <c r="H387" s="70"/>
    </row>
    <row r="388" spans="2:8" ht="18" x14ac:dyDescent="0.3">
      <c r="B388" s="123"/>
      <c r="H388" s="70"/>
    </row>
    <row r="389" spans="2:8" ht="18" x14ac:dyDescent="0.3">
      <c r="B389" s="123"/>
      <c r="E389" s="124" t="str">
        <f>IF($C$381="OTHER MOSFET","T_ambient","")</f>
        <v>T_ambient</v>
      </c>
      <c r="F389" s="124" t="str">
        <f>IF($C$381="OTHER MOSFET","T_junction max","")</f>
        <v>T_junction max</v>
      </c>
      <c r="H389" s="70"/>
    </row>
    <row r="390" spans="2:8" ht="18" x14ac:dyDescent="0.3">
      <c r="B390" s="148" t="str">
        <f>IF($C$381 = "OTHER MOSFET","Enter ambient and Maximum MOSFET Junction Temperatures  ","")</f>
        <v xml:space="preserve">Enter ambient and Maximum MOSFET Junction Temperatures  </v>
      </c>
      <c r="C390" s="149"/>
      <c r="D390" s="149"/>
      <c r="E390" s="116">
        <v>35</v>
      </c>
      <c r="F390" s="116">
        <v>175</v>
      </c>
      <c r="G390" s="118" t="str">
        <f>IF($C$381="OTHER MOSFET","C","")</f>
        <v>C</v>
      </c>
      <c r="H390" s="70"/>
    </row>
    <row r="391" spans="2:8" ht="15.6" x14ac:dyDescent="0.3">
      <c r="B391" s="125"/>
      <c r="H391" s="70"/>
    </row>
    <row r="392" spans="2:8" ht="40.5" customHeight="1" x14ac:dyDescent="0.3">
      <c r="B392" s="123"/>
      <c r="H392" s="70"/>
    </row>
    <row r="393" spans="2:8" ht="15.6" x14ac:dyDescent="0.3">
      <c r="B393" s="126" t="s">
        <v>178</v>
      </c>
      <c r="C393" s="127">
        <f>IF(E382 = "MOSFET OVERVOLTAGE", "MOSFET OVERVOLTAGE",'Spec Sheet'!U37)</f>
        <v>16.584873886205724</v>
      </c>
      <c r="D393" s="128" t="s">
        <v>179</v>
      </c>
      <c r="H393" s="70"/>
    </row>
    <row r="394" spans="2:8" ht="18" x14ac:dyDescent="0.35">
      <c r="B394" s="129" t="s">
        <v>180</v>
      </c>
      <c r="C394" s="127">
        <f>IF(E382 = "MOSFET OVERVOLTAGE", "MOSFET OVERVOLTAGE",'Spec Sheet'!U40)</f>
        <v>15.479215627125344</v>
      </c>
      <c r="D394" s="128" t="s">
        <v>179</v>
      </c>
      <c r="F394" s="114"/>
      <c r="H394" s="70"/>
    </row>
    <row r="395" spans="2:8" ht="15.6" x14ac:dyDescent="0.3">
      <c r="B395" s="14"/>
      <c r="C395" s="25"/>
      <c r="D395" s="25"/>
      <c r="H395" s="70"/>
    </row>
    <row r="396" spans="2:8" ht="15.6" x14ac:dyDescent="0.3">
      <c r="B396" s="129" t="s">
        <v>181</v>
      </c>
      <c r="C396" s="127">
        <f>E157</f>
        <v>30.303030303030305</v>
      </c>
      <c r="D396" s="128" t="s">
        <v>179</v>
      </c>
      <c r="H396" s="70"/>
    </row>
    <row r="397" spans="2:8" ht="15.6" x14ac:dyDescent="0.3">
      <c r="B397" s="126" t="s">
        <v>182</v>
      </c>
      <c r="C397" s="127">
        <f>IF(E382 = "MOSFET OVERVOLTAGE", "MOSFET OVERVOLTAGE",((C393/C396)*100)-100)</f>
        <v>-45.269916175521118</v>
      </c>
      <c r="D397" s="128" t="s">
        <v>34</v>
      </c>
      <c r="E397" s="150" t="str">
        <f>IF(C397&lt;=0,"Warning: MOSFET SOA may be exceeded for resistive output shorts","")</f>
        <v>Warning: MOSFET SOA may be exceeded for resistive output shorts</v>
      </c>
      <c r="F397" s="150"/>
      <c r="G397" s="150"/>
      <c r="H397" s="70"/>
    </row>
    <row r="398" spans="2:8" ht="16.2" thickBot="1" x14ac:dyDescent="0.35">
      <c r="B398" s="130" t="s">
        <v>183</v>
      </c>
      <c r="C398" s="131">
        <f>IF(E382 = "MOSFET OVERVOLTAGE", "MOSFET OVERVOLTAGE",((C394/C396)*100)-100)</f>
        <v>-48.918588430486366</v>
      </c>
      <c r="D398" s="132" t="s">
        <v>34</v>
      </c>
      <c r="E398" s="151" t="str">
        <f>IF(C398&lt;=0,"Warning: MOSFET SOA may be exceeded for resistive output shorts","")</f>
        <v>Warning: MOSFET SOA may be exceeded for resistive output shorts</v>
      </c>
      <c r="F398" s="151"/>
      <c r="G398" s="151"/>
      <c r="H398" s="71"/>
    </row>
    <row r="399" spans="2:8" ht="15" thickBot="1" x14ac:dyDescent="0.35"/>
    <row r="400" spans="2:8" ht="18.600000000000001" thickBot="1" x14ac:dyDescent="0.4">
      <c r="B400" s="21" t="s">
        <v>201</v>
      </c>
      <c r="C400" s="28"/>
      <c r="D400" s="28"/>
      <c r="E400" s="28"/>
      <c r="F400" s="29"/>
      <c r="G400" s="29"/>
      <c r="H400" s="69"/>
    </row>
    <row r="401" spans="2:8" x14ac:dyDescent="0.3">
      <c r="B401" s="32"/>
      <c r="C401" s="7" t="s">
        <v>11</v>
      </c>
      <c r="D401" s="7" t="s">
        <v>12</v>
      </c>
      <c r="E401" s="7" t="s">
        <v>13</v>
      </c>
      <c r="F401" s="49"/>
      <c r="H401" s="70"/>
    </row>
    <row r="402" spans="2:8" x14ac:dyDescent="0.3">
      <c r="B402" s="33" t="str">
        <f>_xlfn.CONCAT("Time to charge the output cap from 0V to ",C177,"V using secondary supply")</f>
        <v>Time to charge the output cap from 0V to 12V using secondary supply</v>
      </c>
      <c r="C402" s="7">
        <f>(C360-((C361/100)*C360))*C177/(E325-C183)</f>
        <v>1118.1176470588234</v>
      </c>
      <c r="D402" s="7">
        <f>C360*C177/(D325-C183)</f>
        <v>2880</v>
      </c>
      <c r="E402" s="7">
        <f>(C360+((C361/100)*C360))*C177/(C325-C183)</f>
        <v>-87263.999999999927</v>
      </c>
      <c r="F402" s="35" t="s">
        <v>65</v>
      </c>
      <c r="H402" s="70"/>
    </row>
    <row r="403" spans="2:8" x14ac:dyDescent="0.3">
      <c r="B403" s="32"/>
      <c r="H403" s="70"/>
    </row>
    <row r="404" spans="2:8" x14ac:dyDescent="0.3">
      <c r="B404" s="33" t="s">
        <v>139</v>
      </c>
      <c r="C404" s="10">
        <f>E402/'Spec Sheet'!E12*10</f>
        <v>-1586.6181818181806</v>
      </c>
      <c r="D404" s="7" t="s">
        <v>76</v>
      </c>
      <c r="H404" s="70"/>
    </row>
    <row r="405" spans="2:8" x14ac:dyDescent="0.3">
      <c r="B405" s="33" t="s">
        <v>131</v>
      </c>
      <c r="C405" s="10">
        <f>IF(C404&lt;1,1,IF(C404&lt;1.5,1.5,IF(C404&lt;2.2,2.2,IF(C404&lt;3.3,3.3,IF(C404&lt;4.7,4.7,IF(C404&lt;6.8,6.8,IF(C404&lt;10,10,IF(C404&lt;15,15,IF(C404&lt;22,22,IF(C404&lt;33,33,IF(C404&lt;47,47,IF(C404&lt;68,68,IF(C404&lt;100,100,150)))))))))))))</f>
        <v>1</v>
      </c>
      <c r="D405" s="10" t="s">
        <v>76</v>
      </c>
      <c r="H405" s="70"/>
    </row>
    <row r="406" spans="2:8" x14ac:dyDescent="0.3">
      <c r="B406" s="33" t="s">
        <v>140</v>
      </c>
      <c r="C406" s="89">
        <v>33</v>
      </c>
      <c r="D406" s="7" t="s">
        <v>76</v>
      </c>
      <c r="H406" s="70"/>
    </row>
    <row r="407" spans="2:8" x14ac:dyDescent="0.3">
      <c r="B407" s="33" t="s">
        <v>85</v>
      </c>
      <c r="C407" s="89">
        <v>5</v>
      </c>
      <c r="D407" s="7" t="s">
        <v>34</v>
      </c>
      <c r="H407" s="70"/>
    </row>
    <row r="408" spans="2:8" x14ac:dyDescent="0.3">
      <c r="B408" s="32" t="str">
        <f>IF(C404&gt;C406,"Timer cap installed is smaller than the minimum Timer cap required to fully charge the output from secondary supply. Increase the value of the timer cap","")</f>
        <v/>
      </c>
      <c r="H408" s="70"/>
    </row>
    <row r="409" spans="2:8" x14ac:dyDescent="0.3">
      <c r="B409" s="32"/>
      <c r="C409" s="20" t="s">
        <v>11</v>
      </c>
      <c r="D409" s="20" t="s">
        <v>12</v>
      </c>
      <c r="E409" s="20" t="s">
        <v>13</v>
      </c>
      <c r="H409" s="70"/>
    </row>
    <row r="410" spans="2:8" x14ac:dyDescent="0.3">
      <c r="B410" s="33" t="s">
        <v>141</v>
      </c>
      <c r="C410" s="7">
        <f>(C406-((C407*C406/100)))*'Spec Sheet'!E12/'Spec Sheet'!I12</f>
        <v>1724.25</v>
      </c>
      <c r="D410" s="7">
        <f>'Spec Sheet'!F12/'Spec Sheet'!I12*Design!C406</f>
        <v>2739</v>
      </c>
      <c r="E410" s="7">
        <f>(C406+((C407*C406/100)))*'Spec Sheet'!G12/'Spec Sheet'!I12</f>
        <v>4331.25</v>
      </c>
      <c r="F410" s="35" t="s">
        <v>65</v>
      </c>
      <c r="H410" s="70"/>
    </row>
    <row r="411" spans="2:8" ht="15" thickBot="1" x14ac:dyDescent="0.35">
      <c r="B411" s="134"/>
      <c r="C411" s="50"/>
      <c r="D411" s="50"/>
      <c r="E411" s="50"/>
      <c r="F411" s="45"/>
      <c r="G411" s="45"/>
      <c r="H411" s="71"/>
    </row>
    <row r="412" spans="2:8" ht="15" thickBot="1" x14ac:dyDescent="0.35"/>
    <row r="413" spans="2:8" x14ac:dyDescent="0.3">
      <c r="B413" s="152" t="s">
        <v>202</v>
      </c>
      <c r="C413" s="28"/>
      <c r="D413" s="28"/>
      <c r="E413" s="28"/>
      <c r="F413" s="29"/>
      <c r="G413" s="29"/>
      <c r="H413" s="69"/>
    </row>
    <row r="414" spans="2:8" ht="35.25" customHeight="1" thickBot="1" x14ac:dyDescent="0.35">
      <c r="B414" s="153"/>
      <c r="D414" s="25"/>
      <c r="E414" s="154" t="str">
        <f xml:space="preserve"> IF($C$415 &lt;&gt; "OTHER MOSFET","Data Sheet MOSFET SOA Drain Current at Overvoltage","")</f>
        <v>Data Sheet MOSFET SOA Drain Current at Overvoltage</v>
      </c>
      <c r="F414" s="154"/>
      <c r="H414" s="70"/>
    </row>
    <row r="415" spans="2:8" ht="18" x14ac:dyDescent="0.35">
      <c r="B415" s="155" t="s">
        <v>176</v>
      </c>
      <c r="C415" s="157" t="s">
        <v>188</v>
      </c>
      <c r="D415" s="25"/>
      <c r="E415" s="113" t="str">
        <f xml:space="preserve"> IF($C$415 &lt;&gt; "OTHER MOSFET","1ms","")</f>
        <v>1ms</v>
      </c>
      <c r="F415" s="113" t="str">
        <f xml:space="preserve"> IF($C$415 &lt;&gt; "OTHER MOSFET","10ms","")</f>
        <v>10ms</v>
      </c>
      <c r="G415" s="114"/>
      <c r="H415" s="70"/>
    </row>
    <row r="416" spans="2:8" x14ac:dyDescent="0.3">
      <c r="B416" s="156"/>
      <c r="C416" s="158"/>
      <c r="D416" s="25"/>
      <c r="E416" s="115">
        <f>'Spec Sheet'!AD31</f>
        <v>36.82070396243877</v>
      </c>
      <c r="F416" s="115">
        <f>'Spec Sheet'!AE31</f>
        <v>14.421558553027545</v>
      </c>
      <c r="G416" s="116" t="str">
        <f xml:space="preserve"> IF($C$415 &lt;&gt; "OTHER MOSFET","Amps","")</f>
        <v>Amps</v>
      </c>
      <c r="H416" s="70"/>
    </row>
    <row r="417" spans="2:8" ht="18" x14ac:dyDescent="0.3">
      <c r="B417" s="117"/>
      <c r="C417" s="118"/>
      <c r="D417" s="25"/>
      <c r="E417" s="115"/>
      <c r="F417" s="4"/>
      <c r="G417" s="116"/>
      <c r="H417" s="70"/>
    </row>
    <row r="418" spans="2:8" ht="18" x14ac:dyDescent="0.3">
      <c r="B418" s="117"/>
      <c r="C418" s="118"/>
      <c r="D418" s="25"/>
      <c r="E418" s="115" t="str">
        <f>IF($C$415&lt;&gt;"OTHER MOSFET","T_ambient","")</f>
        <v>T_ambient</v>
      </c>
      <c r="F418" s="116" t="str">
        <f>IF($C$415&lt;&gt;"OTHER MOSFET","T_junction max","")</f>
        <v>T_junction max</v>
      </c>
      <c r="G418" s="116"/>
      <c r="H418" s="70"/>
    </row>
    <row r="419" spans="2:8" ht="18" x14ac:dyDescent="0.3">
      <c r="B419" s="119"/>
      <c r="C419" s="159" t="str">
        <f>IF($C$415&lt;&gt;"OTHER MOSFET","Enter Ambient Temperature","")</f>
        <v>Enter Ambient Temperature</v>
      </c>
      <c r="D419" s="159"/>
      <c r="E419" s="120">
        <v>33</v>
      </c>
      <c r="F419" s="121">
        <f>'Spec Sheet'!AA24</f>
        <v>150</v>
      </c>
      <c r="G419" s="116" t="str">
        <f>IF($C$415 &lt;&gt; "OTHER MOSFET","C","")</f>
        <v>C</v>
      </c>
      <c r="H419" s="70"/>
    </row>
    <row r="420" spans="2:8" x14ac:dyDescent="0.3">
      <c r="B420" s="119"/>
      <c r="C420" s="122"/>
      <c r="D420" s="122"/>
      <c r="E420" s="115" t="str">
        <f>IF($C$415="OTHER MOSFET","1ms","")</f>
        <v/>
      </c>
      <c r="F420" s="116" t="str">
        <f>IF($C$415="OTHER MOSFET","10ms","")</f>
        <v/>
      </c>
      <c r="G420" s="116"/>
      <c r="H420" s="70"/>
    </row>
    <row r="421" spans="2:8" ht="18" x14ac:dyDescent="0.3">
      <c r="B421" s="146" t="str">
        <f>IF($C$415 = "OTHER MOSFET","Enter MOSFET 1ms and 10ms Data Sheet SOA currents at VDS = Over Voltage Rising ","")</f>
        <v/>
      </c>
      <c r="C421" s="147"/>
      <c r="D421" s="147"/>
      <c r="E421" s="116">
        <v>200</v>
      </c>
      <c r="F421" s="116">
        <v>90</v>
      </c>
      <c r="G421" s="118" t="str">
        <f>IF($C$415="OTHER MOSFET","Amps","")</f>
        <v/>
      </c>
      <c r="H421" s="70"/>
    </row>
    <row r="422" spans="2:8" ht="18" x14ac:dyDescent="0.3">
      <c r="B422" s="123"/>
      <c r="H422" s="70"/>
    </row>
    <row r="423" spans="2:8" ht="18" x14ac:dyDescent="0.3">
      <c r="B423" s="123"/>
      <c r="E423" s="124" t="str">
        <f>IF($C$415="OTHER MOSFET","T_ambient","")</f>
        <v/>
      </c>
      <c r="F423" s="124" t="str">
        <f>IF($C$415="OTHER MOSFET","T_junction max","")</f>
        <v/>
      </c>
      <c r="H423" s="70"/>
    </row>
    <row r="424" spans="2:8" ht="18" x14ac:dyDescent="0.3">
      <c r="B424" s="148" t="str">
        <f>IF($C$415 = "OTHER MOSFET","Enter ambient and Maximum MOSFET Junction Temperatures  ","")</f>
        <v/>
      </c>
      <c r="C424" s="149"/>
      <c r="D424" s="149"/>
      <c r="E424" s="116">
        <v>35</v>
      </c>
      <c r="F424" s="116">
        <v>175</v>
      </c>
      <c r="G424" s="118" t="str">
        <f>IF($C$415="OTHER MOSFET","C","")</f>
        <v/>
      </c>
      <c r="H424" s="70"/>
    </row>
    <row r="425" spans="2:8" ht="15.6" x14ac:dyDescent="0.3">
      <c r="B425" s="125"/>
      <c r="H425" s="70"/>
    </row>
    <row r="426" spans="2:8" ht="18" x14ac:dyDescent="0.3">
      <c r="B426" s="123"/>
      <c r="H426" s="70"/>
    </row>
    <row r="427" spans="2:8" ht="15.6" x14ac:dyDescent="0.3">
      <c r="B427" s="126" t="s">
        <v>178</v>
      </c>
      <c r="C427" s="127">
        <f>IF(E416 = "MOSFET OVERVOLTAGE", "MOSFET OVERVOLTAGE",'Spec Sheet'!AH38)</f>
        <v>20.274008998983483</v>
      </c>
      <c r="D427" s="128" t="s">
        <v>179</v>
      </c>
      <c r="H427" s="70"/>
    </row>
    <row r="428" spans="2:8" ht="18" x14ac:dyDescent="0.35">
      <c r="B428" s="129" t="s">
        <v>180</v>
      </c>
      <c r="C428" s="127">
        <f>IF(E416 = "MOSFET OVERVOLTAGE", "MOSFET OVERVOLTAGE",'Spec Sheet'!AH41)</f>
        <v>18.976472423048541</v>
      </c>
      <c r="D428" s="128" t="s">
        <v>179</v>
      </c>
      <c r="F428" s="114"/>
      <c r="H428" s="70"/>
    </row>
    <row r="429" spans="2:8" ht="15.6" x14ac:dyDescent="0.3">
      <c r="B429" s="14"/>
      <c r="C429" s="25"/>
      <c r="D429" s="25"/>
      <c r="H429" s="70"/>
    </row>
    <row r="430" spans="2:8" ht="15.6" x14ac:dyDescent="0.3">
      <c r="B430" s="129" t="s">
        <v>181</v>
      </c>
      <c r="C430" s="127">
        <f>E325</f>
        <v>30.303030303030305</v>
      </c>
      <c r="D430" s="128" t="s">
        <v>179</v>
      </c>
      <c r="H430" s="70"/>
    </row>
    <row r="431" spans="2:8" ht="15.6" x14ac:dyDescent="0.3">
      <c r="B431" s="126" t="s">
        <v>182</v>
      </c>
      <c r="C431" s="127">
        <f>IF(E416 = "MOSFET OVERVOLTAGE", "MOSFET OVERVOLTAGE",((C427/C430)*100)-100)</f>
        <v>-33.095770303354513</v>
      </c>
      <c r="D431" s="128" t="s">
        <v>34</v>
      </c>
      <c r="E431" s="150" t="str">
        <f>IF(C431&lt;=0,"Warning: MOSFET SOA may be exceeded for resistive output shorts","")</f>
        <v>Warning: MOSFET SOA may be exceeded for resistive output shorts</v>
      </c>
      <c r="F431" s="150"/>
      <c r="G431" s="150"/>
      <c r="H431" s="70"/>
    </row>
    <row r="432" spans="2:8" ht="16.2" thickBot="1" x14ac:dyDescent="0.35">
      <c r="B432" s="130" t="s">
        <v>183</v>
      </c>
      <c r="C432" s="131">
        <f>IF(E416 = "MOSFET OVERVOLTAGE", "MOSFET OVERVOLTAGE",((C428/C430)*100)-100)</f>
        <v>-37.377641003939821</v>
      </c>
      <c r="D432" s="132" t="s">
        <v>34</v>
      </c>
      <c r="E432" s="151" t="str">
        <f>IF(C432&lt;=0,"Warning: MOSFET SOA may be exceeded for resistive output shorts","")</f>
        <v>Warning: MOSFET SOA may be exceeded for resistive output shorts</v>
      </c>
      <c r="F432" s="151"/>
      <c r="G432" s="151"/>
      <c r="H432" s="71"/>
    </row>
  </sheetData>
  <sheetProtection algorithmName="SHA-512" hashValue="YMp22ne050gEi/GwOn7Qqy+Vn1zAeZePJVVODVv6oIKVhWWG34DhuWqdcElTceVT3VELFe99eY42aUbUptrznQ==" saltValue="YONH50NUAa15F5bGb7bCsQ==" spinCount="100000" sheet="1" objects="1" scenarios="1"/>
  <mergeCells count="21">
    <mergeCell ref="E397:G397"/>
    <mergeCell ref="E398:G398"/>
    <mergeCell ref="B381:B382"/>
    <mergeCell ref="C381:C382"/>
    <mergeCell ref="C385:D385"/>
    <mergeCell ref="B387:D387"/>
    <mergeCell ref="B390:D390"/>
    <mergeCell ref="B2:H2"/>
    <mergeCell ref="B171:F171"/>
    <mergeCell ref="B340:F340"/>
    <mergeCell ref="B379:B380"/>
    <mergeCell ref="E380:F380"/>
    <mergeCell ref="B421:D421"/>
    <mergeCell ref="B424:D424"/>
    <mergeCell ref="E431:G431"/>
    <mergeCell ref="E432:G432"/>
    <mergeCell ref="B413:B414"/>
    <mergeCell ref="E414:F414"/>
    <mergeCell ref="B415:B416"/>
    <mergeCell ref="C415:C416"/>
    <mergeCell ref="C419:D419"/>
  </mergeCells>
  <conditionalFormatting sqref="B17">
    <cfRule type="containsText" dxfId="55" priority="101" operator="containsText" text="minimize ">
      <formula>NOT(ISERROR(SEARCH("minimize ",B17)))</formula>
    </cfRule>
  </conditionalFormatting>
  <conditionalFormatting sqref="B150:B152">
    <cfRule type="containsText" dxfId="54" priority="99" operator="containsText" text="more than">
      <formula>NOT(ISERROR(SEARCH("more than",B150)))</formula>
    </cfRule>
  </conditionalFormatting>
  <conditionalFormatting sqref="B171">
    <cfRule type="containsText" dxfId="53" priority="95" operator="containsText" text="high">
      <formula>NOT(ISERROR(SEARCH("high",B171)))</formula>
    </cfRule>
    <cfRule type="containsText" dxfId="52" priority="96" operator="containsText" text="low">
      <formula>NOT(ISERROR(SEARCH("low",B171)))</formula>
    </cfRule>
  </conditionalFormatting>
  <conditionalFormatting sqref="B340">
    <cfRule type="containsText" dxfId="51" priority="93" operator="containsText" text="high">
      <formula>NOT(ISERROR(SEARCH("high",B340)))</formula>
    </cfRule>
    <cfRule type="containsText" dxfId="50" priority="94" operator="containsText" text="low">
      <formula>NOT(ISERROR(SEARCH("low",B340)))</formula>
    </cfRule>
  </conditionalFormatting>
  <conditionalFormatting sqref="B357">
    <cfRule type="containsText" dxfId="49" priority="91" operator="containsText" text="droop more">
      <formula>NOT(ISERROR(SEARCH("droop more",B357)))</formula>
    </cfRule>
  </conditionalFormatting>
  <conditionalFormatting sqref="B362">
    <cfRule type="containsText" dxfId="48" priority="90" operator="containsText" text="smaller than">
      <formula>NOT(ISERROR(SEARCH("smaller than",B362)))</formula>
    </cfRule>
  </conditionalFormatting>
  <conditionalFormatting sqref="B374">
    <cfRule type="containsText" dxfId="47" priority="89" operator="containsText" text="smaller than">
      <formula>NOT(ISERROR(SEARCH("smaller than",B374)))</formula>
    </cfRule>
  </conditionalFormatting>
  <conditionalFormatting sqref="B408">
    <cfRule type="containsText" dxfId="46" priority="88" operator="containsText" text="smaller than">
      <formula>NOT(ISERROR(SEARCH("smaller than",B408)))</formula>
    </cfRule>
  </conditionalFormatting>
  <conditionalFormatting sqref="B348">
    <cfRule type="containsText" dxfId="45" priority="87" operator="containsText" text="smaller than">
      <formula>NOT(ISERROR(SEARCH("smaller than",B348)))</formula>
    </cfRule>
  </conditionalFormatting>
  <conditionalFormatting sqref="B13">
    <cfRule type="containsText" dxfId="44" priority="58" operator="containsText" text="lower">
      <formula>NOT(ISERROR(SEARCH("lower",B13)))</formula>
    </cfRule>
  </conditionalFormatting>
  <conditionalFormatting sqref="B14">
    <cfRule type="containsText" dxfId="43" priority="57" operator="containsText" text="higher">
      <formula>NOT(ISERROR(SEARCH("higher",B14)))</formula>
    </cfRule>
  </conditionalFormatting>
  <conditionalFormatting sqref="B54">
    <cfRule type="containsText" dxfId="42" priority="56" operator="containsText" text="lower">
      <formula>NOT(ISERROR(SEARCH("lower",B54)))</formula>
    </cfRule>
  </conditionalFormatting>
  <conditionalFormatting sqref="B55">
    <cfRule type="containsText" dxfId="41" priority="55" operator="containsText" text="higher">
      <formula>NOT(ISERROR(SEARCH("higher",B55)))</formula>
    </cfRule>
  </conditionalFormatting>
  <conditionalFormatting sqref="B223">
    <cfRule type="containsText" dxfId="40" priority="49" operator="containsText" text="higher">
      <formula>NOT(ISERROR(SEARCH("higher",B223)))</formula>
    </cfRule>
  </conditionalFormatting>
  <conditionalFormatting sqref="B92">
    <cfRule type="containsText" dxfId="39" priority="44" operator="containsText" text="lower">
      <formula>NOT(ISERROR(SEARCH("lower",B92)))</formula>
    </cfRule>
  </conditionalFormatting>
  <conditionalFormatting sqref="B93">
    <cfRule type="containsText" dxfId="38" priority="43" operator="containsText" text="higher">
      <formula>NOT(ISERROR(SEARCH("higher",B93)))</formula>
    </cfRule>
  </conditionalFormatting>
  <conditionalFormatting sqref="B134">
    <cfRule type="containsText" dxfId="37" priority="42" operator="containsText" text="lower">
      <formula>NOT(ISERROR(SEARCH("lower",B134)))</formula>
    </cfRule>
  </conditionalFormatting>
  <conditionalFormatting sqref="B135">
    <cfRule type="containsText" dxfId="36" priority="41" operator="containsText" text="higher">
      <formula>NOT(ISERROR(SEARCH("higher",B135)))</formula>
    </cfRule>
  </conditionalFormatting>
  <conditionalFormatting sqref="B260">
    <cfRule type="containsText" dxfId="35" priority="40" operator="containsText" text="lower">
      <formula>NOT(ISERROR(SEARCH("lower",B260)))</formula>
    </cfRule>
  </conditionalFormatting>
  <conditionalFormatting sqref="B21:H53 B186:H222">
    <cfRule type="expression" dxfId="34" priority="117">
      <formula>$C$17&lt;&gt;1</formula>
    </cfRule>
  </conditionalFormatting>
  <conditionalFormatting sqref="B56:H91 B224:H261">
    <cfRule type="expression" dxfId="33" priority="119">
      <formula>$C$17&lt;&gt;2</formula>
    </cfRule>
  </conditionalFormatting>
  <conditionalFormatting sqref="B263:H303 B95:H135">
    <cfRule type="expression" dxfId="32" priority="121">
      <formula>$C$17&lt;&gt;3</formula>
    </cfRule>
  </conditionalFormatting>
  <conditionalFormatting sqref="B318:B320">
    <cfRule type="containsText" dxfId="31" priority="35" operator="containsText" text="more than">
      <formula>NOT(ISERROR(SEARCH("more than",B318)))</formula>
    </cfRule>
  </conditionalFormatting>
  <conditionalFormatting sqref="E385:E386">
    <cfRule type="expression" dxfId="30" priority="33">
      <formula>"If($C$381&lt;&gt;""OTHER MOSFET"";"</formula>
    </cfRule>
  </conditionalFormatting>
  <conditionalFormatting sqref="E387">
    <cfRule type="expression" dxfId="29" priority="32">
      <formula>$C$381="OTHER MOSFET"</formula>
    </cfRule>
  </conditionalFormatting>
  <conditionalFormatting sqref="F387">
    <cfRule type="expression" dxfId="28" priority="31">
      <formula>$C$381="OTHER MOSFET"</formula>
    </cfRule>
  </conditionalFormatting>
  <conditionalFormatting sqref="E390">
    <cfRule type="expression" dxfId="27" priority="30">
      <formula>$C$381="OTHER MOSFET"</formula>
    </cfRule>
  </conditionalFormatting>
  <conditionalFormatting sqref="F390">
    <cfRule type="expression" dxfId="26" priority="29">
      <formula>$C$381="OTHER MOSFET"</formula>
    </cfRule>
  </conditionalFormatting>
  <conditionalFormatting sqref="E380:F381 E382:G382">
    <cfRule type="expression" dxfId="25" priority="28">
      <formula>$C$381&lt;&gt;"OTHER MOSFET"</formula>
    </cfRule>
  </conditionalFormatting>
  <conditionalFormatting sqref="E385">
    <cfRule type="expression" dxfId="24" priority="27">
      <formula>$C$381&lt;&gt;"OTHER MOSFET"</formula>
    </cfRule>
  </conditionalFormatting>
  <conditionalFormatting sqref="B387:D387 B390:D390">
    <cfRule type="expression" dxfId="23" priority="26">
      <formula>$C$381="OTHER MOSFET"</formula>
    </cfRule>
  </conditionalFormatting>
  <conditionalFormatting sqref="G387 G390">
    <cfRule type="expression" dxfId="22" priority="25">
      <formula>$C$381="OTHER MOSFET"</formula>
    </cfRule>
  </conditionalFormatting>
  <conditionalFormatting sqref="C385:D385 E384 F384:F385">
    <cfRule type="expression" dxfId="21" priority="24">
      <formula>$C$381&lt;&gt;"OTHER MOSFET"</formula>
    </cfRule>
  </conditionalFormatting>
  <conditionalFormatting sqref="E385:F385">
    <cfRule type="expression" dxfId="20" priority="34" stopIfTrue="1">
      <formula>$C$381="OTHER MOSFET"</formula>
    </cfRule>
  </conditionalFormatting>
  <conditionalFormatting sqref="E387:F387 E390:F390">
    <cfRule type="expression" dxfId="19" priority="23">
      <formula>$C$381&lt;&gt; "OTHER MOSFET"</formula>
    </cfRule>
  </conditionalFormatting>
  <conditionalFormatting sqref="E419:E420">
    <cfRule type="expression" dxfId="18" priority="21">
      <formula>"If($C$415&lt;&gt;""OTHER MOSFET"";"</formula>
    </cfRule>
  </conditionalFormatting>
  <conditionalFormatting sqref="E421">
    <cfRule type="expression" dxfId="17" priority="20">
      <formula>$C$415="OTHER MOSFET"</formula>
    </cfRule>
  </conditionalFormatting>
  <conditionalFormatting sqref="F421">
    <cfRule type="expression" dxfId="16" priority="19">
      <formula>$C$415="OTHER MOSFET"</formula>
    </cfRule>
  </conditionalFormatting>
  <conditionalFormatting sqref="E424">
    <cfRule type="expression" dxfId="15" priority="18">
      <formula>$C$415="OTHER MOSFET"</formula>
    </cfRule>
  </conditionalFormatting>
  <conditionalFormatting sqref="F424">
    <cfRule type="expression" dxfId="14" priority="17">
      <formula>$C$415="OTHER MOSFET"</formula>
    </cfRule>
  </conditionalFormatting>
  <conditionalFormatting sqref="E414:F415 E416:G416">
    <cfRule type="expression" dxfId="13" priority="16">
      <formula>$C$415&lt;&gt;"OTHER MOSFET"</formula>
    </cfRule>
  </conditionalFormatting>
  <conditionalFormatting sqref="E419">
    <cfRule type="expression" dxfId="12" priority="15">
      <formula>$C$415&lt;&gt;"OTHER MOSFET"</formula>
    </cfRule>
  </conditionalFormatting>
  <conditionalFormatting sqref="B421:D421 B424:D424">
    <cfRule type="expression" dxfId="11" priority="14">
      <formula>$C$192="OTHER MOSFET"</formula>
    </cfRule>
  </conditionalFormatting>
  <conditionalFormatting sqref="G421 G424">
    <cfRule type="expression" dxfId="10" priority="13">
      <formula>$C$415="OTHER MOSFET"</formula>
    </cfRule>
  </conditionalFormatting>
  <conditionalFormatting sqref="C419:D419 E418 F418:F419">
    <cfRule type="expression" dxfId="9" priority="12">
      <formula>$C$415&lt;&gt;"OTHER MOSFET"</formula>
    </cfRule>
  </conditionalFormatting>
  <conditionalFormatting sqref="E419:F419">
    <cfRule type="expression" dxfId="8" priority="22" stopIfTrue="1">
      <formula>$C$415="OTHER MOSFET"</formula>
    </cfRule>
  </conditionalFormatting>
  <conditionalFormatting sqref="E421:F421 E424:F424">
    <cfRule type="expression" dxfId="7" priority="11">
      <formula>$C$415&lt;&gt; "OTHER MOSFET"</formula>
    </cfRule>
  </conditionalFormatting>
  <conditionalFormatting sqref="G419">
    <cfRule type="expression" dxfId="6" priority="10">
      <formula>$C$415&lt;&gt;"OTHER MOSFET"</formula>
    </cfRule>
  </conditionalFormatting>
  <conditionalFormatting sqref="G385">
    <cfRule type="expression" dxfId="5" priority="9">
      <formula>$C$381&lt;&gt;"OTHER MOSFET"</formula>
    </cfRule>
  </conditionalFormatting>
  <conditionalFormatting sqref="B261">
    <cfRule type="containsText" dxfId="4" priority="7" operator="containsText" text="higher">
      <formula>NOT(ISERROR(SEARCH("higher",B261)))</formula>
    </cfRule>
  </conditionalFormatting>
  <conditionalFormatting sqref="B303">
    <cfRule type="containsText" dxfId="3" priority="5" operator="containsText" text="higher">
      <formula>NOT(ISERROR(SEARCH("higher",B303)))</formula>
    </cfRule>
  </conditionalFormatting>
  <conditionalFormatting sqref="B303">
    <cfRule type="expression" dxfId="2" priority="6">
      <formula>$C$17&lt;&gt;1</formula>
    </cfRule>
  </conditionalFormatting>
  <conditionalFormatting sqref="B222">
    <cfRule type="containsText" dxfId="1" priority="3" operator="containsText" text="lower">
      <formula>NOT(ISERROR(SEARCH("lower",B222)))</formula>
    </cfRule>
  </conditionalFormatting>
  <conditionalFormatting sqref="B302">
    <cfRule type="containsText" dxfId="0" priority="1" operator="containsText" text="lower">
      <formula>NOT(ISERROR(SEARCH("lower",B302)))</formula>
    </cfRule>
  </conditionalFormatting>
  <dataValidations disablePrompts="1" count="6">
    <dataValidation type="list" allowBlank="1" showInputMessage="1" showErrorMessage="1" sqref="C200 C332 C164" xr:uid="{4E78793D-1F04-49B2-ADEA-7735A963A352}">
      <formula1>$P$34:$P$37</formula1>
    </dataValidation>
    <dataValidation type="custom" showInputMessage="1" showErrorMessage="1" error="These cells are locked for editting as option 1 resistor netwrok is not selected" sqref="B186" xr:uid="{88237FF7-4815-40F3-A7BC-62130D3E7CC3}">
      <formula1>C182=1</formula1>
    </dataValidation>
    <dataValidation type="custom" operator="equal" allowBlank="1" showInputMessage="1" showErrorMessage="1" sqref="B59:H91" xr:uid="{6306585B-18BB-4AD9-BD6F-046AA6FDE531}">
      <formula1>AND((E21&lt;&gt;1),(E21&lt;&gt;3))</formula1>
    </dataValidation>
    <dataValidation type="custom" operator="equal" allowBlank="1" showInputMessage="1" showErrorMessage="1" sqref="C56:H58 B58" xr:uid="{B2AF81B1-681F-4ACD-8FF3-757032F6BEDF}">
      <formula1>AND((E17&lt;&gt;1),(E17&lt;&gt;3))</formula1>
    </dataValidation>
    <dataValidation type="custom" operator="equal" allowBlank="1" showInputMessage="1" showErrorMessage="1" sqref="B56" xr:uid="{8DB78DA1-CA4D-4521-94F0-42A7344C9512}">
      <formula1>AND((C17&lt;&gt;1),(C17&lt;&gt;3))</formula1>
    </dataValidation>
    <dataValidation type="custom" operator="equal" allowBlank="1" showInputMessage="1" showErrorMessage="1" sqref="B57" xr:uid="{31219736-C22D-4B27-A0BD-EE1425F39B4E}">
      <formula1>AND((P18&lt;&gt;1),(P18&lt;&gt;3))</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Drop Down 7">
              <controlPr locked="0" defaultSize="0" autoLine="0" autoPict="0">
                <anchor>
                  <from>
                    <xdr:col>2</xdr:col>
                    <xdr:colOff>0</xdr:colOff>
                    <xdr:row>16</xdr:row>
                    <xdr:rowOff>7620</xdr:rowOff>
                  </from>
                  <to>
                    <xdr:col>3</xdr:col>
                    <xdr:colOff>22860</xdr:colOff>
                    <xdr:row>16</xdr:row>
                    <xdr:rowOff>251460</xdr:rowOff>
                  </to>
                </anchor>
              </controlPr>
            </control>
          </mc:Choice>
        </mc:AlternateContent>
        <mc:AlternateContent xmlns:mc="http://schemas.openxmlformats.org/markup-compatibility/2006">
          <mc:Choice Requires="x14">
            <control shapeId="1034" r:id="rId5" name="Drop Down 10">
              <controlPr locked="0" defaultSize="0" autoLine="0" autoPict="0">
                <anchor>
                  <from>
                    <xdr:col>2</xdr:col>
                    <xdr:colOff>0</xdr:colOff>
                    <xdr:row>17</xdr:row>
                    <xdr:rowOff>0</xdr:rowOff>
                  </from>
                  <to>
                    <xdr:col>3</xdr:col>
                    <xdr:colOff>22860</xdr:colOff>
                    <xdr:row>17</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80B4B648-464B-4799-B7B0-BDFF9772A6A5}">
          <x14:formula1>
            <xm:f>'Spec Sheet'!$Y$31:$Y$34</xm:f>
          </x14:formula1>
          <xm:sqref>C415:C416</xm:sqref>
        </x14:dataValidation>
        <x14:dataValidation type="list" allowBlank="1" showInputMessage="1" showErrorMessage="1" xr:uid="{21729C05-25F2-4F85-A324-D3B6F868766F}">
          <x14:formula1>
            <xm:f>'Spec Sheet'!$K$30:$K$33</xm:f>
          </x14:formula1>
          <xm:sqref>C381:C382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2BF9A-5DFB-4809-BD36-B25C2F73026F}">
  <sheetPr codeName="Sheet2"/>
  <dimension ref="B1:G41"/>
  <sheetViews>
    <sheetView topLeftCell="G1" zoomScaleNormal="100" workbookViewId="0">
      <selection activeCell="D16" sqref="D16"/>
    </sheetView>
  </sheetViews>
  <sheetFormatPr defaultColWidth="8.6640625" defaultRowHeight="14.4" x14ac:dyDescent="0.3"/>
  <cols>
    <col min="1" max="1" width="8.6640625" style="4"/>
    <col min="2" max="2" width="25.6640625" style="4" customWidth="1"/>
    <col min="3" max="3" width="13.109375" style="4" customWidth="1"/>
    <col min="4" max="4" width="11.88671875" style="4" customWidth="1"/>
    <col min="5" max="5" width="14.44140625" style="4" bestFit="1" customWidth="1"/>
    <col min="6" max="6" width="16.88671875" style="4" bestFit="1" customWidth="1"/>
    <col min="7" max="7" width="10" style="4" bestFit="1" customWidth="1"/>
    <col min="8" max="16384" width="8.6640625" style="4"/>
  </cols>
  <sheetData>
    <row r="1" spans="2:7" ht="15" thickBot="1" x14ac:dyDescent="0.35"/>
    <row r="2" spans="2:7" ht="16.2" thickBot="1" x14ac:dyDescent="0.35">
      <c r="B2" s="51" t="s">
        <v>102</v>
      </c>
      <c r="C2" s="52" t="s">
        <v>103</v>
      </c>
      <c r="D2" s="52" t="s">
        <v>14</v>
      </c>
      <c r="E2" s="52" t="s">
        <v>120</v>
      </c>
      <c r="F2" s="52" t="s">
        <v>113</v>
      </c>
      <c r="G2" s="53" t="s">
        <v>110</v>
      </c>
    </row>
    <row r="3" spans="2:7" x14ac:dyDescent="0.3">
      <c r="B3" s="5" t="s">
        <v>88</v>
      </c>
      <c r="C3" s="54">
        <f>IF(Design!$C$17=1,Design!C40,IF(Design!$C$17=2,Design!C77,IF(Design!$C$17=3,Design!C118,NA)))</f>
        <v>287</v>
      </c>
      <c r="D3" s="55" t="str">
        <f>Design!D30</f>
        <v>kΩ</v>
      </c>
      <c r="E3" s="58">
        <f>Design!$V$35</f>
        <v>0.5</v>
      </c>
      <c r="F3" s="5">
        <f>Design!$C$46</f>
        <v>0.05</v>
      </c>
      <c r="G3" s="5">
        <v>1</v>
      </c>
    </row>
    <row r="4" spans="2:7" x14ac:dyDescent="0.3">
      <c r="B4" s="7" t="s">
        <v>29</v>
      </c>
      <c r="C4" s="54">
        <f>IF(Design!$C$17=1,Design!C41,IF(Design!$C$17=2,Design!C78,IF(Design!$C$17=3,Design!C119,NA)))</f>
        <v>5760</v>
      </c>
      <c r="D4" s="56" t="str">
        <f>Design!D42</f>
        <v>kΩ</v>
      </c>
      <c r="E4" s="58">
        <f>Design!$V$35</f>
        <v>0.5</v>
      </c>
      <c r="F4" s="7">
        <f>Design!$C$46</f>
        <v>0.05</v>
      </c>
      <c r="G4" s="7">
        <v>1</v>
      </c>
    </row>
    <row r="5" spans="2:7" x14ac:dyDescent="0.3">
      <c r="B5" s="7" t="s">
        <v>89</v>
      </c>
      <c r="C5" s="54">
        <f>IF(Design!$C$17=1,Design!C42,IF(Design!$C$17=2,Design!C79,IF(Design!$C$17=3,Design!C120,NA)))</f>
        <v>261</v>
      </c>
      <c r="D5" s="56" t="str">
        <f>Design!D41</f>
        <v>kΩ</v>
      </c>
      <c r="E5" s="58">
        <f>Design!$V$35</f>
        <v>0.5</v>
      </c>
      <c r="F5" s="7">
        <f>Design!$C$46</f>
        <v>0.05</v>
      </c>
      <c r="G5" s="7">
        <v>1</v>
      </c>
    </row>
    <row r="6" spans="2:7" x14ac:dyDescent="0.3">
      <c r="B6" s="7" t="s">
        <v>31</v>
      </c>
      <c r="C6" s="54">
        <f>IF(Design!$C$17=1,Design!C43,IF(Design!$C$17=2,Design!C80,IF(Design!$C$17=3,Design!C121,NA)))</f>
        <v>5760</v>
      </c>
      <c r="D6" s="56" t="str">
        <f>Design!D40</f>
        <v>kΩ</v>
      </c>
      <c r="E6" s="58">
        <f>Design!$V$35</f>
        <v>0.5</v>
      </c>
      <c r="F6" s="7">
        <f>Design!$C$46</f>
        <v>0.05</v>
      </c>
      <c r="G6" s="7">
        <v>1</v>
      </c>
    </row>
    <row r="7" spans="2:7" x14ac:dyDescent="0.3">
      <c r="B7" s="7" t="s">
        <v>104</v>
      </c>
      <c r="C7" s="54">
        <f>IF(Design!$C$17=1,Design!C208,IF(Design!$C$17=2,Design!C81,IF(Design!$C$17=3,Design!C122,NA)))</f>
        <v>215</v>
      </c>
      <c r="D7" s="57" t="str">
        <f>Design!D197</f>
        <v>kΩ</v>
      </c>
      <c r="E7" s="58">
        <f>Design!$V$35</f>
        <v>0.5</v>
      </c>
      <c r="F7" s="7">
        <f>Design!$C$214</f>
        <v>0.05</v>
      </c>
      <c r="G7" s="7">
        <v>1</v>
      </c>
    </row>
    <row r="8" spans="2:7" x14ac:dyDescent="0.3">
      <c r="B8" s="7" t="s">
        <v>105</v>
      </c>
      <c r="C8" s="54">
        <f>IF(Design!$C$17=1,Design!C209,IF(Design!$C$17=2,Design!C245,IF(Design!$C$17=3,Design!C123,NA)))</f>
        <v>5760</v>
      </c>
      <c r="D8" s="57" t="str">
        <f>Design!D196</f>
        <v>kΩ</v>
      </c>
      <c r="E8" s="58">
        <f>Design!$V$35</f>
        <v>0.5</v>
      </c>
      <c r="F8" s="7">
        <f>Design!$C$214</f>
        <v>0.05</v>
      </c>
      <c r="G8" s="7">
        <v>1</v>
      </c>
    </row>
    <row r="9" spans="2:7" x14ac:dyDescent="0.3">
      <c r="B9" s="7" t="s">
        <v>106</v>
      </c>
      <c r="C9" s="54">
        <f>IF(Design!$C$17=1,Design!C210,IF(Design!$C$17=2,Design!C246,IF(Design!$C$17=3,Design!C286,NA)))</f>
        <v>287</v>
      </c>
      <c r="D9" s="57" t="str">
        <f>Design!D195</f>
        <v>kΩ</v>
      </c>
      <c r="E9" s="58">
        <f>Design!$V$35</f>
        <v>0.5</v>
      </c>
      <c r="F9" s="7">
        <f>Design!$C$214</f>
        <v>0.05</v>
      </c>
      <c r="G9" s="7">
        <v>1</v>
      </c>
    </row>
    <row r="10" spans="2:7" x14ac:dyDescent="0.3">
      <c r="B10" s="7" t="s">
        <v>107</v>
      </c>
      <c r="C10" s="54">
        <f>IF(Design!$C$17=1,Design!C211,IF(Design!$C$17=2,Design!C247,IF(Design!$C$17=3,Design!C287,NA)))</f>
        <v>5690</v>
      </c>
      <c r="D10" s="57" t="str">
        <f>Design!D194</f>
        <v>kΩ</v>
      </c>
      <c r="E10" s="58">
        <f>Design!$V$35</f>
        <v>0.5</v>
      </c>
      <c r="F10" s="10">
        <f>Design!$C$214</f>
        <v>0.05</v>
      </c>
      <c r="G10" s="7">
        <v>1</v>
      </c>
    </row>
    <row r="11" spans="2:7" x14ac:dyDescent="0.3">
      <c r="B11" s="7" t="s">
        <v>160</v>
      </c>
      <c r="C11" s="54">
        <f>IF(Design!$C$17=1,"NA",IF(Design!$C$17=2,Design!C248,IF(Design!$C$17=3,Design!C288,NA)))</f>
        <v>261</v>
      </c>
      <c r="D11" s="54" t="str">
        <f>IF(Design!$C$17=1,"NA",IF(Design!$C$17=2,Design!D248,IF(Design!$C$17=3,Design!D288,NA)))</f>
        <v>kΩ</v>
      </c>
      <c r="E11" s="83">
        <f>IF(Design!$C$17=1,"NA",IF(Design!$C$17=2,Design!$V$35,IF(Design!$C$17=3,Design!$V$35,NA)))</f>
        <v>0.5</v>
      </c>
      <c r="F11" s="54">
        <f>IF(Design!$C$17=1,"NA",IF(Design!$C$17=2,Design!$C$214,IF(Design!$C$17=3,Design!$C$214,NA)))</f>
        <v>0.05</v>
      </c>
      <c r="G11" s="83">
        <f>IF(Design!$C$17=1,"NA",IF(Design!$C$17=2,1,IF(Design!$C$17=3,1,NA)))</f>
        <v>1</v>
      </c>
    </row>
    <row r="12" spans="2:7" x14ac:dyDescent="0.3">
      <c r="B12" s="7" t="s">
        <v>150</v>
      </c>
      <c r="C12" s="54">
        <f>IF(Design!$C$17=1,"NA",IF(Design!$C$17=2,Design!C249,IF(Design!$C$17=3,Design!C289,NA)))</f>
        <v>5760</v>
      </c>
      <c r="D12" s="54" t="str">
        <f>IF(Design!$C$17=1,"NA",IF(Design!$C$17=2,Design!D249,IF(Design!$C$17=3,Design!D289,NA)))</f>
        <v>kΩ</v>
      </c>
      <c r="E12" s="83">
        <f>IF(Design!$C$17=1,"NA",IF(Design!$C$17=2,Design!$V$35,IF(Design!$C$17=3,Design!$V$35,NA)))</f>
        <v>0.5</v>
      </c>
      <c r="F12" s="54">
        <f>IF(Design!$C$17=1,"NA",IF(Design!$C$17=2,Design!$C$214,IF(Design!$C$17=3,Design!$C$214,NA)))</f>
        <v>0.05</v>
      </c>
      <c r="G12" s="83">
        <f>IF(Design!$C$17=1,"NA",IF(Design!$C$17=2,1,IF(Design!$C$17=3,1,NA)))</f>
        <v>1</v>
      </c>
    </row>
    <row r="13" spans="2:7" x14ac:dyDescent="0.3">
      <c r="B13" s="7" t="s">
        <v>155</v>
      </c>
      <c r="C13" s="54">
        <f>IF(Design!$C$17=1,"NA",IF(Design!$C$17=2,"NA",IF(Design!$C$17=3,Design!C290,NA)))</f>
        <v>231.99999999999997</v>
      </c>
      <c r="D13" s="54" t="str">
        <f>IF(Design!$C$17=1,"NA",IF(Design!$C$17=2,"NA",IF(Design!$C$17=3,Design!D290,NA)))</f>
        <v>kΩ</v>
      </c>
      <c r="E13" s="83">
        <f>IF(Design!$C$17=1,"NA",IF(Design!$C$17=2,"NA",IF(Design!$C$17=3,Design!$V$35,NA)))</f>
        <v>0.5</v>
      </c>
      <c r="F13" s="54">
        <f>IF(Design!$C$17=1,"NA",IF(Design!$C$17=2,"NA",IF(Design!$C$17=3,Design!$C$214,NA)))</f>
        <v>0.05</v>
      </c>
      <c r="G13" s="83">
        <f>IF(Design!$C$17=1,"NA",IF(Design!$C$17=2,"NA",IF(Design!$C$17=3,1,NA)))</f>
        <v>1</v>
      </c>
    </row>
    <row r="14" spans="2:7" x14ac:dyDescent="0.3">
      <c r="B14" s="7" t="s">
        <v>156</v>
      </c>
      <c r="C14" s="54">
        <f>IF(Design!$C$17=1,"NA",IF(Design!$C$17=2,"NA",IF(Design!$C$17=3,Design!C291,NA)))</f>
        <v>5760</v>
      </c>
      <c r="D14" s="54" t="str">
        <f>IF(Design!$C$17=1,"NA",IF(Design!$C$17=2,"NA",IF(Design!$C$17=3,Design!D291,NA)))</f>
        <v>kΩ</v>
      </c>
      <c r="E14" s="83">
        <f>IF(Design!$C$17=1,"NA",IF(Design!$C$17=2,"NA",IF(Design!$C$17=3,Design!$V$35,NA)))</f>
        <v>0.5</v>
      </c>
      <c r="F14" s="54">
        <f>IF(Design!$C$17=1,"NA",IF(Design!$C$17=2,"NA",IF(Design!$C$17=3,Design!$C$214,NA)))</f>
        <v>0.05</v>
      </c>
      <c r="G14" s="83">
        <f>IF(Design!$C$17=1,"NA",IF(Design!$C$17=2,"NA",IF(Design!$C$17=3,1,NA)))</f>
        <v>1</v>
      </c>
    </row>
    <row r="15" spans="2:7" x14ac:dyDescent="0.3">
      <c r="B15" s="7" t="s">
        <v>109</v>
      </c>
      <c r="C15" s="7">
        <f>Design!C147</f>
        <v>1</v>
      </c>
      <c r="D15" s="7" t="str">
        <f>Design!D147</f>
        <v>mΩ</v>
      </c>
      <c r="E15" s="7">
        <f>Design!C44</f>
        <v>0.5</v>
      </c>
      <c r="F15" s="7">
        <f>Design!C142</f>
        <v>1</v>
      </c>
      <c r="G15" s="19">
        <f>Design!C149</f>
        <v>1</v>
      </c>
    </row>
    <row r="16" spans="2:7" x14ac:dyDescent="0.3">
      <c r="B16" s="20" t="s">
        <v>114</v>
      </c>
      <c r="C16" s="107">
        <f>Design!C315</f>
        <v>1</v>
      </c>
      <c r="D16" s="59" t="str">
        <f>Design!D315</f>
        <v>mΩ</v>
      </c>
      <c r="E16" s="23">
        <f>Design!C316</f>
        <v>1</v>
      </c>
      <c r="F16" s="20">
        <f>Design!C310</f>
        <v>1</v>
      </c>
      <c r="G16" s="23">
        <f>Design!C317</f>
        <v>1</v>
      </c>
    </row>
    <row r="17" spans="2:7" x14ac:dyDescent="0.3">
      <c r="B17" s="7" t="s">
        <v>143</v>
      </c>
      <c r="C17" s="10">
        <f>Design!C165</f>
        <v>0.48099999999999998</v>
      </c>
      <c r="D17" s="10" t="str">
        <f>Design!D165</f>
        <v>Ω</v>
      </c>
      <c r="E17" s="7">
        <f>Design!$V$35</f>
        <v>0.5</v>
      </c>
      <c r="F17" s="7">
        <v>0.05</v>
      </c>
      <c r="G17" s="19">
        <v>1</v>
      </c>
    </row>
    <row r="18" spans="2:7" x14ac:dyDescent="0.3">
      <c r="B18" s="7" t="s">
        <v>144</v>
      </c>
      <c r="C18" s="10">
        <f>Design!C333</f>
        <v>0.48099999999999998</v>
      </c>
      <c r="D18" s="10" t="str">
        <f>Design!D333</f>
        <v>Ω</v>
      </c>
      <c r="E18" s="7">
        <f>Design!$V$35</f>
        <v>0.5</v>
      </c>
      <c r="F18" s="7">
        <v>0.05</v>
      </c>
      <c r="G18" s="19">
        <v>1</v>
      </c>
    </row>
    <row r="19" spans="2:7" ht="15" thickBot="1" x14ac:dyDescent="0.35">
      <c r="B19" s="60"/>
      <c r="C19" s="61"/>
      <c r="D19" s="61"/>
      <c r="E19" s="60"/>
      <c r="F19" s="60"/>
      <c r="G19" s="62"/>
    </row>
    <row r="20" spans="2:7" ht="16.2" thickBot="1" x14ac:dyDescent="0.35">
      <c r="B20" s="51" t="s">
        <v>102</v>
      </c>
      <c r="C20" s="52" t="s">
        <v>103</v>
      </c>
      <c r="D20" s="52" t="s">
        <v>14</v>
      </c>
      <c r="E20" s="52" t="s">
        <v>120</v>
      </c>
      <c r="F20" s="52" t="s">
        <v>167</v>
      </c>
      <c r="G20" s="53" t="s">
        <v>110</v>
      </c>
    </row>
    <row r="21" spans="2:7" x14ac:dyDescent="0.3">
      <c r="B21" s="7" t="s">
        <v>115</v>
      </c>
      <c r="C21" s="10">
        <f>Design!C346</f>
        <v>1.5</v>
      </c>
      <c r="D21" s="10" t="str">
        <f>Design!D346</f>
        <v>nF</v>
      </c>
      <c r="E21" s="7">
        <f>Design!C347</f>
        <v>1</v>
      </c>
      <c r="F21" s="7" t="s">
        <v>128</v>
      </c>
      <c r="G21" s="7">
        <v>1</v>
      </c>
    </row>
    <row r="22" spans="2:7" x14ac:dyDescent="0.3">
      <c r="B22" s="7" t="s">
        <v>116</v>
      </c>
      <c r="C22" s="7">
        <f>Design!C372</f>
        <v>10000</v>
      </c>
      <c r="D22" s="7" t="str">
        <f>Design!D372</f>
        <v>nF</v>
      </c>
      <c r="E22" s="56">
        <f>Design!C373</f>
        <v>5</v>
      </c>
      <c r="F22" s="7" t="s">
        <v>128</v>
      </c>
      <c r="G22" s="7">
        <v>1</v>
      </c>
    </row>
    <row r="23" spans="2:7" x14ac:dyDescent="0.3">
      <c r="B23" s="7" t="s">
        <v>117</v>
      </c>
      <c r="C23" s="7">
        <f>Design!C406</f>
        <v>33</v>
      </c>
      <c r="D23" s="7" t="str">
        <f>Design!D406</f>
        <v>nF</v>
      </c>
      <c r="E23" s="56">
        <f>Design!C407</f>
        <v>5</v>
      </c>
      <c r="F23" s="7" t="s">
        <v>128</v>
      </c>
      <c r="G23" s="7">
        <v>1</v>
      </c>
    </row>
    <row r="24" spans="2:7" x14ac:dyDescent="0.3">
      <c r="B24" s="7" t="s">
        <v>118</v>
      </c>
      <c r="C24" s="7">
        <v>1</v>
      </c>
      <c r="D24" s="56" t="s">
        <v>57</v>
      </c>
      <c r="E24" s="56">
        <v>5</v>
      </c>
      <c r="F24" s="7" t="s">
        <v>129</v>
      </c>
      <c r="G24" s="7">
        <v>1</v>
      </c>
    </row>
    <row r="25" spans="2:7" x14ac:dyDescent="0.3">
      <c r="B25" s="7" t="s">
        <v>119</v>
      </c>
      <c r="C25" s="7">
        <v>0.1</v>
      </c>
      <c r="D25" s="56" t="s">
        <v>57</v>
      </c>
      <c r="E25" s="56">
        <v>5</v>
      </c>
      <c r="F25" s="7" t="s">
        <v>129</v>
      </c>
      <c r="G25" s="7">
        <v>1</v>
      </c>
    </row>
    <row r="26" spans="2:7" x14ac:dyDescent="0.3">
      <c r="B26" s="7" t="s">
        <v>130</v>
      </c>
      <c r="C26" s="7">
        <v>1</v>
      </c>
      <c r="D26" s="56" t="s">
        <v>57</v>
      </c>
      <c r="E26" s="56">
        <v>5</v>
      </c>
      <c r="F26" s="7" t="s">
        <v>129</v>
      </c>
      <c r="G26" s="7">
        <v>1</v>
      </c>
    </row>
    <row r="27" spans="2:7" x14ac:dyDescent="0.3">
      <c r="B27" s="7" t="s">
        <v>133</v>
      </c>
      <c r="C27" s="7">
        <v>10</v>
      </c>
      <c r="D27" s="7" t="s">
        <v>57</v>
      </c>
      <c r="E27" s="7">
        <v>5</v>
      </c>
      <c r="F27" s="7" t="s">
        <v>129</v>
      </c>
      <c r="G27" s="7">
        <v>1</v>
      </c>
    </row>
    <row r="28" spans="2:7" x14ac:dyDescent="0.3">
      <c r="B28" s="7" t="s">
        <v>134</v>
      </c>
      <c r="C28" s="7">
        <v>10</v>
      </c>
      <c r="D28" s="7" t="s">
        <v>57</v>
      </c>
      <c r="E28" s="7">
        <v>5</v>
      </c>
      <c r="F28" s="7" t="s">
        <v>129</v>
      </c>
      <c r="G28" s="7">
        <v>1</v>
      </c>
    </row>
    <row r="29" spans="2:7" x14ac:dyDescent="0.3">
      <c r="B29" s="7" t="s">
        <v>165</v>
      </c>
      <c r="C29" s="7">
        <v>47</v>
      </c>
      <c r="D29" s="7" t="s">
        <v>76</v>
      </c>
      <c r="E29" s="7">
        <v>5</v>
      </c>
      <c r="F29" s="7" t="s">
        <v>129</v>
      </c>
      <c r="G29" s="7">
        <v>1</v>
      </c>
    </row>
    <row r="30" spans="2:7" x14ac:dyDescent="0.3">
      <c r="B30" s="7" t="s">
        <v>166</v>
      </c>
      <c r="C30" s="7">
        <v>47</v>
      </c>
      <c r="D30" s="7" t="s">
        <v>76</v>
      </c>
      <c r="E30" s="7">
        <v>5</v>
      </c>
      <c r="F30" s="7" t="s">
        <v>129</v>
      </c>
      <c r="G30" s="7">
        <v>1</v>
      </c>
    </row>
    <row r="31" spans="2:7" x14ac:dyDescent="0.3">
      <c r="B31" s="7" t="s">
        <v>174</v>
      </c>
      <c r="C31" s="7">
        <f>Design!C360</f>
        <v>1200</v>
      </c>
      <c r="D31" s="7" t="str">
        <f>Design!D360</f>
        <v>uF</v>
      </c>
      <c r="E31" s="7">
        <f>Design!C361</f>
        <v>20</v>
      </c>
      <c r="F31" s="7" t="s">
        <v>129</v>
      </c>
      <c r="G31" s="7">
        <v>1</v>
      </c>
    </row>
    <row r="32" spans="2:7" ht="15" thickBot="1" x14ac:dyDescent="0.35"/>
    <row r="33" spans="2:4" ht="15" thickBot="1" x14ac:dyDescent="0.35">
      <c r="B33" s="143" t="s">
        <v>215</v>
      </c>
    </row>
    <row r="34" spans="2:4" x14ac:dyDescent="0.3">
      <c r="B34" s="5" t="s">
        <v>213</v>
      </c>
      <c r="C34" s="7">
        <f>Design!C6</f>
        <v>12</v>
      </c>
      <c r="D34" s="7" t="str">
        <f>Design!D6</f>
        <v>V</v>
      </c>
    </row>
    <row r="35" spans="2:4" x14ac:dyDescent="0.3">
      <c r="B35" s="7" t="s">
        <v>214</v>
      </c>
      <c r="C35" s="7">
        <f>Design!C177</f>
        <v>12</v>
      </c>
      <c r="D35" s="7" t="str">
        <f>Design!D177</f>
        <v>V</v>
      </c>
    </row>
    <row r="41" spans="2:4" ht="15.6" x14ac:dyDescent="0.3">
      <c r="B41" s="144" t="s">
        <v>216</v>
      </c>
    </row>
  </sheetData>
  <sheetProtection algorithmName="SHA-512" hashValue="Kh934pXGfOVUQAOHhD2gehJtEWwpFNJwmPAbFtd0M3JhU8HwPk6MN1uiZ9MOsa37rNqdX8Bf5ityiiROshYD8g==" saltValue="gQawGppakDn/IEY+WMkZTA==" spinCount="100000" sheet="1" objects="1" scenario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33" r:id="rId4" name="Button 85">
              <controlPr defaultSize="0" print="0" autoFill="0" autoPict="0" macro="[0]!lts_export">
                <anchor moveWithCells="1" sizeWithCells="1">
                  <from>
                    <xdr:col>1</xdr:col>
                    <xdr:colOff>60960</xdr:colOff>
                    <xdr:row>36</xdr:row>
                    <xdr:rowOff>60960</xdr:rowOff>
                  </from>
                  <to>
                    <xdr:col>3</xdr:col>
                    <xdr:colOff>541020</xdr:colOff>
                    <xdr:row>39</xdr:row>
                    <xdr:rowOff>68580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6589C-26F3-4125-8BBC-85FE0355B964}">
  <sheetPr codeName="Sheet3"/>
  <dimension ref="B3:AJ42"/>
  <sheetViews>
    <sheetView zoomScaleNormal="100" workbookViewId="0">
      <selection activeCell="C29" sqref="C29"/>
    </sheetView>
  </sheetViews>
  <sheetFormatPr defaultRowHeight="14.4" x14ac:dyDescent="0.3"/>
  <cols>
    <col min="2" max="2" width="12.44140625" customWidth="1"/>
    <col min="3" max="3" width="44.5546875" customWidth="1"/>
    <col min="4" max="4" width="33.109375" customWidth="1"/>
    <col min="5" max="7" width="8.6640625" style="3"/>
    <col min="8" max="8" width="9.109375" customWidth="1"/>
    <col min="10" max="10" width="9.44140625" customWidth="1"/>
    <col min="11" max="11" width="72" customWidth="1"/>
    <col min="12" max="12" width="19" customWidth="1"/>
    <col min="13" max="13" width="22.88671875" customWidth="1"/>
    <col min="14" max="14" width="19.88671875" customWidth="1"/>
    <col min="16" max="16" width="48.6640625" customWidth="1"/>
    <col min="17" max="17" width="15.44140625" customWidth="1"/>
    <col min="20" max="20" width="45.109375" customWidth="1"/>
    <col min="21" max="21" width="14" customWidth="1"/>
    <col min="22" max="22" width="16.88671875" customWidth="1"/>
    <col min="23" max="23" width="23" customWidth="1"/>
    <col min="24" max="24" width="7.88671875" customWidth="1"/>
    <col min="25" max="25" width="79.6640625" customWidth="1"/>
    <col min="26" max="26" width="27.6640625" customWidth="1"/>
    <col min="27" max="27" width="23" customWidth="1"/>
    <col min="28" max="28" width="11.44140625" customWidth="1"/>
    <col min="29" max="29" width="52.6640625" customWidth="1"/>
    <col min="30" max="30" width="21.5546875" customWidth="1"/>
    <col min="31" max="31" width="19.6640625" customWidth="1"/>
    <col min="33" max="33" width="53.44140625" style="3" customWidth="1"/>
    <col min="34" max="34" width="29.33203125" customWidth="1"/>
    <col min="35" max="35" width="25.88671875" customWidth="1"/>
    <col min="36" max="36" width="20" customWidth="1"/>
  </cols>
  <sheetData>
    <row r="3" spans="2:9" x14ac:dyDescent="0.3">
      <c r="B3" s="8" t="s">
        <v>8</v>
      </c>
      <c r="C3" s="8" t="s">
        <v>9</v>
      </c>
      <c r="D3" s="8" t="s">
        <v>10</v>
      </c>
      <c r="E3" s="9" t="s">
        <v>11</v>
      </c>
      <c r="F3" s="9" t="s">
        <v>12</v>
      </c>
      <c r="G3" s="9" t="s">
        <v>13</v>
      </c>
      <c r="H3" s="8" t="s">
        <v>14</v>
      </c>
    </row>
    <row r="4" spans="2:9" x14ac:dyDescent="0.3">
      <c r="B4" s="8" t="s">
        <v>15</v>
      </c>
      <c r="C4" s="8" t="s">
        <v>16</v>
      </c>
      <c r="D4" s="8" t="s">
        <v>17</v>
      </c>
      <c r="E4" s="9">
        <v>490</v>
      </c>
      <c r="F4" s="9">
        <v>500</v>
      </c>
      <c r="G4" s="9">
        <v>510</v>
      </c>
      <c r="H4" s="8" t="s">
        <v>18</v>
      </c>
    </row>
    <row r="5" spans="2:9" x14ac:dyDescent="0.3">
      <c r="B5" s="8" t="s">
        <v>19</v>
      </c>
      <c r="C5" s="8" t="s">
        <v>20</v>
      </c>
      <c r="D5" s="8"/>
      <c r="E5" s="9">
        <v>40</v>
      </c>
      <c r="F5" s="9">
        <v>50</v>
      </c>
      <c r="G5" s="9">
        <v>60</v>
      </c>
      <c r="H5" s="8" t="s">
        <v>18</v>
      </c>
    </row>
    <row r="6" spans="2:9" x14ac:dyDescent="0.3">
      <c r="B6" s="8" t="s">
        <v>21</v>
      </c>
      <c r="C6" s="8" t="s">
        <v>22</v>
      </c>
      <c r="D6" s="8" t="s">
        <v>23</v>
      </c>
      <c r="E6" s="9"/>
      <c r="F6" s="9"/>
      <c r="G6" s="9">
        <v>10</v>
      </c>
      <c r="H6" s="8" t="s">
        <v>24</v>
      </c>
    </row>
    <row r="7" spans="2:9" x14ac:dyDescent="0.3">
      <c r="B7" s="8" t="s">
        <v>39</v>
      </c>
      <c r="C7" s="8" t="s">
        <v>40</v>
      </c>
      <c r="D7" s="8" t="s">
        <v>41</v>
      </c>
      <c r="E7" s="9">
        <v>20</v>
      </c>
      <c r="F7" s="9">
        <v>25</v>
      </c>
      <c r="G7" s="9">
        <v>30</v>
      </c>
      <c r="H7" s="8" t="s">
        <v>18</v>
      </c>
    </row>
    <row r="8" spans="2:9" x14ac:dyDescent="0.3">
      <c r="B8" s="8" t="s">
        <v>42</v>
      </c>
      <c r="C8" s="8" t="s">
        <v>43</v>
      </c>
      <c r="D8" s="8" t="s">
        <v>44</v>
      </c>
      <c r="E8" s="9">
        <v>7.5</v>
      </c>
      <c r="F8" s="9">
        <v>12.5</v>
      </c>
      <c r="G8" s="9">
        <v>17.5</v>
      </c>
      <c r="H8" s="8" t="s">
        <v>18</v>
      </c>
    </row>
    <row r="9" spans="2:9" x14ac:dyDescent="0.3">
      <c r="B9" s="8" t="s">
        <v>45</v>
      </c>
      <c r="C9" s="8" t="s">
        <v>46</v>
      </c>
      <c r="D9" s="8" t="s">
        <v>47</v>
      </c>
      <c r="E9" s="9">
        <v>380</v>
      </c>
      <c r="F9" s="9">
        <v>480</v>
      </c>
      <c r="G9" s="9">
        <v>580</v>
      </c>
      <c r="H9" s="8" t="s">
        <v>18</v>
      </c>
    </row>
    <row r="10" spans="2:9" x14ac:dyDescent="0.3">
      <c r="B10" s="8" t="s">
        <v>68</v>
      </c>
      <c r="C10" s="8" t="s">
        <v>69</v>
      </c>
      <c r="D10" s="8"/>
      <c r="E10" s="9">
        <v>3</v>
      </c>
      <c r="F10" s="9">
        <v>6</v>
      </c>
      <c r="G10" s="9">
        <v>9</v>
      </c>
      <c r="H10" s="8" t="s">
        <v>27</v>
      </c>
    </row>
    <row r="11" spans="2:9" x14ac:dyDescent="0.3">
      <c r="B11" s="8" t="s">
        <v>70</v>
      </c>
      <c r="C11" s="8" t="s">
        <v>71</v>
      </c>
      <c r="D11" s="8"/>
      <c r="E11" s="9">
        <v>1</v>
      </c>
      <c r="F11" s="9">
        <v>2</v>
      </c>
      <c r="G11" s="9">
        <v>3</v>
      </c>
      <c r="H11" s="8" t="s">
        <v>27</v>
      </c>
    </row>
    <row r="12" spans="2:9" x14ac:dyDescent="0.3">
      <c r="B12" s="8" t="s">
        <v>74</v>
      </c>
      <c r="C12" s="8" t="s">
        <v>72</v>
      </c>
      <c r="D12" s="8" t="s">
        <v>73</v>
      </c>
      <c r="E12" s="9">
        <v>550</v>
      </c>
      <c r="F12" s="9">
        <v>830</v>
      </c>
      <c r="G12" s="9">
        <v>1250</v>
      </c>
      <c r="H12" s="8" t="s">
        <v>65</v>
      </c>
      <c r="I12" s="22">
        <v>10</v>
      </c>
    </row>
    <row r="13" spans="2:9" x14ac:dyDescent="0.3">
      <c r="B13" s="8" t="s">
        <v>79</v>
      </c>
      <c r="C13" s="8" t="s">
        <v>80</v>
      </c>
      <c r="D13" s="8" t="s">
        <v>81</v>
      </c>
      <c r="E13" s="9">
        <v>5</v>
      </c>
      <c r="F13" s="9">
        <v>7.5</v>
      </c>
      <c r="G13" s="9">
        <v>11</v>
      </c>
      <c r="H13" s="8" t="s">
        <v>78</v>
      </c>
      <c r="I13" s="22">
        <v>470</v>
      </c>
    </row>
    <row r="14" spans="2:9" x14ac:dyDescent="0.3">
      <c r="B14" s="8"/>
      <c r="C14" s="8"/>
      <c r="D14" s="8"/>
      <c r="E14" s="9"/>
      <c r="F14" s="9"/>
      <c r="G14" s="9"/>
      <c r="H14" s="8"/>
    </row>
    <row r="15" spans="2:9" x14ac:dyDescent="0.3">
      <c r="B15" s="8"/>
      <c r="C15" s="8"/>
      <c r="D15" s="8"/>
      <c r="E15" s="9"/>
      <c r="F15" s="9"/>
      <c r="G15" s="9"/>
      <c r="H15" s="8"/>
    </row>
    <row r="16" spans="2:9" x14ac:dyDescent="0.3">
      <c r="B16" s="8"/>
      <c r="C16" s="8"/>
      <c r="D16" s="8"/>
      <c r="E16" s="9"/>
      <c r="F16" s="9"/>
      <c r="G16" s="9"/>
      <c r="H16" s="8"/>
    </row>
    <row r="17" spans="2:36" x14ac:dyDescent="0.3">
      <c r="B17" s="8"/>
      <c r="C17" s="8"/>
      <c r="D17" s="8"/>
      <c r="E17" s="9"/>
      <c r="F17" s="9"/>
      <c r="G17" s="9"/>
      <c r="H17" s="8"/>
    </row>
    <row r="19" spans="2:36" x14ac:dyDescent="0.3">
      <c r="C19" t="s">
        <v>151</v>
      </c>
    </row>
    <row r="20" spans="2:36" x14ac:dyDescent="0.3">
      <c r="C20" t="s">
        <v>161</v>
      </c>
      <c r="D20">
        <v>1</v>
      </c>
      <c r="P20" s="141" t="s">
        <v>203</v>
      </c>
      <c r="X20" s="133"/>
      <c r="AC20" s="141" t="s">
        <v>204</v>
      </c>
    </row>
    <row r="21" spans="2:36" x14ac:dyDescent="0.3">
      <c r="C21" t="s">
        <v>162</v>
      </c>
      <c r="D21">
        <v>2</v>
      </c>
      <c r="X21" s="133"/>
    </row>
    <row r="22" spans="2:36" x14ac:dyDescent="0.3">
      <c r="C22" t="s">
        <v>163</v>
      </c>
      <c r="D22">
        <v>3</v>
      </c>
      <c r="X22" s="133"/>
    </row>
    <row r="23" spans="2:36" x14ac:dyDescent="0.3">
      <c r="N23" s="135" t="s">
        <v>189</v>
      </c>
      <c r="X23" s="133"/>
      <c r="AA23" s="135" t="s">
        <v>189</v>
      </c>
    </row>
    <row r="24" spans="2:36" x14ac:dyDescent="0.3">
      <c r="C24" s="135"/>
      <c r="D24" s="135"/>
      <c r="K24" s="135" t="s">
        <v>191</v>
      </c>
      <c r="L24" s="135"/>
      <c r="M24" s="3" t="str">
        <f>Design!C381</f>
        <v>OTHER MOSFET</v>
      </c>
      <c r="N24" s="3" t="b">
        <f>IF(Design!C381 = "PSMN4R8100BSE",L30,IF(Design!C381 = "PSMN4R060YS",L31,IF(Design!C381 = "SiR158",L32)))</f>
        <v>0</v>
      </c>
      <c r="X24" s="133"/>
      <c r="Y24" s="135" t="s">
        <v>205</v>
      </c>
      <c r="Z24" s="3" t="str">
        <f>Design!C415</f>
        <v>SiR158</v>
      </c>
      <c r="AA24" s="3">
        <f>IF(Design!C415 = "PSMN4R8100BSE",L30,IF(Design!C415 = "PSMN4R060YS",L31,IF(Design!C415 = "SiR158",L32)))</f>
        <v>150</v>
      </c>
    </row>
    <row r="25" spans="2:36" x14ac:dyDescent="0.3">
      <c r="C25" s="3"/>
      <c r="D25" s="3"/>
      <c r="K25" s="135" t="s">
        <v>192</v>
      </c>
      <c r="L25" s="135"/>
      <c r="M25" s="3">
        <f>Design!C7</f>
        <v>13</v>
      </c>
      <c r="X25" s="133"/>
      <c r="Y25" s="135" t="s">
        <v>206</v>
      </c>
      <c r="Z25" s="3">
        <f>Design!C178</f>
        <v>13</v>
      </c>
    </row>
    <row r="26" spans="2:36" x14ac:dyDescent="0.3">
      <c r="C26" s="3"/>
      <c r="D26" s="3"/>
      <c r="X26" s="133"/>
    </row>
    <row r="27" spans="2:36" x14ac:dyDescent="0.3">
      <c r="C27" s="3"/>
      <c r="D27" s="3"/>
      <c r="X27" s="133"/>
    </row>
    <row r="28" spans="2:36" x14ac:dyDescent="0.3">
      <c r="C28" s="3"/>
      <c r="K28" s="135" t="s">
        <v>207</v>
      </c>
      <c r="M28" s="165" t="s">
        <v>211</v>
      </c>
      <c r="N28" s="165"/>
      <c r="U28" s="165" t="s">
        <v>198</v>
      </c>
      <c r="V28" s="165"/>
      <c r="W28" s="165"/>
      <c r="X28" s="133"/>
      <c r="Y28" s="135" t="s">
        <v>208</v>
      </c>
    </row>
    <row r="29" spans="2:36" x14ac:dyDescent="0.3">
      <c r="K29" s="135" t="s">
        <v>193</v>
      </c>
      <c r="L29" s="135" t="s">
        <v>189</v>
      </c>
      <c r="M29" s="135" t="s">
        <v>186</v>
      </c>
      <c r="N29" s="135" t="s">
        <v>187</v>
      </c>
      <c r="Q29" s="135" t="s">
        <v>186</v>
      </c>
      <c r="R29" s="135" t="s">
        <v>187</v>
      </c>
      <c r="U29" s="138" t="s">
        <v>196</v>
      </c>
      <c r="V29" s="138" t="s">
        <v>197</v>
      </c>
      <c r="W29" s="138" t="s">
        <v>194</v>
      </c>
      <c r="X29" s="133"/>
      <c r="Z29" s="165" t="s">
        <v>211</v>
      </c>
      <c r="AA29" s="165"/>
      <c r="AG29" s="164" t="s">
        <v>198</v>
      </c>
      <c r="AH29" s="164"/>
      <c r="AI29" s="164"/>
      <c r="AJ29" s="138"/>
    </row>
    <row r="30" spans="2:36" x14ac:dyDescent="0.3">
      <c r="K30" s="137" t="s">
        <v>185</v>
      </c>
      <c r="L30" s="3">
        <v>175</v>
      </c>
      <c r="M30" s="137">
        <f>IF(M25&lt;5.3,75*M25^1.0038,IF(M25&lt;50,2028.3*M25^-0.973,IF(M25&lt;=100,396368*M25^-2.322,("MOSFET OVERVOLTAGE"))))</f>
        <v>167.21117891493168</v>
      </c>
      <c r="N30" s="137">
        <f>IF(M25&lt;3.3,75*M25^1.0038,IF(M25&lt;41,827.38*M25^-1.002,IF(M25&lt;=100,2000000*M25^-3.11,("MOSFET OVERVOLTAGE"))))</f>
        <v>63.318960955217584</v>
      </c>
      <c r="P30" s="135" t="s">
        <v>212</v>
      </c>
      <c r="Q30" t="str">
        <f>IF($M$24 = $K$30, M30,IF($M$24 =$K$31,M31,(IF($M$24=$K$32,M32,IF($M$24=$K$33," ")))))</f>
        <v xml:space="preserve"> </v>
      </c>
      <c r="R30" t="str">
        <f>IF($M$24 = $K$30, N30,IF($M$24 =$K$31,N31,(IF($M$24=$K$32,N32,IF($M$24=$K$33," ")))))</f>
        <v xml:space="preserve"> </v>
      </c>
      <c r="T30" t="s">
        <v>194</v>
      </c>
      <c r="U30">
        <f>IF(M24 = "OTHER MOSFET",Design!E387," ")</f>
        <v>200</v>
      </c>
      <c r="V30">
        <f>IF(M24 = "OTHER MOSFET",Design!F387," ")</f>
        <v>90</v>
      </c>
      <c r="W30">
        <f>IF($M$24="OTHER MOSFET",((LN($U$30/$V$30))/LN(0.1)),((LN($Q$30/$R$30))/LN(0.1)))</f>
        <v>-0.34678748622465638</v>
      </c>
      <c r="X30" s="133"/>
      <c r="Y30" s="135" t="s">
        <v>193</v>
      </c>
      <c r="Z30" s="135" t="s">
        <v>186</v>
      </c>
      <c r="AA30" s="135" t="s">
        <v>187</v>
      </c>
      <c r="AD30" s="135" t="s">
        <v>186</v>
      </c>
      <c r="AE30" s="135" t="s">
        <v>187</v>
      </c>
      <c r="AH30" s="138" t="s">
        <v>196</v>
      </c>
      <c r="AI30" s="138" t="s">
        <v>197</v>
      </c>
      <c r="AJ30" s="138" t="s">
        <v>194</v>
      </c>
    </row>
    <row r="31" spans="2:36" x14ac:dyDescent="0.3">
      <c r="K31" s="137" t="s">
        <v>177</v>
      </c>
      <c r="L31" s="3">
        <v>175</v>
      </c>
      <c r="M31" s="137">
        <f>IF(M25&lt;3.2,85*M25^0.9678,IF(M25&lt;14,837.14*M25^-0.999,IF(M25&lt;=60,58391*M25^-2.607,("MOSFET OVERVOLTAGE"))))</f>
        <v>64.560767524499894</v>
      </c>
      <c r="N31" s="137">
        <f>IF(M25&lt;1.94,85*M25^0.9678,IF(M25&lt;14.5,308.19*M25^-0.97,IF(M25&lt;=60,12831*M25^-2.365,("MOSFET OVERVOLTAGE"))))</f>
        <v>25.603155334870564</v>
      </c>
      <c r="T31" t="s">
        <v>195</v>
      </c>
      <c r="U31">
        <f>IF($M$24 = "OTHER MOSFET",($U$30/(1^$W$30)),($Q$30/(1^$W$30)))</f>
        <v>200</v>
      </c>
      <c r="X31" s="133"/>
      <c r="Y31" s="137" t="s">
        <v>185</v>
      </c>
      <c r="Z31" s="137">
        <f>IF(Z25&lt;5.3,75*Z25^1.0038,IF(Z25&lt;50,2028.3*Z25^-0.973,IF(Z25&lt;=100,396368*Z25^-2.322,("MOSFET OVERVOLTAGE"))))</f>
        <v>167.21117891493168</v>
      </c>
      <c r="AA31" s="137">
        <f>IF(Z25&lt;3.3,75*Z25^1.0038,IF(Z25&lt;41,827.38*Z25^-1.002,IF(Z25&lt;=100,2000000*Z25^-3.11,("MOSFET OVERVOLTAGE"))))</f>
        <v>63.318960955217584</v>
      </c>
      <c r="AC31" s="135" t="s">
        <v>212</v>
      </c>
      <c r="AD31">
        <f>IF($Z$24 = $K$30, Z31,IF($Z$24 =$K$31,Z32,(IF($Z$24=$K$32,Z33,IF($Z$24=$K$33," ")))))</f>
        <v>36.82070396243877</v>
      </c>
      <c r="AE31">
        <f>IF($Z$24 = $K$30, AA31,IF($Z$24 =$K$31,AA32,(IF($Z$24=$K$32,AA33,IF($Z$24=$K$33," ")))))</f>
        <v>14.421558553027545</v>
      </c>
      <c r="AG31" s="3" t="s">
        <v>194</v>
      </c>
      <c r="AH31" t="str">
        <f>IF(Z24 = "OTHER MOSFET",Design!E421," ")</f>
        <v xml:space="preserve"> </v>
      </c>
      <c r="AI31" t="str">
        <f>IF(Z24 = "OTHER MOSFET",Design!F421," ")</f>
        <v xml:space="preserve"> </v>
      </c>
      <c r="AJ31">
        <f>IF($Z$24="OTHER MOSFET",((LN($AH$31/$AI$31))/LN(0.1)),((LN($AD$31/$AE$31))/LN(0.1)))</f>
        <v>-0.40707988979298126</v>
      </c>
    </row>
    <row r="32" spans="2:36" x14ac:dyDescent="0.3">
      <c r="K32" s="137" t="s">
        <v>188</v>
      </c>
      <c r="L32" s="3">
        <v>150</v>
      </c>
      <c r="M32" s="137">
        <f>IF(M25&lt;=30,475*M25^-0.997,("MOSFET OVERVOLTAGE"))</f>
        <v>36.82070396243877</v>
      </c>
      <c r="N32" s="137">
        <f>IF(M25&lt;=30,187*M25^-0.999,("MOSFET OVERVOLTAGE"))</f>
        <v>14.421558553027545</v>
      </c>
      <c r="X32" s="133"/>
      <c r="Y32" s="137" t="s">
        <v>177</v>
      </c>
      <c r="Z32" s="137">
        <f>IF(Z25&lt;3.2,85*Z25^0.9678,IF(Z25&lt;14,837.14*Z25^-0.999,IF(Z25&lt;=60,58391*Z25^-2.607,("MOSFET OVERVOLTAGE"))))</f>
        <v>64.560767524499894</v>
      </c>
      <c r="AA32" s="137">
        <f>IF(Z25&lt;1.94,85*Z25^0.9678,IF(Z25&lt;14.5,308.19*Z25^-0.97,IF(Z25&lt;=60,12831*Z25^-2.365,("MOSFET OVERVOLTAGE"))))</f>
        <v>25.603155334870564</v>
      </c>
      <c r="AG32" s="3" t="s">
        <v>195</v>
      </c>
      <c r="AH32">
        <f>IF($Z$24 = "OTHER MOSFET",($AH$31/(1^$AJ$31)),($AD$31/(1^$AJ$31)))</f>
        <v>36.82070396243877</v>
      </c>
    </row>
    <row r="33" spans="11:34" x14ac:dyDescent="0.3">
      <c r="K33" s="137" t="s">
        <v>190</v>
      </c>
      <c r="L33" s="137"/>
      <c r="X33" s="133"/>
      <c r="Y33" s="137" t="s">
        <v>188</v>
      </c>
      <c r="Z33" s="137">
        <f>IF(Z25&lt;=30,475*Z25^-0.997,("MOSFET OVERVOLTAGE"))</f>
        <v>36.82070396243877</v>
      </c>
      <c r="AA33" s="137">
        <f>IF(Z25&lt;=30,187*Z25^-0.999,("MOSFET OVERVOLTAGE"))</f>
        <v>14.421558553027545</v>
      </c>
    </row>
    <row r="34" spans="11:34" ht="15.6" x14ac:dyDescent="0.3">
      <c r="K34" s="139"/>
      <c r="L34" s="139"/>
      <c r="M34" s="139"/>
      <c r="T34" s="135" t="s">
        <v>209</v>
      </c>
      <c r="U34">
        <f>Design!E376/1000</f>
        <v>1312.5</v>
      </c>
      <c r="X34" s="133"/>
      <c r="Y34" s="137" t="s">
        <v>190</v>
      </c>
    </row>
    <row r="35" spans="11:34" ht="15.6" x14ac:dyDescent="0.3">
      <c r="K35" s="3"/>
      <c r="L35" s="3"/>
      <c r="M35" s="136"/>
      <c r="X35" s="133"/>
      <c r="Z35" s="139"/>
      <c r="AG35" s="135" t="s">
        <v>210</v>
      </c>
      <c r="AH35" s="3">
        <f>Design!E410/1000</f>
        <v>4.3312499999999998</v>
      </c>
    </row>
    <row r="36" spans="11:34" ht="15.6" x14ac:dyDescent="0.3">
      <c r="K36" s="3"/>
      <c r="L36" s="3"/>
      <c r="M36" s="136"/>
      <c r="X36" s="133"/>
      <c r="Z36" s="136"/>
    </row>
    <row r="37" spans="11:34" ht="15.75" customHeight="1" x14ac:dyDescent="0.3">
      <c r="K37" s="3"/>
      <c r="L37" s="3"/>
      <c r="M37" s="136"/>
      <c r="T37" s="164" t="s">
        <v>199</v>
      </c>
      <c r="U37" s="140">
        <f>IF($M$24 = "OTHER MOSFET", ($U$31*($U$34^$W$30)),($Q$30*($U$34^$W$30)))</f>
        <v>16.584873886205724</v>
      </c>
      <c r="X37" s="133"/>
      <c r="Z37" s="136"/>
    </row>
    <row r="38" spans="11:34" ht="15.6" x14ac:dyDescent="0.3">
      <c r="T38" s="164"/>
      <c r="X38" s="133"/>
      <c r="Z38" s="136"/>
      <c r="AG38" s="142" t="s">
        <v>199</v>
      </c>
      <c r="AH38" s="140">
        <f>IF($Z$24 = "OTHER MOSFET", ($AH$32*($AH$35^$AJ$31)),($AD$31*($AH$35^$AJ$31)))</f>
        <v>20.274008998983483</v>
      </c>
    </row>
    <row r="39" spans="11:34" x14ac:dyDescent="0.3">
      <c r="X39" s="133"/>
      <c r="AG39" s="142"/>
    </row>
    <row r="40" spans="11:34" ht="15" customHeight="1" x14ac:dyDescent="0.3">
      <c r="T40" s="164" t="s">
        <v>200</v>
      </c>
      <c r="U40" s="140">
        <f>IF($M$24 = "OTHER MOSFET", $U$37*(Design!F390-Design!E390)/(Design!F390-25),$U$37*(Design!F385-Design!E385)/(Design!F385-25))</f>
        <v>15.479215627125344</v>
      </c>
      <c r="X40" s="133"/>
    </row>
    <row r="41" spans="11:34" ht="28.8" x14ac:dyDescent="0.3">
      <c r="T41" s="164"/>
      <c r="X41" s="133"/>
      <c r="AG41" s="142" t="s">
        <v>200</v>
      </c>
      <c r="AH41" s="140">
        <f>IF($Z$24 = "OTHER MOSFET", $AH$38*(Design!F424-Design!E424)/(Design!F424-25),$AH$38*(Design!F419-Design!E419)/(Design!F419-25))</f>
        <v>18.976472423048541</v>
      </c>
    </row>
    <row r="42" spans="11:34" x14ac:dyDescent="0.3">
      <c r="AG42" s="142"/>
    </row>
  </sheetData>
  <sheetProtection algorithmName="SHA-512" hashValue="Q+2KH9UreFJwwBY2bug2V0FAdgG2LvIuxPvO37gPT533qXAumx2yCjsCWTbq98WKMB+kuYqBizUeukVD+kUoNg==" saltValue="m45D2YRv/TgmlODH3ltPpg==" spinCount="100000" sheet="1" objects="1" scenarios="1"/>
  <mergeCells count="6">
    <mergeCell ref="T40:T41"/>
    <mergeCell ref="AG29:AI29"/>
    <mergeCell ref="Z29:AA29"/>
    <mergeCell ref="M28:N28"/>
    <mergeCell ref="U28:W28"/>
    <mergeCell ref="T37:T38"/>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69D8A-EFB5-4BF7-A378-774810D5CA10}">
  <sheetPr codeName="Sheet4"/>
  <dimension ref="A3:A5"/>
  <sheetViews>
    <sheetView zoomScaleNormal="100" workbookViewId="0">
      <selection activeCell="D4" sqref="D4"/>
    </sheetView>
  </sheetViews>
  <sheetFormatPr defaultRowHeight="14.4" x14ac:dyDescent="0.3"/>
  <cols>
    <col min="2" max="2" width="164.44140625" customWidth="1"/>
  </cols>
  <sheetData>
    <row r="3" spans="1:1" ht="409.5" customHeight="1" x14ac:dyDescent="0.3">
      <c r="A3" s="3">
        <v>1</v>
      </c>
    </row>
    <row r="4" spans="1:1" ht="409.5" customHeight="1" x14ac:dyDescent="0.3">
      <c r="A4" s="3">
        <v>2</v>
      </c>
    </row>
    <row r="5" spans="1:1" ht="409.5" customHeight="1" x14ac:dyDescent="0.3">
      <c r="A5" s="3">
        <v>3</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Design</vt:lpstr>
      <vt:lpstr>BOM and Export</vt:lpstr>
      <vt:lpstr>Spec Sheet</vt:lpstr>
      <vt:lpstr>Images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Singh, Manpreet</dc:creator>
  <cp:lastModifiedBy>Hoang, Carolyn</cp:lastModifiedBy>
  <dcterms:created xsi:type="dcterms:W3CDTF">2018-08-29T21:51:52Z</dcterms:created>
  <dcterms:modified xsi:type="dcterms:W3CDTF">2024-10-26T20:35:30Z</dcterms:modified>
</cp:coreProperties>
</file>