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8_{CA2990A0-79CE-4665-93F1-79CA1FB668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Шаблон для заполнения " sheetId="2" r:id="rId1"/>
    <sheet name="UE DB" sheetId="3" state="hidden" r:id="rId2"/>
    <sheet name="Гипотезы" sheetId="4" state="hidden" r:id="rId3"/>
    <sheet name="Sheet3" sheetId="5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E15" i="5"/>
  <c r="E14" i="5"/>
  <c r="F9" i="5"/>
  <c r="F8" i="5"/>
  <c r="F7" i="5"/>
  <c r="G7" i="5" s="1"/>
  <c r="E7" i="5"/>
  <c r="R3" i="5"/>
  <c r="O3" i="5"/>
  <c r="P3" i="5" s="1"/>
  <c r="K3" i="5"/>
  <c r="D3" i="5"/>
  <c r="F3" i="5" s="1"/>
  <c r="C14" i="4"/>
  <c r="C13" i="4"/>
  <c r="C12" i="4"/>
  <c r="C11" i="4"/>
  <c r="C10" i="4"/>
  <c r="E6" i="4"/>
  <c r="C6" i="4"/>
  <c r="O20" i="3"/>
  <c r="P20" i="3" s="1"/>
  <c r="Q20" i="3" s="1"/>
  <c r="R20" i="3" s="1"/>
  <c r="J20" i="3"/>
  <c r="K20" i="3" s="1"/>
  <c r="G20" i="3"/>
  <c r="E20" i="3"/>
  <c r="C20" i="3"/>
  <c r="O19" i="3"/>
  <c r="P19" i="3" s="1"/>
  <c r="O18" i="3"/>
  <c r="P18" i="3" s="1"/>
  <c r="Q18" i="3" s="1"/>
  <c r="R18" i="3" s="1"/>
  <c r="J18" i="3"/>
  <c r="K18" i="3" s="1"/>
  <c r="G18" i="3"/>
  <c r="E18" i="3"/>
  <c r="C18" i="3"/>
  <c r="O17" i="3"/>
  <c r="P17" i="3" s="1"/>
  <c r="Q17" i="3" s="1"/>
  <c r="R17" i="3" s="1"/>
  <c r="J17" i="3"/>
  <c r="K17" i="3" s="1"/>
  <c r="G17" i="3"/>
  <c r="E17" i="3"/>
  <c r="C17" i="3"/>
  <c r="O8" i="3"/>
  <c r="P8" i="3" s="1"/>
  <c r="Q8" i="3" s="1"/>
  <c r="R8" i="3" s="1"/>
  <c r="J8" i="3"/>
  <c r="K8" i="3" s="1"/>
  <c r="G8" i="3"/>
  <c r="E8" i="3"/>
  <c r="C8" i="3"/>
  <c r="O7" i="3"/>
  <c r="P7" i="3" s="1"/>
  <c r="Q7" i="3" s="1"/>
  <c r="R7" i="3" s="1"/>
  <c r="J7" i="3"/>
  <c r="G7" i="3"/>
  <c r="E7" i="3"/>
  <c r="E19" i="3" s="1"/>
  <c r="C7" i="3"/>
  <c r="C19" i="3" s="1"/>
  <c r="D19" i="3" s="1"/>
  <c r="F19" i="3" s="1"/>
  <c r="O6" i="3"/>
  <c r="P6" i="3" s="1"/>
  <c r="Q6" i="3" s="1"/>
  <c r="R6" i="3" s="1"/>
  <c r="J6" i="3"/>
  <c r="K6" i="3" s="1"/>
  <c r="G6" i="3"/>
  <c r="E6" i="3"/>
  <c r="E11" i="3" s="1"/>
  <c r="C6" i="3"/>
  <c r="O5" i="3"/>
  <c r="P5" i="3" s="1"/>
  <c r="Q5" i="3" s="1"/>
  <c r="R5" i="3" s="1"/>
  <c r="J5" i="3"/>
  <c r="K5" i="3" s="1"/>
  <c r="G5" i="3"/>
  <c r="E5" i="3"/>
  <c r="C5" i="3"/>
  <c r="O6" i="2"/>
  <c r="P6" i="2" s="1"/>
  <c r="D6" i="2"/>
  <c r="F6" i="2" s="1"/>
  <c r="L6" i="2" l="1"/>
  <c r="M6" i="2" s="1"/>
  <c r="Q6" i="2" s="1"/>
  <c r="R6" i="2" s="1"/>
  <c r="K6" i="2" s="1"/>
  <c r="G6" i="2"/>
  <c r="G19" i="3"/>
  <c r="J19" i="3"/>
  <c r="K7" i="3"/>
  <c r="L3" i="5"/>
  <c r="G3" i="5"/>
  <c r="L19" i="3" l="1"/>
  <c r="M19" i="3" s="1"/>
  <c r="Q19" i="3" s="1"/>
  <c r="R19" i="3" s="1"/>
  <c r="K19" i="3" s="1"/>
</calcChain>
</file>

<file path=xl/sharedStrings.xml><?xml version="1.0" encoding="utf-8"?>
<sst xmlns="http://schemas.openxmlformats.org/spreadsheetml/2006/main" count="213" uniqueCount="98">
  <si>
    <t xml:space="preserve">Это шаблон для всех пользователей курса. Для его заполнения сделайте копию через "Файл - Создать копию" и работайте в ней. </t>
  </si>
  <si>
    <t>1. Шаблон для заполнения</t>
  </si>
  <si>
    <t>Расходы на привлечение</t>
  </si>
  <si>
    <t>Стоимость охвата одного пользователя</t>
  </si>
  <si>
    <t>Кол-во потенциальных клиентов</t>
  </si>
  <si>
    <t>Сквозная конверсия</t>
  </si>
  <si>
    <t>Кол-во клиентов</t>
  </si>
  <si>
    <t>Стоимость привлечения клиента</t>
  </si>
  <si>
    <t>Средний чек</t>
  </si>
  <si>
    <t>Комиссия продукта</t>
  </si>
  <si>
    <t>Среднее количество покупок</t>
  </si>
  <si>
    <t>Cредняя маржа с одного клиента</t>
  </si>
  <si>
    <t>Коливество поездок</t>
  </si>
  <si>
    <t>Выручка</t>
  </si>
  <si>
    <t>Капитальные расходы</t>
  </si>
  <si>
    <t>Операционные расходы</t>
  </si>
  <si>
    <t>Расходы</t>
  </si>
  <si>
    <t>Прибыль</t>
  </si>
  <si>
    <t>Маржинальность</t>
  </si>
  <si>
    <t>AC (Budget)</t>
  </si>
  <si>
    <t>CPU</t>
  </si>
  <si>
    <t>UA</t>
  </si>
  <si>
    <t>CR</t>
  </si>
  <si>
    <t>Customers</t>
  </si>
  <si>
    <t>CAC</t>
  </si>
  <si>
    <t>AOV</t>
  </si>
  <si>
    <t>% commission</t>
  </si>
  <si>
    <t>APC</t>
  </si>
  <si>
    <t>AMPC</t>
  </si>
  <si>
    <t>Orders</t>
  </si>
  <si>
    <t>Revenue</t>
  </si>
  <si>
    <t>CAPEX</t>
  </si>
  <si>
    <t>OPEX</t>
  </si>
  <si>
    <t xml:space="preserve">Expenses </t>
  </si>
  <si>
    <t>Profit</t>
  </si>
  <si>
    <t>Margin</t>
  </si>
  <si>
    <t>Базовые данные</t>
  </si>
  <si>
    <t xml:space="preserve">2. Сделайте вывод о сходимости юнит-экономки </t>
  </si>
  <si>
    <t>Вывод: низкая конверсия клиентов приводит к недостаточному количеству подписок, а высокие затраты на привлечение клиентов делают модель невыгодной. Отрицательная маржа и прибыль указывают на то, что бизнес теряет деньги. Для улучшения юнит-экономики можно снизить затраты на привлечение клиентов, повысить конверсию, пересмотреть ценовую политику и структуру затрат для достижения положительной маржи.</t>
  </si>
  <si>
    <t xml:space="preserve">3. Найдите не менее 3-х “слабых” метрик в шаблоне. Обоснуйте, почему именно вы считаете их самыми слабыми и для чего их нужно улучшить. </t>
  </si>
  <si>
    <t>Ответ: 1)Сквозная конверсия (CR)(0.5%): очень низкая конверсия указывает на то, что только 20 из 4000 потенциальных клиентов становятся реальными клиентами. Это свидетельствует о неэффективности маркетинга или недостаточной привлекательности предложения. Увеличение числа клиентов может помочь покрыть фиксированные и переменные расходы, а также улучшить маржу. 2) Стоимость привлечения клиента (CAC)(50 000 руб.): высокая стоимость привлечения клиента по сравнению с выручкой от клиента делает бизнес-модель неустойчивой. Более низкая стоимость привлечения клиента приведет к улучшению юнит-экономики и позволит увеличить количество клиентов без значительного увеличения затрат. 3)Средняя маржа с одного клиента (AMPC)(-106626 руб.): отрицательная маржа указывает на то, что затраты на обслуживание клиента превышают доходы от него. Положительная маржа позволит бизнесу начать генерировать прибыль с каждого клиента и улучшить общую финансовую устойчивость. 4)Прибыль(-1919270): отрицательная прибыль указывает на то, что расходы значительно превышают доходы, что является серьезным сигналом о необходимости пересмотра бизнес-модели. Положительная прибыль позволит реинвестировать средства в развитие бизнеса, улучшение продуктов и маркетинга, что создаст замкнутый цикл роста.</t>
  </si>
  <si>
    <t>UE для ДЗ</t>
  </si>
  <si>
    <t>есть запрос</t>
  </si>
  <si>
    <t>по-умолчанию</t>
  </si>
  <si>
    <t>Соимость охвата одного пользователя</t>
  </si>
  <si>
    <t>AC (Budget), $</t>
  </si>
  <si>
    <t>CPU, $</t>
  </si>
  <si>
    <t>CR1</t>
  </si>
  <si>
    <t>CAC, $</t>
  </si>
  <si>
    <t>CAPEX, $</t>
  </si>
  <si>
    <t>OPEX, $</t>
  </si>
  <si>
    <t>Expenses, $</t>
  </si>
  <si>
    <t>Profit, $</t>
  </si>
  <si>
    <t>Yandex</t>
  </si>
  <si>
    <t>AnotherSource</t>
  </si>
  <si>
    <t>Organic</t>
  </si>
  <si>
    <t>Есть худший</t>
  </si>
  <si>
    <t>Одинаково</t>
  </si>
  <si>
    <t>Есть худший, но не критично</t>
  </si>
  <si>
    <t>uplift</t>
  </si>
  <si>
    <t>гип 1</t>
  </si>
  <si>
    <t>гип 2</t>
  </si>
  <si>
    <t>гип 3</t>
  </si>
  <si>
    <t>Таргет канала на такуюто аудиторию, расхождение со вводной частью где другая ЦА</t>
  </si>
  <si>
    <t>Как изменить путь</t>
  </si>
  <si>
    <t>Обзвон и допродажи</t>
  </si>
  <si>
    <t>Альтернативный сценарий доработки</t>
  </si>
  <si>
    <t>Поисковики – 20% трафика</t>
  </si>
  <si>
    <t>Реклама в соц. сетях – 20% трафика</t>
  </si>
  <si>
    <t>Реклама в приложениях– 10% трафика</t>
  </si>
  <si>
    <t>Видеореклама– 40% трафика</t>
  </si>
  <si>
    <t>Блоггеры – 10% трафика</t>
  </si>
  <si>
    <t>Вводные</t>
  </si>
  <si>
    <t>acquisition</t>
  </si>
  <si>
    <t>Можем посчитать</t>
  </si>
  <si>
    <t>channel</t>
  </si>
  <si>
    <t>budget</t>
  </si>
  <si>
    <t>ua</t>
  </si>
  <si>
    <t>cr</t>
  </si>
  <si>
    <t>customers</t>
  </si>
  <si>
    <t>cac</t>
  </si>
  <si>
    <t>ampc</t>
  </si>
  <si>
    <t>ad</t>
  </si>
  <si>
    <t>seo</t>
  </si>
  <si>
    <t>smm</t>
  </si>
  <si>
    <t>id</t>
  </si>
  <si>
    <t>aov</t>
  </si>
  <si>
    <t>share</t>
  </si>
  <si>
    <t>apc</t>
  </si>
  <si>
    <t>orders</t>
  </si>
  <si>
    <t>revenue</t>
  </si>
  <si>
    <t>expenses</t>
  </si>
  <si>
    <t>margin</t>
  </si>
  <si>
    <t>category</t>
  </si>
  <si>
    <t>opex</t>
  </si>
  <si>
    <t>capex</t>
  </si>
  <si>
    <t>office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</si>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</sst>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.0"/>
    <numFmt numFmtId="167" formatCode="0.000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6"/>
      <color theme="1"/>
      <name val="Arial"/>
      <scheme val="minor"/>
    </font>
    <font>
      <b/>
      <sz val="10"/>
      <color rgb="FF0000FF"/>
      <name val="Arial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2" borderId="0" xfId="0" applyNumberFormat="1" applyFont="1" applyFill="1" applyAlignment="1"/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3" fontId="2" fillId="0" borderId="0" xfId="0" applyNumberFormat="1" applyFont="1" applyAlignment="1"/>
    <xf numFmtId="3" fontId="3" fillId="0" borderId="0" xfId="0" applyNumberFormat="1" applyFont="1" applyAlignment="1"/>
    <xf numFmtId="3" fontId="1" fillId="0" borderId="1" xfId="0" applyNumberFormat="1" applyFont="1" applyBorder="1" applyAlignment="1"/>
    <xf numFmtId="0" fontId="1" fillId="0" borderId="1" xfId="0" applyFont="1" applyBorder="1" applyAlignment="1"/>
    <xf numFmtId="3" fontId="1" fillId="3" borderId="1" xfId="0" applyNumberFormat="1" applyFont="1" applyFill="1" applyBorder="1" applyAlignment="1"/>
    <xf numFmtId="0" fontId="1" fillId="3" borderId="1" xfId="0" applyFont="1" applyFill="1" applyBorder="1" applyAlignment="1"/>
    <xf numFmtId="10" fontId="1" fillId="3" borderId="1" xfId="0" applyNumberFormat="1" applyFont="1" applyFill="1" applyBorder="1" applyAlignment="1"/>
    <xf numFmtId="1" fontId="1" fillId="0" borderId="1" xfId="0" applyNumberFormat="1" applyFont="1" applyBorder="1"/>
    <xf numFmtId="9" fontId="1" fillId="3" borderId="1" xfId="0" applyNumberFormat="1" applyFont="1" applyFill="1" applyBorder="1" applyAlignment="1"/>
    <xf numFmtId="164" fontId="1" fillId="3" borderId="1" xfId="0" applyNumberFormat="1" applyFont="1" applyFill="1" applyBorder="1" applyAlignment="1"/>
    <xf numFmtId="0" fontId="1" fillId="0" borderId="1" xfId="0" applyFont="1" applyBorder="1"/>
    <xf numFmtId="165" fontId="1" fillId="0" borderId="1" xfId="0" applyNumberFormat="1" applyFont="1" applyBorder="1" applyAlignment="1"/>
    <xf numFmtId="3" fontId="1" fillId="0" borderId="0" xfId="0" applyNumberFormat="1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66" fontId="1" fillId="0" borderId="0" xfId="0" applyNumberFormat="1" applyFont="1" applyAlignment="1"/>
    <xf numFmtId="2" fontId="1" fillId="0" borderId="0" xfId="0" applyNumberFormat="1" applyFont="1" applyAlignment="1"/>
    <xf numFmtId="10" fontId="1" fillId="0" borderId="0" xfId="0" applyNumberFormat="1" applyFont="1" applyAlignment="1"/>
    <xf numFmtId="2" fontId="1" fillId="0" borderId="0" xfId="0" applyNumberFormat="1" applyFont="1"/>
    <xf numFmtId="164" fontId="1" fillId="5" borderId="0" xfId="0" applyNumberFormat="1" applyFont="1" applyFill="1" applyAlignment="1"/>
    <xf numFmtId="9" fontId="1" fillId="0" borderId="0" xfId="0" applyNumberFormat="1" applyFont="1" applyAlignment="1"/>
    <xf numFmtId="2" fontId="1" fillId="5" borderId="0" xfId="0" applyNumberFormat="1" applyFont="1" applyFill="1" applyAlignme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 applyAlignment="1"/>
    <xf numFmtId="2" fontId="1" fillId="6" borderId="0" xfId="0" applyNumberFormat="1" applyFont="1" applyFill="1" applyAlignment="1"/>
    <xf numFmtId="10" fontId="1" fillId="6" borderId="0" xfId="0" applyNumberFormat="1" applyFont="1" applyFill="1" applyAlignment="1"/>
    <xf numFmtId="164" fontId="1" fillId="6" borderId="0" xfId="0" applyNumberFormat="1" applyFont="1" applyFill="1" applyAlignment="1"/>
    <xf numFmtId="2" fontId="1" fillId="7" borderId="0" xfId="0" applyNumberFormat="1" applyFont="1" applyFill="1" applyAlignment="1"/>
    <xf numFmtId="10" fontId="1" fillId="7" borderId="0" xfId="0" applyNumberFormat="1" applyFont="1" applyFill="1" applyAlignment="1"/>
    <xf numFmtId="164" fontId="1" fillId="7" borderId="0" xfId="0" applyNumberFormat="1" applyFont="1" applyFill="1" applyAlignment="1"/>
    <xf numFmtId="10" fontId="1" fillId="0" borderId="0" xfId="0" applyNumberFormat="1" applyFont="1"/>
    <xf numFmtId="0" fontId="1" fillId="8" borderId="0" xfId="0" applyFont="1" applyFill="1" applyAlignment="1"/>
    <xf numFmtId="0" fontId="1" fillId="6" borderId="0" xfId="0" applyFont="1" applyFill="1" applyAlignment="1"/>
    <xf numFmtId="2" fontId="1" fillId="9" borderId="0" xfId="0" applyNumberFormat="1" applyFont="1" applyFill="1" applyAlignment="1"/>
    <xf numFmtId="10" fontId="1" fillId="9" borderId="0" xfId="0" applyNumberFormat="1" applyFont="1" applyFill="1" applyAlignment="1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 applyAlignment="1"/>
    <xf numFmtId="167" fontId="1" fillId="0" borderId="0" xfId="0" applyNumberFormat="1" applyFo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3" fontId="5" fillId="0" borderId="2" xfId="0" applyNumberFormat="1" applyFont="1" applyBorder="1" applyAlignment="1">
      <alignment vertical="top" wrapText="1"/>
    </xf>
    <xf numFmtId="0" fontId="6" fillId="0" borderId="3" xfId="0" applyFont="1" applyBorder="1" applyAlignment="1"/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0" fillId="0" borderId="0" xfId="0" applyFont="1" applyAlignment="1"/>
    <xf numFmtId="0" fontId="6" fillId="0" borderId="9" xfId="0" applyFont="1" applyBorder="1" applyAlignment="1"/>
    <xf numFmtId="3" fontId="0" fillId="0" borderId="0" xfId="0" applyNumberFormat="1" applyFont="1" applyAlignment="1"/>
    <xf numFmtId="3" fontId="1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922"/>
  <sheetViews>
    <sheetView tabSelected="1" workbookViewId="0">
      <selection activeCell="A13" sqref="A13:C18"/>
    </sheetView>
  </sheetViews>
  <sheetFormatPr defaultColWidth="12.5703125" defaultRowHeight="15.75" customHeight="1"/>
  <cols>
    <col min="1" max="1" width="21.85546875" customWidth="1"/>
    <col min="2" max="2" width="11.28515625" customWidth="1"/>
    <col min="3" max="4" width="9.140625" customWidth="1"/>
    <col min="5" max="5" width="8.5703125" customWidth="1"/>
    <col min="6" max="7" width="9" customWidth="1"/>
    <col min="8" max="8" width="8.140625" customWidth="1"/>
    <col min="9" max="9" width="11.5703125" customWidth="1"/>
    <col min="10" max="10" width="9.7109375" customWidth="1"/>
    <col min="11" max="11" width="20.42578125" customWidth="1"/>
    <col min="12" max="13" width="9.85546875" customWidth="1"/>
    <col min="14" max="14" width="11.5703125" customWidth="1"/>
    <col min="15" max="15" width="13" customWidth="1"/>
    <col min="16" max="17" width="9.85546875" customWidth="1"/>
    <col min="18" max="18" width="15.140625" customWidth="1"/>
  </cols>
  <sheetData>
    <row r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</row>
    <row r="2" spans="1:18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8"/>
      <c r="B4" s="48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8" t="s">
        <v>7</v>
      </c>
      <c r="H4" s="48" t="s">
        <v>8</v>
      </c>
      <c r="I4" s="48" t="s">
        <v>9</v>
      </c>
      <c r="J4" s="48" t="s">
        <v>10</v>
      </c>
      <c r="K4" s="48" t="s">
        <v>11</v>
      </c>
      <c r="L4" s="48" t="s">
        <v>12</v>
      </c>
      <c r="M4" s="48" t="s">
        <v>13</v>
      </c>
      <c r="N4" s="48" t="s">
        <v>14</v>
      </c>
      <c r="O4" s="48" t="s">
        <v>15</v>
      </c>
      <c r="P4" s="48" t="s">
        <v>16</v>
      </c>
      <c r="Q4" s="48" t="s">
        <v>17</v>
      </c>
      <c r="R4" s="48" t="s">
        <v>18</v>
      </c>
    </row>
    <row r="5" spans="1:18">
      <c r="A5" s="8"/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32</v>
      </c>
      <c r="P5" s="9" t="s">
        <v>33</v>
      </c>
      <c r="Q5" s="9" t="s">
        <v>34</v>
      </c>
      <c r="R5" s="9" t="s">
        <v>35</v>
      </c>
    </row>
    <row r="6" spans="1:18">
      <c r="A6" s="8" t="s">
        <v>36</v>
      </c>
      <c r="B6" s="10">
        <v>1000000</v>
      </c>
      <c r="C6" s="11">
        <v>250</v>
      </c>
      <c r="D6" s="8">
        <f>B6/C6</f>
        <v>4000</v>
      </c>
      <c r="E6" s="12">
        <v>5.0000000000000001E-3</v>
      </c>
      <c r="F6" s="8">
        <f>D6*E6</f>
        <v>20</v>
      </c>
      <c r="G6" s="13">
        <f>B6/F6</f>
        <v>50000</v>
      </c>
      <c r="H6" s="10">
        <v>2990</v>
      </c>
      <c r="I6" s="14">
        <v>0.9</v>
      </c>
      <c r="J6" s="15">
        <v>1.5</v>
      </c>
      <c r="K6" s="13">
        <f>H6*J6*R6</f>
        <v>-106626.11111111112</v>
      </c>
      <c r="L6" s="8">
        <f>F6*J6</f>
        <v>30</v>
      </c>
      <c r="M6" s="8">
        <f>L6*(H6*I6)</f>
        <v>80730</v>
      </c>
      <c r="N6" s="10">
        <v>1000000</v>
      </c>
      <c r="O6" s="8">
        <f>B6</f>
        <v>1000000</v>
      </c>
      <c r="P6" s="8">
        <f>N6+O6</f>
        <v>2000000</v>
      </c>
      <c r="Q6" s="16">
        <f>M6-P6</f>
        <v>-1919270</v>
      </c>
      <c r="R6" s="17">
        <f>Q6/M6</f>
        <v>-23.77393781741608</v>
      </c>
    </row>
    <row r="7" spans="1:18">
      <c r="A7" s="18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18" ht="12.75">
      <c r="A8" s="6" t="s">
        <v>37</v>
      </c>
      <c r="B8" s="47"/>
      <c r="C8" s="47"/>
      <c r="D8" s="47"/>
      <c r="E8" s="58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18" ht="12.75">
      <c r="A9" s="49" t="s">
        <v>38</v>
      </c>
      <c r="B9" s="50"/>
      <c r="C9" s="51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 spans="1:18" ht="12.75">
      <c r="A10" s="52"/>
      <c r="B10" s="53"/>
      <c r="C10" s="54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</row>
    <row r="11" spans="1:18" ht="12.75">
      <c r="A11" s="18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18" ht="12.75">
      <c r="A12" s="6" t="s">
        <v>39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 spans="1:18" ht="12.75">
      <c r="A13" s="59" t="s">
        <v>40</v>
      </c>
      <c r="B13" s="50"/>
      <c r="C13" s="51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 spans="1:18" ht="12.75">
      <c r="A14" s="55"/>
      <c r="B14" s="56"/>
      <c r="C14" s="5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 ht="12.75">
      <c r="A15" s="55"/>
      <c r="B15" s="56"/>
      <c r="C15" s="5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 ht="12.75">
      <c r="A16" s="55"/>
      <c r="B16" s="56"/>
      <c r="C16" s="5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3" ht="12.75">
      <c r="A17" s="55"/>
      <c r="B17" s="56"/>
      <c r="C17" s="57"/>
    </row>
    <row r="18" spans="1:3" ht="12.75">
      <c r="A18" s="52"/>
      <c r="B18" s="53"/>
      <c r="C18" s="54"/>
    </row>
    <row r="19" spans="1:3" ht="12.75" customHeight="1">
      <c r="A19" s="18"/>
      <c r="B19" s="47"/>
      <c r="C19" s="47"/>
    </row>
    <row r="20" spans="1:3" ht="12.75">
      <c r="A20" s="18"/>
      <c r="B20" s="47"/>
      <c r="C20" s="47"/>
    </row>
    <row r="21" spans="1:3" ht="12.75">
      <c r="A21" s="18"/>
      <c r="B21" s="47"/>
      <c r="C21" s="47"/>
    </row>
    <row r="22" spans="1:3" ht="12.75">
      <c r="A22" s="18"/>
      <c r="B22" s="47"/>
      <c r="C22" s="47"/>
    </row>
    <row r="23" spans="1:3" ht="12.75">
      <c r="A23" s="18"/>
      <c r="B23" s="47"/>
      <c r="C23" s="47"/>
    </row>
    <row r="24" spans="1:3" ht="12.75">
      <c r="A24" s="18"/>
      <c r="B24" s="47"/>
      <c r="C24" s="47"/>
    </row>
    <row r="25" spans="1:3" ht="12.75" customHeight="1">
      <c r="A25" s="18"/>
      <c r="B25" s="47"/>
      <c r="C25" s="47"/>
    </row>
    <row r="26" spans="1:3" ht="12.75">
      <c r="A26" s="18"/>
      <c r="B26" s="47"/>
      <c r="C26" s="47"/>
    </row>
    <row r="27" spans="1:3" ht="12.75">
      <c r="A27" s="18"/>
      <c r="B27" s="47"/>
      <c r="C27" s="47"/>
    </row>
    <row r="28" spans="1:3" ht="12.75">
      <c r="A28" s="18"/>
      <c r="B28" s="47"/>
      <c r="C28" s="47"/>
    </row>
    <row r="29" spans="1:3" ht="12.75">
      <c r="A29" s="18"/>
      <c r="B29" s="47"/>
      <c r="C29" s="47"/>
    </row>
    <row r="30" spans="1:3" ht="12.75">
      <c r="A30" s="18"/>
      <c r="B30" s="47"/>
      <c r="C30" s="47"/>
    </row>
    <row r="31" spans="1:3" ht="12.75">
      <c r="A31" s="18"/>
      <c r="B31" s="47"/>
      <c r="C31" s="47"/>
    </row>
    <row r="32" spans="1:3">
      <c r="A32" s="18"/>
      <c r="B32" s="47"/>
      <c r="C32" s="47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  <row r="39" spans="1:1">
      <c r="A39" s="18"/>
    </row>
    <row r="40" spans="1:1">
      <c r="A40" s="18"/>
    </row>
    <row r="41" spans="1:1">
      <c r="A41" s="18"/>
    </row>
    <row r="42" spans="1:1">
      <c r="A42" s="18"/>
    </row>
    <row r="43" spans="1:1">
      <c r="A43" s="18"/>
    </row>
    <row r="44" spans="1:1">
      <c r="A44" s="1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  <row r="56" spans="1:1">
      <c r="A56" s="18"/>
    </row>
    <row r="57" spans="1:1">
      <c r="A57" s="18"/>
    </row>
    <row r="58" spans="1:1">
      <c r="A58" s="18"/>
    </row>
    <row r="59" spans="1:1">
      <c r="A59" s="18"/>
    </row>
    <row r="60" spans="1:1">
      <c r="A60" s="18"/>
    </row>
    <row r="61" spans="1:1">
      <c r="A61" s="18"/>
    </row>
    <row r="62" spans="1:1">
      <c r="A62" s="18"/>
    </row>
    <row r="63" spans="1:1">
      <c r="A63" s="18"/>
    </row>
    <row r="64" spans="1:1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</sheetData>
  <mergeCells count="2">
    <mergeCell ref="A9:C10"/>
    <mergeCell ref="A13:C18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2"/>
  <sheetViews>
    <sheetView workbookViewId="0"/>
  </sheetViews>
  <sheetFormatPr defaultColWidth="12.5703125" defaultRowHeight="15.75" customHeight="1"/>
  <sheetData>
    <row r="1" spans="1:18">
      <c r="A1" s="2" t="s">
        <v>41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>
      <c r="A2" s="5"/>
      <c r="B2" s="1" t="s">
        <v>42</v>
      </c>
      <c r="C2" s="1" t="s">
        <v>42</v>
      </c>
      <c r="D2" s="1" t="s">
        <v>42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43</v>
      </c>
      <c r="J2" s="1" t="s">
        <v>42</v>
      </c>
      <c r="K2" s="5"/>
      <c r="L2" s="1" t="s">
        <v>42</v>
      </c>
      <c r="M2" s="1" t="s">
        <v>42</v>
      </c>
      <c r="N2" s="5"/>
      <c r="O2" s="5"/>
      <c r="P2" s="5"/>
      <c r="Q2" s="5"/>
      <c r="R2" s="5"/>
    </row>
    <row r="3" spans="1:18">
      <c r="A3" s="5"/>
      <c r="B3" s="5" t="s">
        <v>2</v>
      </c>
      <c r="C3" s="5" t="s">
        <v>44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>
      <c r="A4" s="1"/>
      <c r="B4" s="19" t="s">
        <v>45</v>
      </c>
      <c r="C4" s="20" t="s">
        <v>46</v>
      </c>
      <c r="D4" s="19" t="s">
        <v>21</v>
      </c>
      <c r="E4" s="20" t="s">
        <v>47</v>
      </c>
      <c r="F4" s="19" t="s">
        <v>23</v>
      </c>
      <c r="G4" s="20" t="s">
        <v>48</v>
      </c>
      <c r="H4" s="19" t="s">
        <v>25</v>
      </c>
      <c r="I4" s="21" t="s">
        <v>26</v>
      </c>
      <c r="J4" s="20" t="s">
        <v>27</v>
      </c>
      <c r="K4" s="20" t="s">
        <v>28</v>
      </c>
      <c r="L4" s="19" t="s">
        <v>29</v>
      </c>
      <c r="M4" s="19" t="s">
        <v>30</v>
      </c>
      <c r="N4" s="21" t="s">
        <v>49</v>
      </c>
      <c r="O4" s="20" t="s">
        <v>50</v>
      </c>
      <c r="P4" s="20" t="s">
        <v>51</v>
      </c>
      <c r="Q4" s="20" t="s">
        <v>52</v>
      </c>
      <c r="R4" s="20" t="s">
        <v>35</v>
      </c>
    </row>
    <row r="5" spans="1:18">
      <c r="A5" s="18" t="s">
        <v>36</v>
      </c>
      <c r="B5" s="22">
        <v>39581.4</v>
      </c>
      <c r="C5" s="23">
        <f t="shared" ref="C5:C8" si="0">B5/D5</f>
        <v>0.28003395946089354</v>
      </c>
      <c r="D5" s="18">
        <v>141345</v>
      </c>
      <c r="E5" s="24">
        <f t="shared" ref="E5:E8" si="1">F5/D5</f>
        <v>9.2412182956595562E-2</v>
      </c>
      <c r="F5" s="18">
        <v>13062</v>
      </c>
      <c r="G5" s="25">
        <f t="shared" ref="G5:G8" si="2">B5/F5</f>
        <v>3.0302710151584749</v>
      </c>
      <c r="H5" s="26">
        <v>5.49986</v>
      </c>
      <c r="I5" s="27">
        <v>1</v>
      </c>
      <c r="J5" s="28">
        <f t="shared" ref="J5:J8" si="3">L5/F5</f>
        <v>1.6205022201806767</v>
      </c>
      <c r="K5" s="29">
        <f t="shared" ref="K5:K8" si="4">H5*J5*R5</f>
        <v>5.8822763871566988</v>
      </c>
      <c r="L5" s="18">
        <v>21167</v>
      </c>
      <c r="M5" s="18">
        <v>116416</v>
      </c>
      <c r="N5" s="18"/>
      <c r="O5" s="18">
        <f t="shared" ref="O5:O8" si="5">B5</f>
        <v>39581.4</v>
      </c>
      <c r="P5" s="18">
        <f t="shared" ref="P5:P8" si="6">N5+O5</f>
        <v>39581.4</v>
      </c>
      <c r="Q5" s="30">
        <f t="shared" ref="Q5:Q8" si="7">M5-P5</f>
        <v>76834.600000000006</v>
      </c>
      <c r="R5" s="31">
        <f t="shared" ref="R5:R8" si="8">Q5/M5</f>
        <v>0.66000034359538218</v>
      </c>
    </row>
    <row r="6" spans="1:18">
      <c r="A6" s="1" t="s">
        <v>53</v>
      </c>
      <c r="B6" s="22">
        <v>12820.9</v>
      </c>
      <c r="C6" s="32">
        <f t="shared" si="0"/>
        <v>0.27069442391740389</v>
      </c>
      <c r="D6" s="18">
        <v>47363</v>
      </c>
      <c r="E6" s="33">
        <f t="shared" si="1"/>
        <v>8.7747820028292123E-2</v>
      </c>
      <c r="F6" s="18">
        <v>4156</v>
      </c>
      <c r="G6" s="25">
        <f t="shared" si="2"/>
        <v>3.0849133782483156</v>
      </c>
      <c r="H6" s="34">
        <v>5.4922599999999999</v>
      </c>
      <c r="I6" s="27">
        <v>1</v>
      </c>
      <c r="J6" s="32">
        <f t="shared" si="3"/>
        <v>1.6523099133782484</v>
      </c>
      <c r="K6" s="34">
        <f t="shared" si="4"/>
        <v>5.989998224306162</v>
      </c>
      <c r="L6" s="18">
        <v>6867</v>
      </c>
      <c r="M6" s="18">
        <v>37715.300000000003</v>
      </c>
      <c r="N6" s="47"/>
      <c r="O6" s="18">
        <f t="shared" si="5"/>
        <v>12820.9</v>
      </c>
      <c r="P6" s="18">
        <f t="shared" si="6"/>
        <v>12820.9</v>
      </c>
      <c r="Q6" s="30">
        <f t="shared" si="7"/>
        <v>24894.400000000001</v>
      </c>
      <c r="R6" s="31">
        <f t="shared" si="8"/>
        <v>0.66006103623728296</v>
      </c>
    </row>
    <row r="7" spans="1:18">
      <c r="A7" s="1" t="s">
        <v>54</v>
      </c>
      <c r="B7" s="22">
        <v>26760.5</v>
      </c>
      <c r="C7" s="35">
        <f t="shared" si="0"/>
        <v>1.0818442755498059</v>
      </c>
      <c r="D7" s="18">
        <v>24736</v>
      </c>
      <c r="E7" s="36">
        <f t="shared" si="1"/>
        <v>6.8281047865459243E-2</v>
      </c>
      <c r="F7" s="18">
        <v>1689</v>
      </c>
      <c r="G7" s="25">
        <f t="shared" si="2"/>
        <v>15.843990526939017</v>
      </c>
      <c r="H7" s="34">
        <v>5.5002899999999997</v>
      </c>
      <c r="I7" s="27">
        <v>1</v>
      </c>
      <c r="J7" s="35">
        <f t="shared" si="3"/>
        <v>1.38898756660746</v>
      </c>
      <c r="K7" s="37">
        <f t="shared" si="4"/>
        <v>-8.2041319643946409</v>
      </c>
      <c r="L7" s="18">
        <v>2346</v>
      </c>
      <c r="M7" s="18">
        <v>12903.7</v>
      </c>
      <c r="N7" s="47"/>
      <c r="O7" s="18">
        <f t="shared" si="5"/>
        <v>26760.5</v>
      </c>
      <c r="P7" s="18">
        <f t="shared" si="6"/>
        <v>26760.5</v>
      </c>
      <c r="Q7" s="30">
        <f t="shared" si="7"/>
        <v>-13856.8</v>
      </c>
      <c r="R7" s="31">
        <f t="shared" si="8"/>
        <v>-1.0738625355518183</v>
      </c>
    </row>
    <row r="8" spans="1:18">
      <c r="A8" s="1" t="s">
        <v>55</v>
      </c>
      <c r="B8" s="22">
        <v>0</v>
      </c>
      <c r="C8" s="32">
        <f t="shared" si="0"/>
        <v>0</v>
      </c>
      <c r="D8" s="18">
        <v>69246</v>
      </c>
      <c r="E8" s="33">
        <f t="shared" si="1"/>
        <v>0.10422262657770846</v>
      </c>
      <c r="F8" s="18">
        <v>7217</v>
      </c>
      <c r="G8" s="25">
        <f t="shared" si="2"/>
        <v>0</v>
      </c>
      <c r="H8" s="34">
        <v>5.5035999999999996</v>
      </c>
      <c r="I8" s="27">
        <v>1</v>
      </c>
      <c r="J8" s="32">
        <f t="shared" si="3"/>
        <v>1.6559512262713039</v>
      </c>
      <c r="K8" s="34">
        <f t="shared" si="4"/>
        <v>9.1136931689067477</v>
      </c>
      <c r="L8" s="18">
        <v>11951</v>
      </c>
      <c r="M8" s="18">
        <v>65773.600000000006</v>
      </c>
      <c r="N8" s="47"/>
      <c r="O8" s="18">
        <f t="shared" si="5"/>
        <v>0</v>
      </c>
      <c r="P8" s="18">
        <f t="shared" si="6"/>
        <v>0</v>
      </c>
      <c r="Q8" s="30">
        <f t="shared" si="7"/>
        <v>65773.600000000006</v>
      </c>
      <c r="R8" s="31">
        <f t="shared" si="8"/>
        <v>1</v>
      </c>
    </row>
    <row r="9" spans="1:18">
      <c r="A9" s="47"/>
      <c r="B9" s="47"/>
      <c r="C9" s="1" t="s">
        <v>56</v>
      </c>
      <c r="D9" s="47"/>
      <c r="E9" s="1" t="s">
        <v>56</v>
      </c>
      <c r="F9" s="47"/>
      <c r="G9" s="47"/>
      <c r="H9" s="1" t="s">
        <v>57</v>
      </c>
      <c r="I9" s="47"/>
      <c r="J9" s="1" t="s">
        <v>58</v>
      </c>
      <c r="K9" s="1" t="s">
        <v>56</v>
      </c>
      <c r="L9" s="47"/>
      <c r="M9" s="47"/>
      <c r="N9" s="47"/>
      <c r="O9" s="47"/>
      <c r="P9" s="47"/>
      <c r="Q9" s="47"/>
      <c r="R9" s="47"/>
    </row>
    <row r="11" spans="1:18">
      <c r="A11" s="47"/>
      <c r="B11" s="47"/>
      <c r="C11" s="47"/>
      <c r="D11" s="1" t="s">
        <v>59</v>
      </c>
      <c r="E11" s="38">
        <f>E6-E7</f>
        <v>1.9466772162832879E-2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18">
      <c r="A12" s="47"/>
      <c r="B12" s="47"/>
      <c r="C12" s="39" t="s">
        <v>60</v>
      </c>
      <c r="D12" s="47"/>
      <c r="E12" s="39" t="s">
        <v>61</v>
      </c>
      <c r="F12" s="47"/>
      <c r="G12" s="47"/>
      <c r="H12" s="47"/>
      <c r="I12" s="47"/>
      <c r="J12" s="39" t="s">
        <v>62</v>
      </c>
      <c r="K12" s="47"/>
      <c r="L12" s="47"/>
      <c r="M12" s="47"/>
      <c r="N12" s="47"/>
      <c r="O12" s="47"/>
      <c r="P12" s="47"/>
      <c r="Q12" s="47"/>
      <c r="R12" s="47"/>
    </row>
    <row r="13" spans="1:18">
      <c r="A13" s="47"/>
      <c r="B13" s="47"/>
      <c r="C13" s="1" t="s">
        <v>63</v>
      </c>
      <c r="D13" s="47"/>
      <c r="E13" s="1" t="s">
        <v>64</v>
      </c>
      <c r="F13" s="47"/>
      <c r="G13" s="47"/>
      <c r="H13" s="47"/>
      <c r="I13" s="47"/>
      <c r="J13" s="40" t="s">
        <v>65</v>
      </c>
      <c r="K13" s="47"/>
      <c r="L13" s="47"/>
      <c r="M13" s="47"/>
      <c r="N13" s="47"/>
      <c r="O13" s="47"/>
      <c r="P13" s="47"/>
      <c r="Q13" s="47"/>
      <c r="R13" s="47"/>
    </row>
    <row r="14" spans="1:18">
      <c r="A14" s="1" t="s">
        <v>66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>
      <c r="A15" s="5"/>
      <c r="B15" s="5" t="s">
        <v>2</v>
      </c>
      <c r="C15" s="5" t="s">
        <v>44</v>
      </c>
      <c r="D15" s="5" t="s">
        <v>4</v>
      </c>
      <c r="E15" s="5" t="s">
        <v>5</v>
      </c>
      <c r="F15" s="5" t="s">
        <v>6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13</v>
      </c>
      <c r="N15" s="5" t="s">
        <v>14</v>
      </c>
      <c r="O15" s="5" t="s">
        <v>15</v>
      </c>
      <c r="P15" s="5" t="s">
        <v>16</v>
      </c>
      <c r="Q15" s="5" t="s">
        <v>17</v>
      </c>
      <c r="R15" s="5" t="s">
        <v>18</v>
      </c>
    </row>
    <row r="16" spans="1:18">
      <c r="A16" s="1"/>
      <c r="B16" s="19" t="s">
        <v>45</v>
      </c>
      <c r="C16" s="20" t="s">
        <v>46</v>
      </c>
      <c r="D16" s="19" t="s">
        <v>21</v>
      </c>
      <c r="E16" s="20" t="s">
        <v>47</v>
      </c>
      <c r="F16" s="19" t="s">
        <v>23</v>
      </c>
      <c r="G16" s="20" t="s">
        <v>48</v>
      </c>
      <c r="H16" s="19" t="s">
        <v>25</v>
      </c>
      <c r="I16" s="21" t="s">
        <v>26</v>
      </c>
      <c r="J16" s="20" t="s">
        <v>27</v>
      </c>
      <c r="K16" s="20" t="s">
        <v>28</v>
      </c>
      <c r="L16" s="19" t="s">
        <v>29</v>
      </c>
      <c r="M16" s="19" t="s">
        <v>30</v>
      </c>
      <c r="N16" s="21" t="s">
        <v>49</v>
      </c>
      <c r="O16" s="20" t="s">
        <v>50</v>
      </c>
      <c r="P16" s="20" t="s">
        <v>51</v>
      </c>
      <c r="Q16" s="20" t="s">
        <v>52</v>
      </c>
      <c r="R16" s="20" t="s">
        <v>35</v>
      </c>
    </row>
    <row r="17" spans="1:18">
      <c r="A17" s="18" t="s">
        <v>36</v>
      </c>
      <c r="B17" s="22">
        <v>39581.4</v>
      </c>
      <c r="C17" s="23">
        <f t="shared" ref="C17:C18" si="9">B17/D17</f>
        <v>0.28003395946089354</v>
      </c>
      <c r="D17" s="18">
        <v>141345</v>
      </c>
      <c r="E17" s="24">
        <f t="shared" ref="E17:E18" si="10">F17/D17</f>
        <v>9.2412182956595562E-2</v>
      </c>
      <c r="F17" s="18">
        <v>13062</v>
      </c>
      <c r="G17" s="25">
        <f t="shared" ref="G17:G20" si="11">B17/F17</f>
        <v>3.0302710151584749</v>
      </c>
      <c r="H17" s="26">
        <v>5.49986</v>
      </c>
      <c r="I17" s="27">
        <v>1</v>
      </c>
      <c r="J17" s="28">
        <f t="shared" ref="J17:J18" si="12">L17/F17</f>
        <v>1.6205022201806767</v>
      </c>
      <c r="K17" s="29">
        <f t="shared" ref="K17:K20" si="13">H17*J17*R17</f>
        <v>5.8822763871566988</v>
      </c>
      <c r="L17" s="18">
        <v>21167</v>
      </c>
      <c r="M17" s="18">
        <v>116416</v>
      </c>
      <c r="N17" s="18"/>
      <c r="O17" s="18">
        <f t="shared" ref="O17:O20" si="14">B17</f>
        <v>39581.4</v>
      </c>
      <c r="P17" s="18">
        <f t="shared" ref="P17:P20" si="15">N17+O17</f>
        <v>39581.4</v>
      </c>
      <c r="Q17" s="30">
        <f t="shared" ref="Q17:Q20" si="16">M17-P17</f>
        <v>76834.600000000006</v>
      </c>
      <c r="R17" s="31">
        <f t="shared" ref="R17:R20" si="17">Q17/M17</f>
        <v>0.66000034359538218</v>
      </c>
    </row>
    <row r="18" spans="1:18">
      <c r="A18" s="1" t="s">
        <v>53</v>
      </c>
      <c r="B18" s="22">
        <v>12820.9</v>
      </c>
      <c r="C18" s="32">
        <f t="shared" si="9"/>
        <v>0.27069442391740389</v>
      </c>
      <c r="D18" s="18">
        <v>47363</v>
      </c>
      <c r="E18" s="33">
        <f t="shared" si="10"/>
        <v>8.7747820028292123E-2</v>
      </c>
      <c r="F18" s="18">
        <v>4156</v>
      </c>
      <c r="G18" s="25">
        <f t="shared" si="11"/>
        <v>3.0849133782483156</v>
      </c>
      <c r="H18" s="34">
        <v>5.4922599999999999</v>
      </c>
      <c r="I18" s="27">
        <v>1</v>
      </c>
      <c r="J18" s="32">
        <f t="shared" si="12"/>
        <v>1.6523099133782484</v>
      </c>
      <c r="K18" s="34">
        <f t="shared" si="13"/>
        <v>5.989998224306162</v>
      </c>
      <c r="L18" s="18">
        <v>6867</v>
      </c>
      <c r="M18" s="18">
        <v>37715.300000000003</v>
      </c>
      <c r="N18" s="47"/>
      <c r="O18" s="18">
        <f t="shared" si="14"/>
        <v>12820.9</v>
      </c>
      <c r="P18" s="18">
        <f t="shared" si="15"/>
        <v>12820.9</v>
      </c>
      <c r="Q18" s="30">
        <f t="shared" si="16"/>
        <v>24894.400000000001</v>
      </c>
      <c r="R18" s="31">
        <f t="shared" si="17"/>
        <v>0.66006103623728296</v>
      </c>
    </row>
    <row r="19" spans="1:18">
      <c r="A19" s="1" t="s">
        <v>54</v>
      </c>
      <c r="B19" s="22">
        <v>26760.5</v>
      </c>
      <c r="C19" s="41">
        <f>C7*(1-C22)</f>
        <v>0.54092213777490294</v>
      </c>
      <c r="D19" s="18">
        <f>B19/C19</f>
        <v>49472</v>
      </c>
      <c r="E19" s="42">
        <f>E7*(1+E22)</f>
        <v>8.1937257438551084E-2</v>
      </c>
      <c r="F19" s="18">
        <f>D19*E19</f>
        <v>4053.599999999999</v>
      </c>
      <c r="G19" s="25">
        <f t="shared" si="11"/>
        <v>6.6016627195579254</v>
      </c>
      <c r="H19" s="34">
        <v>5.5002899999999997</v>
      </c>
      <c r="I19" s="27">
        <v>1</v>
      </c>
      <c r="J19" s="35">
        <f>J7</f>
        <v>1.38898756660746</v>
      </c>
      <c r="K19" s="37">
        <f t="shared" si="13"/>
        <v>1.0381717031774207</v>
      </c>
      <c r="L19" s="18">
        <f>F19*J19</f>
        <v>5630.3999999999987</v>
      </c>
      <c r="M19" s="18">
        <f>L19*H19</f>
        <v>30968.832815999991</v>
      </c>
      <c r="N19" s="47"/>
      <c r="O19" s="18">
        <f t="shared" si="14"/>
        <v>26760.5</v>
      </c>
      <c r="P19" s="18">
        <f t="shared" si="15"/>
        <v>26760.5</v>
      </c>
      <c r="Q19" s="30">
        <f t="shared" si="16"/>
        <v>4208.332815999991</v>
      </c>
      <c r="R19" s="31">
        <f t="shared" si="17"/>
        <v>0.13588929363284766</v>
      </c>
    </row>
    <row r="20" spans="1:18">
      <c r="A20" s="1" t="s">
        <v>55</v>
      </c>
      <c r="B20" s="22">
        <v>0</v>
      </c>
      <c r="C20" s="32">
        <f>B20/D20</f>
        <v>0</v>
      </c>
      <c r="D20" s="18">
        <v>69246</v>
      </c>
      <c r="E20" s="33">
        <f>F20/D20</f>
        <v>0.10422262657770846</v>
      </c>
      <c r="F20" s="18">
        <v>7217</v>
      </c>
      <c r="G20" s="25">
        <f t="shared" si="11"/>
        <v>0</v>
      </c>
      <c r="H20" s="34">
        <v>5.5035999999999996</v>
      </c>
      <c r="I20" s="27">
        <v>1</v>
      </c>
      <c r="J20" s="32">
        <f>L20/F20</f>
        <v>1.6559512262713039</v>
      </c>
      <c r="K20" s="34">
        <f t="shared" si="13"/>
        <v>9.1136931689067477</v>
      </c>
      <c r="L20" s="18">
        <v>11951</v>
      </c>
      <c r="M20" s="18">
        <v>65773.600000000006</v>
      </c>
      <c r="N20" s="47"/>
      <c r="O20" s="18">
        <f t="shared" si="14"/>
        <v>0</v>
      </c>
      <c r="P20" s="18">
        <f t="shared" si="15"/>
        <v>0</v>
      </c>
      <c r="Q20" s="30">
        <f t="shared" si="16"/>
        <v>65773.600000000006</v>
      </c>
      <c r="R20" s="31">
        <f t="shared" si="17"/>
        <v>1</v>
      </c>
    </row>
    <row r="21" spans="1:18">
      <c r="A21" s="47"/>
      <c r="B21" s="47"/>
      <c r="C21" s="1" t="s">
        <v>56</v>
      </c>
      <c r="D21" s="47"/>
      <c r="E21" s="1" t="s">
        <v>56</v>
      </c>
      <c r="F21" s="47"/>
      <c r="G21" s="47"/>
      <c r="H21" s="1" t="s">
        <v>57</v>
      </c>
      <c r="I21" s="47"/>
      <c r="J21" s="1" t="s">
        <v>58</v>
      </c>
      <c r="K21" s="1" t="s">
        <v>56</v>
      </c>
      <c r="L21" s="47"/>
      <c r="M21" s="47"/>
      <c r="N21" s="47"/>
      <c r="O21" s="47"/>
      <c r="P21" s="47"/>
      <c r="Q21" s="47"/>
      <c r="R21" s="47"/>
    </row>
    <row r="22" spans="1:18">
      <c r="A22" s="47"/>
      <c r="B22" s="47"/>
      <c r="C22" s="27">
        <v>0.5</v>
      </c>
      <c r="D22" s="47"/>
      <c r="E22" s="27">
        <v>0.2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4"/>
  <sheetViews>
    <sheetView workbookViewId="0"/>
  </sheetViews>
  <sheetFormatPr defaultColWidth="12.5703125" defaultRowHeight="15.75" customHeight="1"/>
  <cols>
    <col min="1" max="1" width="31.5703125" customWidth="1"/>
  </cols>
  <sheetData>
    <row r="1" spans="1:5">
      <c r="A1" s="1" t="s">
        <v>67</v>
      </c>
      <c r="B1" s="27">
        <v>0.2</v>
      </c>
      <c r="C1" s="24">
        <v>1E-3</v>
      </c>
      <c r="D1" s="43">
        <v>3000</v>
      </c>
      <c r="E1" s="24">
        <v>7.0000000000000001E-3</v>
      </c>
    </row>
    <row r="2" spans="1:5">
      <c r="A2" s="1" t="s">
        <v>68</v>
      </c>
      <c r="B2" s="27">
        <v>0.2</v>
      </c>
      <c r="C2" s="24">
        <v>1.5E-3</v>
      </c>
      <c r="D2" s="43">
        <v>3000</v>
      </c>
      <c r="E2" s="24">
        <v>0.01</v>
      </c>
    </row>
    <row r="3" spans="1:5">
      <c r="A3" s="1" t="s">
        <v>69</v>
      </c>
      <c r="B3" s="27">
        <v>0.1</v>
      </c>
      <c r="C3" s="24">
        <v>1.5E-3</v>
      </c>
      <c r="D3" s="43">
        <v>1500</v>
      </c>
      <c r="E3" s="24">
        <v>0.01</v>
      </c>
    </row>
    <row r="4" spans="1:5">
      <c r="A4" s="1" t="s">
        <v>70</v>
      </c>
      <c r="B4" s="27">
        <v>0.4</v>
      </c>
      <c r="C4" s="24">
        <v>1.5E-3</v>
      </c>
      <c r="D4" s="43">
        <v>6000</v>
      </c>
      <c r="E4" s="24">
        <v>0.01</v>
      </c>
    </row>
    <row r="5" spans="1:5">
      <c r="A5" s="1" t="s">
        <v>71</v>
      </c>
      <c r="B5" s="27">
        <v>0.1</v>
      </c>
      <c r="C5" s="24">
        <v>7.0000000000000001E-3</v>
      </c>
      <c r="D5" s="43">
        <v>1500</v>
      </c>
      <c r="E5" s="24">
        <v>1.6E-2</v>
      </c>
    </row>
    <row r="6" spans="1:5">
      <c r="A6" s="47"/>
      <c r="B6" s="47"/>
      <c r="C6" s="24">
        <f>(C1*B1)+(C2*B2)+(C3*B3)+(C4*B4)+(C5*B5)</f>
        <v>1.9500000000000001E-3</v>
      </c>
      <c r="D6" s="47"/>
      <c r="E6" s="24">
        <f>((E1*D1)+(E2*D2)+(E3*D3)+(E4*D4)+(E5*D5))/SUM(D1:D5)</f>
        <v>0.01</v>
      </c>
    </row>
    <row r="10" spans="1:5">
      <c r="A10" s="47"/>
      <c r="B10" s="1">
        <v>15000</v>
      </c>
      <c r="C10" s="43">
        <f t="shared" ref="C10:C14" si="0">$B$10*B1</f>
        <v>3000</v>
      </c>
      <c r="D10" s="47"/>
      <c r="E10" s="47"/>
    </row>
    <row r="11" spans="1:5">
      <c r="A11" s="47"/>
      <c r="B11" s="47"/>
      <c r="C11" s="43">
        <f t="shared" si="0"/>
        <v>3000</v>
      </c>
      <c r="D11" s="47"/>
      <c r="E11" s="47"/>
    </row>
    <row r="12" spans="1:5">
      <c r="A12" s="47"/>
      <c r="B12" s="47"/>
      <c r="C12" s="43">
        <f t="shared" si="0"/>
        <v>1500</v>
      </c>
      <c r="D12" s="47"/>
      <c r="E12" s="47"/>
    </row>
    <row r="13" spans="1:5">
      <c r="A13" s="47"/>
      <c r="B13" s="47"/>
      <c r="C13" s="43">
        <f t="shared" si="0"/>
        <v>6000</v>
      </c>
      <c r="D13" s="47"/>
      <c r="E13" s="47"/>
    </row>
    <row r="14" spans="1:5">
      <c r="A14" s="47"/>
      <c r="B14" s="47"/>
      <c r="C14" s="43">
        <f t="shared" si="0"/>
        <v>1500</v>
      </c>
      <c r="D14" s="47"/>
      <c r="E14" s="47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21"/>
  <sheetViews>
    <sheetView workbookViewId="0"/>
  </sheetViews>
  <sheetFormatPr defaultColWidth="12.5703125" defaultRowHeight="15.75" customHeight="1"/>
  <sheetData>
    <row r="1" spans="1:18">
      <c r="A1" s="1" t="s">
        <v>72</v>
      </c>
      <c r="B1" s="5" t="s">
        <v>2</v>
      </c>
      <c r="C1" s="5" t="s">
        <v>44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</row>
    <row r="2" spans="1:18">
      <c r="A2" s="47"/>
      <c r="B2" s="19" t="s">
        <v>19</v>
      </c>
      <c r="C2" s="19" t="s">
        <v>20</v>
      </c>
      <c r="D2" s="19" t="s">
        <v>21</v>
      </c>
      <c r="E2" s="19" t="s">
        <v>22</v>
      </c>
      <c r="F2" s="40" t="s">
        <v>23</v>
      </c>
      <c r="G2" s="40" t="s">
        <v>24</v>
      </c>
      <c r="H2" s="19" t="s">
        <v>25</v>
      </c>
      <c r="I2" s="19" t="s">
        <v>26</v>
      </c>
      <c r="J2" s="19" t="s">
        <v>27</v>
      </c>
      <c r="K2" s="1" t="s">
        <v>28</v>
      </c>
      <c r="L2" s="40" t="s">
        <v>29</v>
      </c>
      <c r="M2" s="40" t="s">
        <v>30</v>
      </c>
      <c r="N2" s="19" t="s">
        <v>31</v>
      </c>
      <c r="O2" s="19" t="s">
        <v>32</v>
      </c>
      <c r="P2" s="40" t="s">
        <v>33</v>
      </c>
      <c r="Q2" s="40" t="s">
        <v>34</v>
      </c>
      <c r="R2" s="1" t="s">
        <v>35</v>
      </c>
    </row>
    <row r="3" spans="1:18">
      <c r="A3" s="47"/>
      <c r="B3" s="18">
        <v>300000</v>
      </c>
      <c r="C3" s="1">
        <v>200</v>
      </c>
      <c r="D3" s="18">
        <f>B3/C3</f>
        <v>1500</v>
      </c>
      <c r="E3" s="24">
        <v>0.04</v>
      </c>
      <c r="F3" s="18">
        <f>D3*E3</f>
        <v>60</v>
      </c>
      <c r="G3" s="44">
        <f>B3/F3</f>
        <v>5000</v>
      </c>
      <c r="H3" s="1">
        <v>2000</v>
      </c>
      <c r="I3" s="27">
        <v>0.1</v>
      </c>
      <c r="J3" s="45">
        <v>3</v>
      </c>
      <c r="K3" s="46">
        <f>H3*J3*R3</f>
        <v>-246631.57894736843</v>
      </c>
      <c r="L3" s="18">
        <f>F3*J3</f>
        <v>180</v>
      </c>
      <c r="M3" s="18">
        <v>1900</v>
      </c>
      <c r="N3" s="18">
        <v>1000000</v>
      </c>
      <c r="O3" s="18">
        <f>B3</f>
        <v>300000</v>
      </c>
      <c r="P3" s="18">
        <f>N3+O3</f>
        <v>1300000</v>
      </c>
      <c r="Q3" s="1">
        <v>-78100</v>
      </c>
      <c r="R3" s="31">
        <f>Q3/M3</f>
        <v>-41.10526315789474</v>
      </c>
    </row>
    <row r="5" spans="1:18">
      <c r="A5" s="1" t="s">
        <v>73</v>
      </c>
      <c r="B5" s="47"/>
      <c r="C5" s="47"/>
      <c r="D5" s="47"/>
      <c r="E5" s="47"/>
      <c r="F5" s="1" t="s">
        <v>74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>
      <c r="A6" s="1" t="s">
        <v>75</v>
      </c>
      <c r="B6" s="1" t="s">
        <v>76</v>
      </c>
      <c r="C6" s="1" t="s">
        <v>77</v>
      </c>
      <c r="D6" s="1" t="s">
        <v>78</v>
      </c>
      <c r="E6" s="47"/>
      <c r="F6" s="1" t="s">
        <v>79</v>
      </c>
      <c r="G6" s="1" t="s">
        <v>80</v>
      </c>
      <c r="H6" s="1" t="s">
        <v>81</v>
      </c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>
      <c r="A7" s="1" t="s">
        <v>82</v>
      </c>
      <c r="B7" s="1">
        <v>100000</v>
      </c>
      <c r="C7" s="1">
        <v>400</v>
      </c>
      <c r="D7" s="1">
        <v>0.04</v>
      </c>
      <c r="E7" s="43">
        <f>SUM(F7:F9)/SUM(C7:C9)</f>
        <v>3.9333333333333331E-2</v>
      </c>
      <c r="F7" s="43">
        <f t="shared" ref="F7:F9" si="0">C7*D7</f>
        <v>16</v>
      </c>
      <c r="G7" s="43">
        <f>SUM(B7:B9)/SUM(F7:F9)</f>
        <v>5084.7457627118647</v>
      </c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18">
      <c r="A8" s="1" t="s">
        <v>83</v>
      </c>
      <c r="B8" s="1">
        <v>100000</v>
      </c>
      <c r="C8" s="1">
        <v>500</v>
      </c>
      <c r="D8" s="1">
        <v>0.05</v>
      </c>
      <c r="E8" s="47"/>
      <c r="F8" s="43">
        <f t="shared" si="0"/>
        <v>25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18">
      <c r="A9" s="1" t="s">
        <v>84</v>
      </c>
      <c r="B9" s="1">
        <v>100000</v>
      </c>
      <c r="C9" s="1">
        <v>600</v>
      </c>
      <c r="D9" s="1">
        <v>0.03</v>
      </c>
      <c r="E9" s="47"/>
      <c r="F9" s="43">
        <f t="shared" si="0"/>
        <v>18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2" spans="1:18">
      <c r="A12" s="1" t="s">
        <v>79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 spans="1:18">
      <c r="A13" s="1" t="s">
        <v>85</v>
      </c>
      <c r="B13" s="1" t="s">
        <v>86</v>
      </c>
      <c r="C13" s="1" t="s">
        <v>87</v>
      </c>
      <c r="D13" s="1" t="s">
        <v>88</v>
      </c>
      <c r="E13" s="47"/>
      <c r="F13" s="1" t="s">
        <v>89</v>
      </c>
      <c r="G13" s="1" t="s">
        <v>90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 spans="1:18">
      <c r="A14" s="1">
        <v>1</v>
      </c>
      <c r="B14" s="1">
        <v>2000</v>
      </c>
      <c r="C14" s="1">
        <v>0.1</v>
      </c>
      <c r="D14" s="1">
        <v>4</v>
      </c>
      <c r="E14" s="43">
        <f t="shared" ref="E14:E16" si="1">B14*C14*D14</f>
        <v>800</v>
      </c>
      <c r="F14" s="1">
        <v>9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>
      <c r="A15" s="1">
        <v>2</v>
      </c>
      <c r="B15" s="1">
        <v>1000</v>
      </c>
      <c r="C15" s="1">
        <v>0.1</v>
      </c>
      <c r="D15" s="1">
        <v>2</v>
      </c>
      <c r="E15" s="43">
        <f t="shared" si="1"/>
        <v>200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>
      <c r="A16" s="1">
        <v>3</v>
      </c>
      <c r="B16" s="1">
        <v>3000</v>
      </c>
      <c r="C16" s="1">
        <v>0.1</v>
      </c>
      <c r="D16" s="1">
        <v>3</v>
      </c>
      <c r="E16" s="43">
        <f t="shared" si="1"/>
        <v>900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8" spans="1:6">
      <c r="A18" s="1" t="s">
        <v>91</v>
      </c>
      <c r="B18" s="47"/>
      <c r="C18" s="47"/>
      <c r="D18" s="47"/>
      <c r="E18" s="47"/>
      <c r="F18" s="1" t="s">
        <v>92</v>
      </c>
    </row>
    <row r="19" spans="1:6">
      <c r="A19" s="1" t="s">
        <v>93</v>
      </c>
      <c r="B19" s="1" t="s">
        <v>94</v>
      </c>
      <c r="C19" s="1" t="s">
        <v>95</v>
      </c>
      <c r="D19" s="47"/>
      <c r="E19" s="47"/>
      <c r="F19" s="47"/>
    </row>
    <row r="20" spans="1:6">
      <c r="A20" s="1" t="s">
        <v>96</v>
      </c>
      <c r="B20" s="47"/>
      <c r="C20" s="1">
        <v>50000</v>
      </c>
      <c r="D20" s="47"/>
      <c r="E20" s="47"/>
      <c r="F20" s="47"/>
    </row>
    <row r="21" spans="1:6">
      <c r="A21" s="1" t="s">
        <v>97</v>
      </c>
      <c r="B21" s="1">
        <v>30000</v>
      </c>
      <c r="C21" s="47"/>
      <c r="D21" s="47"/>
      <c r="E21" s="47"/>
      <c r="F21" s="47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2024-12-17T00:42:45Z</dcterms:created>
  <dcterms:modified xsi:type="dcterms:W3CDTF">2024-12-17T10:03:59Z</dcterms:modified>
  <cp:category/>
  <cp:contentStatus/>
</cp:coreProperties>
</file>