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 B\tubcloud\Module\Masterarbeit\Elektro\KiCad\B1_v8_zur_Konstruktion\"/>
    </mc:Choice>
  </mc:AlternateContent>
  <xr:revisionPtr revIDLastSave="0" documentId="13_ncr:1_{80774642-B57C-4E84-9187-60536ECCD4CB}" xr6:coauthVersionLast="43" xr6:coauthVersionMax="43" xr10:uidLastSave="{00000000-0000-0000-0000-000000000000}"/>
  <bookViews>
    <workbookView xWindow="-110" yWindow="-110" windowWidth="29020" windowHeight="15820" activeTab="1" xr2:uid="{AE0F8B5F-80D1-462C-89E0-E29BCCB79930}"/>
  </bookViews>
  <sheets>
    <sheet name="Overview" sheetId="10" r:id="rId1"/>
    <sheet name="Overview zur abgabe" sheetId="11" r:id="rId2"/>
    <sheet name="DCDC-Direkt" sheetId="8" r:id="rId3"/>
    <sheet name="Treiber" sheetId="1" r:id="rId4"/>
    <sheet name="Bootstrap Comp" sheetId="4" r:id="rId5"/>
    <sheet name="MOSFET" sheetId="5" r:id="rId6"/>
    <sheet name="Sonstige" sheetId="7" r:id="rId7"/>
    <sheet name="Dumpload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8" i="11" l="1"/>
  <c r="I77" i="11"/>
  <c r="I76" i="11"/>
  <c r="I75" i="11"/>
  <c r="I74" i="11"/>
  <c r="I73" i="11"/>
  <c r="J96" i="10" l="1"/>
  <c r="J95" i="10"/>
  <c r="J94" i="10"/>
  <c r="J93" i="10"/>
  <c r="I62" i="11" l="1"/>
  <c r="I60" i="11"/>
  <c r="I59" i="11"/>
  <c r="I58" i="11"/>
  <c r="I57" i="11"/>
  <c r="I56" i="11"/>
  <c r="I54" i="11"/>
  <c r="I53" i="11"/>
  <c r="I52" i="11"/>
  <c r="I51" i="11"/>
  <c r="I30" i="11"/>
  <c r="I28" i="11"/>
  <c r="I27" i="11"/>
  <c r="I24" i="11"/>
  <c r="I15" i="11"/>
  <c r="I14" i="11"/>
  <c r="I13" i="11"/>
  <c r="I12" i="11"/>
  <c r="I9" i="11"/>
  <c r="I72" i="11" l="1"/>
  <c r="I71" i="11"/>
  <c r="I70" i="11"/>
  <c r="I69" i="11"/>
  <c r="I67" i="11"/>
  <c r="I66" i="11"/>
  <c r="I65" i="11"/>
  <c r="I64" i="11"/>
  <c r="I55" i="11"/>
  <c r="I49" i="11"/>
  <c r="I47" i="11"/>
  <c r="I46" i="11"/>
  <c r="I45" i="11"/>
  <c r="I44" i="11"/>
  <c r="I43" i="11"/>
  <c r="I42" i="11"/>
  <c r="I41" i="11"/>
  <c r="I40" i="11"/>
  <c r="I39" i="11"/>
  <c r="I37" i="11"/>
  <c r="I36" i="11"/>
  <c r="I34" i="11"/>
  <c r="I33" i="11"/>
  <c r="I32" i="11"/>
  <c r="I29" i="11"/>
  <c r="I26" i="11"/>
  <c r="I25" i="11"/>
  <c r="I22" i="11"/>
  <c r="I21" i="11"/>
  <c r="I19" i="11"/>
  <c r="I18" i="11"/>
  <c r="I17" i="11"/>
  <c r="I16" i="11"/>
  <c r="I11" i="11"/>
  <c r="I10" i="11"/>
  <c r="I7" i="11"/>
  <c r="I6" i="11"/>
  <c r="I4" i="11"/>
  <c r="I3" i="11"/>
  <c r="I79" i="11" s="1"/>
  <c r="B45" i="8"/>
  <c r="J71" i="10" l="1"/>
  <c r="J25" i="10"/>
  <c r="J24" i="10" l="1"/>
  <c r="J55" i="10" l="1"/>
  <c r="J56" i="10"/>
  <c r="J57" i="10"/>
  <c r="J58" i="10"/>
  <c r="J59" i="10"/>
  <c r="J60" i="10"/>
  <c r="J61" i="10"/>
  <c r="J109" i="10"/>
  <c r="J54" i="10"/>
  <c r="J53" i="10"/>
  <c r="J82" i="10"/>
  <c r="J18" i="10"/>
  <c r="J19" i="10"/>
  <c r="J20" i="10"/>
  <c r="J21" i="10"/>
  <c r="J22" i="10"/>
  <c r="J23" i="10"/>
  <c r="J26" i="10"/>
  <c r="J27" i="10"/>
  <c r="J28" i="10"/>
  <c r="J29" i="10"/>
  <c r="J30" i="10"/>
  <c r="J66" i="10" l="1"/>
  <c r="J67" i="10"/>
  <c r="J68" i="10"/>
  <c r="J69" i="10"/>
  <c r="J70" i="10"/>
  <c r="J73" i="10"/>
  <c r="J74" i="10"/>
  <c r="J75" i="10"/>
  <c r="J76" i="10"/>
  <c r="J77" i="10"/>
  <c r="J78" i="10"/>
  <c r="J79" i="10"/>
  <c r="J47" i="10"/>
  <c r="J48" i="10"/>
  <c r="J49" i="10"/>
  <c r="J50" i="10"/>
  <c r="J51" i="10"/>
  <c r="J52" i="10"/>
  <c r="J62" i="10"/>
  <c r="J63" i="10"/>
  <c r="J64" i="10"/>
  <c r="J65" i="10"/>
  <c r="J80" i="10"/>
  <c r="J92" i="10"/>
  <c r="J91" i="10"/>
  <c r="J90" i="10"/>
  <c r="J89" i="10"/>
  <c r="J88" i="10"/>
  <c r="J87" i="10"/>
  <c r="J86" i="10"/>
  <c r="J81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H2" i="10"/>
  <c r="J98" i="10" l="1"/>
  <c r="E177" i="8"/>
  <c r="E181" i="8" s="1"/>
  <c r="E176" i="8"/>
  <c r="E174" i="8"/>
  <c r="E173" i="8"/>
  <c r="E172" i="8"/>
  <c r="B137" i="8"/>
  <c r="E58" i="8"/>
  <c r="E62" i="8" s="1"/>
  <c r="E57" i="8"/>
  <c r="E55" i="8"/>
  <c r="E54" i="8"/>
  <c r="E53" i="8"/>
  <c r="B104" i="8"/>
  <c r="B103" i="8"/>
  <c r="E175" i="8" l="1"/>
  <c r="E178" i="8" s="1"/>
  <c r="E179" i="8" s="1"/>
  <c r="E180" i="8" s="1"/>
  <c r="E56" i="8"/>
  <c r="E59" i="8" l="1"/>
  <c r="E60" i="8" s="1"/>
  <c r="E61" i="8" s="1"/>
  <c r="B166" i="8"/>
  <c r="E117" i="8" l="1"/>
  <c r="E121" i="8" s="1"/>
  <c r="E116" i="8"/>
  <c r="E114" i="8"/>
  <c r="E113" i="8"/>
  <c r="E112" i="8"/>
  <c r="E115" i="8" l="1"/>
  <c r="E118" i="8" s="1"/>
  <c r="B89" i="8"/>
  <c r="B138" i="8"/>
  <c r="E152" i="8"/>
  <c r="E156" i="8" s="1"/>
  <c r="E151" i="8"/>
  <c r="E154" i="8" s="1"/>
  <c r="E149" i="8"/>
  <c r="E150" i="8" s="1"/>
  <c r="E148" i="8"/>
  <c r="E147" i="8"/>
  <c r="E69" i="8"/>
  <c r="E76" i="8" s="1"/>
  <c r="B73" i="8"/>
  <c r="E72" i="8" s="1"/>
  <c r="E31" i="8"/>
  <c r="E35" i="8" s="1"/>
  <c r="E30" i="8"/>
  <c r="E33" i="8" s="1"/>
  <c r="E28" i="8"/>
  <c r="E29" i="8" s="1"/>
  <c r="E27" i="8"/>
  <c r="E26" i="8"/>
  <c r="E17" i="8"/>
  <c r="E16" i="8"/>
  <c r="E14" i="8"/>
  <c r="E15" i="8" s="1"/>
  <c r="B7" i="8"/>
  <c r="E119" i="8" l="1"/>
  <c r="E120" i="8" s="1"/>
  <c r="B106" i="8"/>
  <c r="B91" i="8"/>
  <c r="B88" i="8" s="1"/>
  <c r="E155" i="8"/>
  <c r="E153" i="8"/>
  <c r="B140" i="8" s="1"/>
  <c r="B142" i="8" s="1"/>
  <c r="E70" i="8"/>
  <c r="E71" i="8" s="1"/>
  <c r="E73" i="8" s="1"/>
  <c r="E74" i="8" s="1"/>
  <c r="E75" i="8" s="1"/>
  <c r="E34" i="8"/>
  <c r="E18" i="8"/>
  <c r="E21" i="8" s="1"/>
  <c r="E32" i="8"/>
  <c r="B108" i="8" l="1"/>
  <c r="C108" i="8" s="1"/>
  <c r="B102" i="8"/>
  <c r="B136" i="8"/>
  <c r="C142" i="8"/>
  <c r="E19" i="8"/>
  <c r="E20" i="8" s="1"/>
  <c r="C7" i="8" l="1"/>
  <c r="B43" i="8"/>
  <c r="B46" i="8" s="1"/>
  <c r="B48" i="8" s="1"/>
  <c r="C46" i="8" l="1"/>
  <c r="C11" i="4"/>
  <c r="C9" i="4"/>
  <c r="D33" i="4" s="1"/>
  <c r="C10" i="4"/>
  <c r="C33" i="4" l="1"/>
  <c r="C19" i="4"/>
  <c r="B19" i="4" s="1"/>
  <c r="B35" i="1" l="1"/>
  <c r="B36" i="1" s="1"/>
  <c r="B38" i="1" l="1"/>
  <c r="B41" i="1"/>
</calcChain>
</file>

<file path=xl/sharedStrings.xml><?xml version="1.0" encoding="utf-8"?>
<sst xmlns="http://schemas.openxmlformats.org/spreadsheetml/2006/main" count="919" uniqueCount="497">
  <si>
    <t>Auswahl Treiber-IC</t>
  </si>
  <si>
    <t>Anforderung:</t>
  </si>
  <si>
    <t>V_IN_HIGH</t>
  </si>
  <si>
    <t>1…3,3V</t>
  </si>
  <si>
    <t>Konfig</t>
  </si>
  <si>
    <t>f</t>
  </si>
  <si>
    <t>T</t>
  </si>
  <si>
    <t>s</t>
  </si>
  <si>
    <t>hz</t>
  </si>
  <si>
    <t>ns</t>
  </si>
  <si>
    <t>Deadtime (Halfbridge)</t>
  </si>
  <si>
    <t>DT</t>
  </si>
  <si>
    <t>Anteil DT</t>
  </si>
  <si>
    <t>Berechnet</t>
  </si>
  <si>
    <t>X</t>
  </si>
  <si>
    <t>Beschluss: Zu viele Fehlerquellen und zu kompliziert -&gt; Schottky Diode</t>
  </si>
  <si>
    <t>High Side</t>
  </si>
  <si>
    <t>Möglich:</t>
  </si>
  <si>
    <t>IR2104</t>
  </si>
  <si>
    <t>IRS2181</t>
  </si>
  <si>
    <t>V_CC</t>
  </si>
  <si>
    <t>9-12V</t>
  </si>
  <si>
    <t>IR2101</t>
  </si>
  <si>
    <t>High and Low</t>
  </si>
  <si>
    <t>Bemerkung</t>
  </si>
  <si>
    <t>Konfiguration</t>
  </si>
  <si>
    <t>t_r</t>
  </si>
  <si>
    <t>t_f</t>
  </si>
  <si>
    <t>I_O +</t>
  </si>
  <si>
    <t>V_IH</t>
  </si>
  <si>
    <t>10 … 20</t>
  </si>
  <si>
    <t>Half Bridge</t>
  </si>
  <si>
    <t>IR2125</t>
  </si>
  <si>
    <t>IR2127</t>
  </si>
  <si>
    <t>Current sensing High</t>
  </si>
  <si>
    <t>Current limiting High</t>
  </si>
  <si>
    <t>0 … 18</t>
  </si>
  <si>
    <t>Preis</t>
  </si>
  <si>
    <t>IR2011</t>
  </si>
  <si>
    <t>Wo</t>
  </si>
  <si>
    <t>IR2106</t>
  </si>
  <si>
    <t>IR2301</t>
  </si>
  <si>
    <t>5 … 20</t>
  </si>
  <si>
    <t>IR2102</t>
  </si>
  <si>
    <t>Spalte1</t>
  </si>
  <si>
    <t>Segor</t>
  </si>
  <si>
    <t>Fragen</t>
  </si>
  <si>
    <t>2153/55: Self Oszilating?</t>
  </si>
  <si>
    <t>IR2184</t>
  </si>
  <si>
    <t>-</t>
  </si>
  <si>
    <t>C</t>
  </si>
  <si>
    <t>IR2109</t>
  </si>
  <si>
    <t>Kondensator</t>
  </si>
  <si>
    <t xml:space="preserve">Bemerkungen: </t>
  </si>
  <si>
    <t>paralleling electrolytic and low ESR ceramic may result in an efficient solution</t>
  </si>
  <si>
    <t xml:space="preserve"> Local decoupling capacitors on the V CC  (and digital) supply are useful in practice to compensate for the inductance of the supply lines.</t>
  </si>
  <si>
    <t>DT 04 4 p2</t>
  </si>
  <si>
    <t>AN 978 p5</t>
  </si>
  <si>
    <t>MOSFET Auswahl</t>
  </si>
  <si>
    <t>Anforderung</t>
  </si>
  <si>
    <t>R_DS_ON</t>
  </si>
  <si>
    <t>max 2 €</t>
  </si>
  <si>
    <t>max 10 mOhm</t>
  </si>
  <si>
    <t>min 100V</t>
  </si>
  <si>
    <t>V_DS</t>
  </si>
  <si>
    <t>Ausführung</t>
  </si>
  <si>
    <t>N-Kanal</t>
  </si>
  <si>
    <t>Montage</t>
  </si>
  <si>
    <t>Lochdurchführung</t>
  </si>
  <si>
    <t>Such-Link Conrad:</t>
  </si>
  <si>
    <t>https://www.conrad.de/de/mosfets-o5104021.html?tfo_ATT_MOUNTING_METHOD=Durchf%C3%BChrungsloch&amp;tfo_ATT_LOV_MODEL_TRANSISTORS=N-Kanal&amp;tfo_ATT_NUM_U_DSS=100%20V~~~150%20V~~~200%20V&amp;tfo_ATT_NUM_RDS_ON=4.3%20m%CE%A9~~~4.5%20m%CE%A9~~~5%20m%CE%A9~~~5.2%20m%CE%A9~~~5.9%20m%CE%A9~~~6%20m%CE%A9~~~7%20m%CE%A9~~~9%20m%CE%A9~~~10%20m%CE%A9~~~13.9%20m%CE%A9~~~14%20m%CE%A9~~~15%20m%CE%A9&amp;sort=Price-asc&amp;offerId=CE156103#openLayer=product-comparison-layer</t>
  </si>
  <si>
    <t>NMOS</t>
  </si>
  <si>
    <t>IRFB4110PBF </t>
  </si>
  <si>
    <t>Q_G [nC|C]</t>
  </si>
  <si>
    <t>Q_is [nC|C]</t>
  </si>
  <si>
    <t>I_Cbs</t>
  </si>
  <si>
    <t>f [Hz]</t>
  </si>
  <si>
    <t>V_CC [V]</t>
  </si>
  <si>
    <t>Diode</t>
  </si>
  <si>
    <t>Anforderungen</t>
  </si>
  <si>
    <t>Material</t>
  </si>
  <si>
    <t>non Elko, low ESR</t>
  </si>
  <si>
    <t>V_F</t>
  </si>
  <si>
    <t>minimal</t>
  </si>
  <si>
    <t>V_RRM</t>
  </si>
  <si>
    <t>min 100 V</t>
  </si>
  <si>
    <t>f*Q_G</t>
  </si>
  <si>
    <t>BAT 46</t>
  </si>
  <si>
    <t>SB5100</t>
  </si>
  <si>
    <t>V_RRM [V]</t>
  </si>
  <si>
    <t>I_F [mA]</t>
  </si>
  <si>
    <t>I_F [mA|A]</t>
  </si>
  <si>
    <t>V_F [V] @25°C, 10mA</t>
  </si>
  <si>
    <t>0,45 @25°C, 10mA</t>
  </si>
  <si>
    <t>Hab ich</t>
  </si>
  <si>
    <t>x</t>
  </si>
  <si>
    <t>V_f [V]</t>
  </si>
  <si>
    <t>V_LS [V]</t>
  </si>
  <si>
    <t>V_Min [V]</t>
  </si>
  <si>
    <t>I_qbs [uA|A]</t>
  </si>
  <si>
    <t>DCDC-Diode?</t>
  </si>
  <si>
    <t>Annahme???</t>
  </si>
  <si>
    <t>C [nf|F]</t>
  </si>
  <si>
    <t>not Elko</t>
  </si>
  <si>
    <t>&gt;=150nF</t>
  </si>
  <si>
    <t>Auswahl</t>
  </si>
  <si>
    <t>2x 100nF Keramik (104) parallel</t>
  </si>
  <si>
    <t>IRFB4410ZPBF</t>
  </si>
  <si>
    <t>Spannungsregler</t>
  </si>
  <si>
    <t>V_in_min</t>
  </si>
  <si>
    <t>V_OUT</t>
  </si>
  <si>
    <t>10 V</t>
  </si>
  <si>
    <t>12 V</t>
  </si>
  <si>
    <t>I_OUT</t>
  </si>
  <si>
    <t xml:space="preserve"> 1 A</t>
  </si>
  <si>
    <t>LM2940SX-10/NOPB</t>
  </si>
  <si>
    <t>https://www.conrad.de/de/pmic-spannungsregler-linear-ldo-texas-instruments-lm2940sx-10nopb-positiv-fest-to-263-3-1014000.html</t>
  </si>
  <si>
    <t>&lt; 0,79 @25°C, 5A</t>
  </si>
  <si>
    <t>Spule</t>
  </si>
  <si>
    <t>P</t>
  </si>
  <si>
    <t>I_L = I_DC</t>
  </si>
  <si>
    <t>V_IN</t>
  </si>
  <si>
    <t>D</t>
  </si>
  <si>
    <t>r</t>
  </si>
  <si>
    <t>T [us]</t>
  </si>
  <si>
    <t>L[uH] (Mantikala)</t>
  </si>
  <si>
    <t>I_AC</t>
  </si>
  <si>
    <t>I_PK</t>
  </si>
  <si>
    <t>I_AG</t>
  </si>
  <si>
    <t>Induktivität</t>
  </si>
  <si>
    <t>I_max</t>
  </si>
  <si>
    <t>Leitungswiderstand</t>
  </si>
  <si>
    <t>rho [(Ω·mm2)/m]</t>
  </si>
  <si>
    <t>l [m]</t>
  </si>
  <si>
    <t>A [mm^2]</t>
  </si>
  <si>
    <t>R [Ohm|mOhm]</t>
  </si>
  <si>
    <t>P_loss @ 10 A [W]</t>
  </si>
  <si>
    <t>-&gt; R_DC MAX [Ohm|mOhm]</t>
  </si>
  <si>
    <t>DCDC Diode</t>
  </si>
  <si>
    <t>U_max</t>
  </si>
  <si>
    <t>100 V</t>
  </si>
  <si>
    <t xml:space="preserve">switching speed </t>
  </si>
  <si>
    <t>fast</t>
  </si>
  <si>
    <t>Auswahl:</t>
  </si>
  <si>
    <t>Gleichrichter-Dioden</t>
  </si>
  <si>
    <t>Anforderungen:</t>
  </si>
  <si>
    <t>3,5 A</t>
  </si>
  <si>
    <t>min</t>
  </si>
  <si>
    <t>I_max [A]</t>
  </si>
  <si>
    <t>0,75 V</t>
  </si>
  <si>
    <t>Sicherungen</t>
  </si>
  <si>
    <t>Halter:</t>
  </si>
  <si>
    <t>FKSmini-Halter/Print180°</t>
  </si>
  <si>
    <t>bei Segor</t>
  </si>
  <si>
    <t>Sicherung:</t>
  </si>
  <si>
    <t>FKS 10A/mini</t>
  </si>
  <si>
    <t>Shunt-Widerstände</t>
  </si>
  <si>
    <t>30mR-2W-5% /-10x</t>
  </si>
  <si>
    <t>&lt;-</t>
  </si>
  <si>
    <t>Induktivität [uH]</t>
  </si>
  <si>
    <t>P_loss_Max [W]</t>
  </si>
  <si>
    <t>Worst Case Low Power -&gt; High Inductivity</t>
  </si>
  <si>
    <t>Vorgabe r</t>
  </si>
  <si>
    <t>Worst Case High Power - &gt; High Currents</t>
  </si>
  <si>
    <t>V_ON</t>
  </si>
  <si>
    <t>V_OFF</t>
  </si>
  <si>
    <t>L [uH]</t>
  </si>
  <si>
    <t>Bei 10 W soll Continuous conduction Mode erreicht werden -&gt; r=2 (bei V_in = 35V (aus erster messreihe) und V_OUT 13 V (Voller Akku schwacher Ladestrom) -&gt; 170 uH</t>
  </si>
  <si>
    <t>Mit gleicher Spule (mit Sicherheit 200 uH) maximale Stromstärke bei grosßer Leistung -&gt; 100 W macht 9,1 A I_PK</t>
  </si>
  <si>
    <t>Mantikala p60 &amp; p106ff</t>
  </si>
  <si>
    <t>Spule Mantikala p.107ff</t>
  </si>
  <si>
    <t>V_SW</t>
  </si>
  <si>
    <t>V_D</t>
  </si>
  <si>
    <t>V_O</t>
  </si>
  <si>
    <t>t_on [us]</t>
  </si>
  <si>
    <t>Et [V us]</t>
  </si>
  <si>
    <t>L * I [uh A]</t>
  </si>
  <si>
    <t>I_PK [A]</t>
  </si>
  <si>
    <t xml:space="preserve">I_O = I_L [A] </t>
  </si>
  <si>
    <t>OUT Kondensator</t>
  </si>
  <si>
    <t>Ripple Current[I]</t>
  </si>
  <si>
    <t>IN Kondensator</t>
  </si>
  <si>
    <t>I_RMS_OUT [A] (max)</t>
  </si>
  <si>
    <t>I_RMS_IN [A] (max)</t>
  </si>
  <si>
    <t>Worst @ D=50</t>
  </si>
  <si>
    <t>Vorgabe L</t>
  </si>
  <si>
    <t>Kostet 2-5 €</t>
  </si>
  <si>
    <t>https://www.conrad.de/de/elektrolyt-kondensatoren-o0245812.html?tfo_ATT_NOMINAL_VOLTAGE=200%20V&amp;tfo_ATT_NUM_ELECTRIC_CAPACITY=470%20%C2%B5F~~~560%20%C2%B5F~~~680%20%C2%B5F~~~820%20%C2%B5F</t>
  </si>
  <si>
    <t>V_max (60 V + 50%)</t>
  </si>
  <si>
    <t>ESR (siehe Bsp Datenblatt) [Ohm]</t>
  </si>
  <si>
    <t>V_RIPPLE_RMS_IN [V|%]</t>
  </si>
  <si>
    <t>V_RIPPLE_IN_MAX (5-10% * V_IN)</t>
  </si>
  <si>
    <t>2 Große Eingangs Kondensatoren aus Netzteil: 200 V 680 uF</t>
  </si>
  <si>
    <t>V_OUT_max (15 V + 50%) [V]</t>
  </si>
  <si>
    <t>http://www.produktinfo.conrad.com/datenblaetter/425000-449999/446132-da-01-en-STANDARD_ELKO_85GRAD_1000__25V.pdf</t>
  </si>
  <si>
    <t>https://www.conrad.de/de/elektrolyt-kondensator-radial-bedrahtet-5-mm-1000-f-25-vdc-20-o-x-h-10-mm-x-20-mm-vishay-2222-037-36102-1-st-446132.html</t>
  </si>
  <si>
    <t xml:space="preserve">2 * 50 V,220 uF (von Avias Dad, hatte ich noch) </t>
  </si>
  <si>
    <t>Kabelanschlüsse</t>
  </si>
  <si>
    <t>http://www.segor.de/#Q=ARK2-HUT&amp;M=1</t>
  </si>
  <si>
    <t>Schraubklemmen 2 polig, 3 polig</t>
  </si>
  <si>
    <t>http://www.segor.de/#Q=ARK3-HUT&amp;M=1</t>
  </si>
  <si>
    <t>V_max (15 V + 50%)</t>
  </si>
  <si>
    <t>Die von Avias Dad rechen nicht wg. Ripple Current im reverse Betrieb. Entweder 4 parallel oder größere</t>
  </si>
  <si>
    <t>https://www.conrad.de/de/elektrolyt-kondensator-radial-bedrahtet-5-mm-470-f-25-v-20-o-x-h-10-mm-x-15-mm-yageo-sy025m0470b5s-1015-1-st-442625.html</t>
  </si>
  <si>
    <t>z.B. 2 x Yageo SY025M0470B5S-1015</t>
  </si>
  <si>
    <t>Preis: 2 x 0,18 €</t>
  </si>
  <si>
    <t>Für REVERSE BOOST MODE</t>
  </si>
  <si>
    <t>Maximal 103 W um bei I_PK von 10A zu bleiben. IDEAL! Wirkungsgrad = 100 %</t>
  </si>
  <si>
    <t>Wenn V_IN größer I_PK entsprechend kleiner, trotzdem 100W max!!</t>
  </si>
  <si>
    <t>Keine Diode mehr, dafür Halbbrücke mit 2 MOSFETs</t>
  </si>
  <si>
    <t>=OUT Kondensator Für Rev. BOOST MODE</t>
  </si>
  <si>
    <t>=IN Kondensator Für Rev. BOOST MODE</t>
  </si>
  <si>
    <t>worst Case @ D=50</t>
  </si>
  <si>
    <t>die ausgewählten müssten rechen (2 x 3,45 A = 6,9 A)</t>
  </si>
  <si>
    <t>Strommesssensoren</t>
  </si>
  <si>
    <t>ACS</t>
  </si>
  <si>
    <t>Relais</t>
  </si>
  <si>
    <t>U_DC_schalt [V]</t>
  </si>
  <si>
    <t>U_max [V/AC]</t>
  </si>
  <si>
    <t>Arduino hat nur 20 mA pro Pin am Augang, also gerade genug. Lieber gleichzeitig mit MOSFET schalten.</t>
  </si>
  <si>
    <t>Printrelais 12 V/DC 5 A 1 Wechsler Tianbo Electronics HJR-4102-L-12VDC-S-Z</t>
  </si>
  <si>
    <t>https://www.conrad.de/de/printrelais-12-vdc-5-a-1-wechsler-tianbo-electronics-hjr-4102-l-12vdc-s-z-1-st-629491.html</t>
  </si>
  <si>
    <t>zum Umschalten der 3 Motorphasen von Motor auf Generatorbetrieb &lt;-&gt;</t>
  </si>
  <si>
    <t>zum Zu/Abschalten der Versorgung des Motorcontrollers beim Umschalten von Motor auf Generatorbetrieb &lt;-&gt;</t>
  </si>
  <si>
    <t>U_max [V/DC]</t>
  </si>
  <si>
    <t>https://produktinfo.conrad.com/datenblaetter/500000-524999/505439-da-01-de-LEISTUNGSRELAIS_12V.pdf</t>
  </si>
  <si>
    <t>http://www.farnell.com/datasheets/1504641.pdf</t>
  </si>
  <si>
    <t>http://www.segor.de/#Q=F3611-12&amp;M=1</t>
  </si>
  <si>
    <t>Alternativ:</t>
  </si>
  <si>
    <t>aber kein RM 2.52</t>
  </si>
  <si>
    <t>P_max [W]</t>
  </si>
  <si>
    <t>Alternative 2</t>
  </si>
  <si>
    <t>http://www.segor.de/#Q=G6D1A-12VDC&amp;M=1</t>
  </si>
  <si>
    <t>https://www.mouser.de/datasheet/2/307/en-g6d-23247.pdf</t>
  </si>
  <si>
    <t>hat RM 2.54, max 5 A @ 20V DC, max 30 V DC</t>
  </si>
  <si>
    <t>http://www.segor.de/#Q=RT424-12&amp;M=1</t>
  </si>
  <si>
    <t>Alternative  3 - sehr gut</t>
  </si>
  <si>
    <t>C:\Users\J B\tubcloud\Module\Masterarbeit\Elektro\Datenblätter\Relais RT 424 12V_com.pdf</t>
  </si>
  <si>
    <t>2 Wechsler in serie: 60V DC @ 8 A</t>
  </si>
  <si>
    <r>
      <t>Der Dumpload soll in der Lage sein mit 10 A Strom die gesamte Nennleistung des Motors in W</t>
    </r>
    <r>
      <rPr>
        <sz val="11"/>
        <color theme="1"/>
        <rFont val="Times New Roman"/>
        <family val="1"/>
      </rPr>
      <t>ä</t>
    </r>
    <r>
      <rPr>
        <sz val="11"/>
        <color theme="1"/>
        <rFont val="Calibri"/>
        <family val="2"/>
        <scheme val="minor"/>
      </rPr>
      <t>rme umzuwandeln, das entspricht 350 W / 10 A = 35 V -&gt; 35 V / 10 A = 3,5 Ohm</t>
    </r>
  </si>
  <si>
    <r>
      <t>Dazu werden 4 100 W Lastwiderst</t>
    </r>
    <r>
      <rPr>
        <sz val="11"/>
        <color theme="1"/>
        <rFont val="Times New Roman"/>
        <family val="1"/>
      </rPr>
      <t>ä</t>
    </r>
    <r>
      <rPr>
        <sz val="11"/>
        <color theme="1"/>
        <rFont val="Calibri"/>
        <family val="2"/>
        <scheme val="minor"/>
      </rPr>
      <t>nde als 2 in Reihe und 2 Parallel verschalten. Das ergibt 4 Ohm also bei 37,4 V werden mit 9,35 A 350 W verbraucht. Frage: Wie schnell dreht er sich dann?</t>
    </r>
  </si>
  <si>
    <t>Schaltung</t>
  </si>
  <si>
    <t>C:\Users\J B\tubcloud\Module\Masterarbeit\Literatur\Elektro\MOSFET\P_channel MOSFETs high side - Vishay.pdf</t>
  </si>
  <si>
    <t>N_Channel:</t>
  </si>
  <si>
    <t>IRFU310</t>
  </si>
  <si>
    <t>P_Channel:</t>
  </si>
  <si>
    <t>Anforderung: V_DS=100 V, I_max=10 A</t>
  </si>
  <si>
    <t>https://www.conrad.de/de/mosfet-infineon-technologies-irf9540npbf-1-p-kanal-140-w-to-220-162537.html</t>
  </si>
  <si>
    <t>R_DS_on= 114mR</t>
  </si>
  <si>
    <t>https://www.conrad.de/de/mosfet-infineon-technologies-irf9530npbf-1-p-kanal-79-w-to-220-162536.html</t>
  </si>
  <si>
    <t>R_DS_on= 200mR</t>
  </si>
  <si>
    <t xml:space="preserve">Anforderungen: </t>
  </si>
  <si>
    <t>U_GS_th=LL (5 V max)</t>
  </si>
  <si>
    <t>Overview</t>
  </si>
  <si>
    <t>Part Number</t>
  </si>
  <si>
    <t>Quantity</t>
  </si>
  <si>
    <t>Name</t>
  </si>
  <si>
    <t>Designation</t>
  </si>
  <si>
    <t>Link</t>
  </si>
  <si>
    <t>Sales unit</t>
  </si>
  <si>
    <t>Accessed on</t>
  </si>
  <si>
    <t>Price</t>
  </si>
  <si>
    <t>Cost</t>
  </si>
  <si>
    <t>To buy</t>
  </si>
  <si>
    <t>Had alternative</t>
  </si>
  <si>
    <t>J1, J2</t>
  </si>
  <si>
    <t>screw terminal block</t>
  </si>
  <si>
    <t>PTR AKZ500/3DS-5.08-H</t>
  </si>
  <si>
    <t>https://www.conrad.de/de/ptr-akz5003ds-508-h-schraubklemmblock-150-mm-polzahl-3-grau-1-st-732037.html</t>
  </si>
  <si>
    <t>PTR AKZ500/2DS-5.08-H</t>
  </si>
  <si>
    <t>https://www.conrad.de/de/ptr-akz5002ds-508-h-schraubklemmblock-150-mm-polzahl-2-grau-1-st-732023.html</t>
  </si>
  <si>
    <t>https://www.banggood.com/10-Pcs-40-Pin-2_54mm-Single-Row-Male-Pin-Header-Strip-For-Arduino-p-918427.html?rmmds=search&amp;cur_warehouse=UK</t>
  </si>
  <si>
    <t>RL1 - RL 3</t>
  </si>
  <si>
    <t>HJR-4102-L-12V</t>
  </si>
  <si>
    <t>RL4</t>
  </si>
  <si>
    <t>RT 424-12</t>
  </si>
  <si>
    <t>D1 - D10</t>
  </si>
  <si>
    <t>Schottky-Diode</t>
  </si>
  <si>
    <t>SR5100</t>
  </si>
  <si>
    <t>https://www.banggood.com/50pcs-SB5100-5_0A-SCHOTTKY-BARRIER-Diode-100V-5A-p-1210667.html?rmmds=search&amp;cur_warehouse=CN</t>
  </si>
  <si>
    <t>D11</t>
  </si>
  <si>
    <t>1N4007</t>
  </si>
  <si>
    <t>https://www.conrad.de/de/si-gleichrichterdiode-diotec-1n4007-do-204al-1000-v-1-a-162272.html</t>
  </si>
  <si>
    <t>D12 - D 19</t>
  </si>
  <si>
    <t>1N4148</t>
  </si>
  <si>
    <t>https://www.conrad.de/de/standarddiode-vishay-1n4148-tap-do-204ah-75-v-300-ma-564851.html</t>
  </si>
  <si>
    <t>Q1 - Q4</t>
  </si>
  <si>
    <t>n-Channel MOSFET</t>
  </si>
  <si>
    <t>IRFB4410ZPBF </t>
  </si>
  <si>
    <t>https://www.conrad.de/de/mosfet-infineon-technologies-irfb4410zpbf-1-n-kanal-230-w-to-220ab-160946.html</t>
  </si>
  <si>
    <t>Q5</t>
  </si>
  <si>
    <t>IRF710PBF </t>
  </si>
  <si>
    <t>https://www.conrad.de/de/mosfet-vishay-irf710pbf-1-n-kanal-36-w-to-220ab-162429.html</t>
  </si>
  <si>
    <t>NMOS IRFU310</t>
  </si>
  <si>
    <t>C1, C2</t>
  </si>
  <si>
    <t>electrolytic capacitor</t>
  </si>
  <si>
    <t>C3, C4</t>
  </si>
  <si>
    <t>Yageo SY035M0470B5S-1019</t>
  </si>
  <si>
    <t>https://www.conrad.de/de/yageo-sy035m0470b5s-1019-elektrolyt-kondensator-radial-bedrahtet-5-mm-470-f-35-v-20-o-x-h-10-mm-x-19-mm-1-st-442613.html</t>
  </si>
  <si>
    <t>C5</t>
  </si>
  <si>
    <t>tantalum capacitor</t>
  </si>
  <si>
    <t>TA 10u-25</t>
  </si>
  <si>
    <t>http://www.segor.de/#Q=TA10u-25&amp;M=1</t>
  </si>
  <si>
    <t>C6</t>
  </si>
  <si>
    <t>33 uF</t>
  </si>
  <si>
    <t>C7</t>
  </si>
  <si>
    <t>0.47 uF</t>
  </si>
  <si>
    <t>C8, C9</t>
  </si>
  <si>
    <t>ceramic capacitor</t>
  </si>
  <si>
    <t>u10-R2.5-X7R</t>
  </si>
  <si>
    <t>http://www.segor.de/#Q=u10-R2.5-X7R&amp;M=1</t>
  </si>
  <si>
    <t>C10</t>
  </si>
  <si>
    <t>10 uF</t>
  </si>
  <si>
    <t>C11 - C13</t>
  </si>
  <si>
    <t>u10-R5.0-Z5U</t>
  </si>
  <si>
    <t>http://www.segor.de/#Q=u10-R5.0-Z5U&amp;M=1</t>
  </si>
  <si>
    <t>C14</t>
  </si>
  <si>
    <t>C15</t>
  </si>
  <si>
    <t>U1</t>
  </si>
  <si>
    <t>LM2940T-10.0</t>
  </si>
  <si>
    <t>https://www.conrad.de/de/pmic-spannungsregler-linear-ldo-texas-instruments-lm2940t-100nopb-positiv-fest-to-220-3-1014005.html</t>
  </si>
  <si>
    <t>U2</t>
  </si>
  <si>
    <t>MC7805CT TO-220AB</t>
  </si>
  <si>
    <t>https://www.conrad.de/de/spannungsregler-linear-typ78-on-semiconductor-mc7805ct-to-220ab-positiv-fest-5-v-1-a-175030.html</t>
  </si>
  <si>
    <t>https://www.banggood.com/200pcs-0_1-220uF-15-Value-Electrolytic-Capacitor-Assortment-Box-Kit-p-1032358.html?rmmds=detail-top-buytogether-auto__9&amp;cur_warehouse=CN</t>
  </si>
  <si>
    <t>Packs</t>
  </si>
  <si>
    <t>P1</t>
  </si>
  <si>
    <t>P2</t>
  </si>
  <si>
    <t>electrolytic capacitors</t>
  </si>
  <si>
    <t>U3</t>
  </si>
  <si>
    <t>Voltage Regulator 10 V</t>
  </si>
  <si>
    <t>Voltage Regulator 5 V</t>
  </si>
  <si>
    <t>Motor Driver</t>
  </si>
  <si>
    <t>JYQD_V6.3e2</t>
  </si>
  <si>
    <t>https://www.ebay.de/itm/263158812858?ViewItem=&amp;item=263158812858</t>
  </si>
  <si>
    <t>R1</t>
  </si>
  <si>
    <t>R2</t>
  </si>
  <si>
    <t>R3</t>
  </si>
  <si>
    <t>R4</t>
  </si>
  <si>
    <t>https://www.banggood.com/de/300Pcs-1-14W-Metal-Film-Resistor-Resistance-30-Values-Assortment-Kit-p-1091920.html?rmmds=detail-bottom-viewalsoview__3&amp;stayold=1&amp;cur_warehouse=CN</t>
  </si>
  <si>
    <t>P3</t>
  </si>
  <si>
    <t>Resistor Pack</t>
  </si>
  <si>
    <t>metal film resistor</t>
  </si>
  <si>
    <t>Metal Film Resistor</t>
  </si>
  <si>
    <t>1M</t>
  </si>
  <si>
    <t>51k</t>
  </si>
  <si>
    <t>300k</t>
  </si>
  <si>
    <t>R5 - R8</t>
  </si>
  <si>
    <t>Load Resistor</t>
  </si>
  <si>
    <t>4R</t>
  </si>
  <si>
    <t>https://www.banggood.com/100W-Watt-Power-Metal-Shell-Case-Wirewound-Resistor-p-89494.html?rmmds=myorder&amp;stayold=1&amp;ID=49542&amp;cur_warehouse=CN</t>
  </si>
  <si>
    <t>From Power Supply</t>
  </si>
  <si>
    <t>D20</t>
  </si>
  <si>
    <t>D21</t>
  </si>
  <si>
    <t>D22</t>
  </si>
  <si>
    <t>D23</t>
  </si>
  <si>
    <t>LED</t>
  </si>
  <si>
    <t>Yellow</t>
  </si>
  <si>
    <t>Blue</t>
  </si>
  <si>
    <t>Red</t>
  </si>
  <si>
    <t>Green</t>
  </si>
  <si>
    <t>R9 - R12</t>
  </si>
  <si>
    <t>200R</t>
  </si>
  <si>
    <t>D24</t>
  </si>
  <si>
    <t>Z-Diode</t>
  </si>
  <si>
    <t>https://www.conrad.de/de/z-diode-bzx79c4v7-gehaeuseart-halbleiter-do-35-on-semiconductor-zener-spannung-47-v-leistung-max-ptot-500-mw-563817.html</t>
  </si>
  <si>
    <t>BZX79C4V7 </t>
  </si>
  <si>
    <t>Other</t>
  </si>
  <si>
    <t>Arduino Mega</t>
  </si>
  <si>
    <t>Mega2560</t>
  </si>
  <si>
    <t>P4</t>
  </si>
  <si>
    <t>LED-Pack</t>
  </si>
  <si>
    <t>100 Pcs 3MM 5 Colors</t>
  </si>
  <si>
    <t>https://www.banggood.com/100Pcs-20Ma-F3-3MM-5Colors-Ultra-Bright-LED-Diode-p-966102.html?rmmds=search&amp;stayold=1&amp;cur_warehouse=CN</t>
  </si>
  <si>
    <t>https://www.banggood.com/Mega2560-R3-ATmega2560-16AU-Control-Board-With-USB-Cable-For-Arduino-p-73020.html?rmmds=search&amp;stayold=1&amp;cur_warehouse=CN</t>
  </si>
  <si>
    <t>U4, U5</t>
  </si>
  <si>
    <t>Current Sensor</t>
  </si>
  <si>
    <t>ACS712 20A</t>
  </si>
  <si>
    <t>https://www.ebay.de/itm/ACS712-20A-Stromsensor-Analogausgang-Current-Sensor-Hall-Sensor-Arduino/401269170566?_trkparms=aid%3D111001%26algo%3DREC.SEED%26ao%3D1%26asc%3D20160908103841%26meid%3D57e635c51f394274b93af9d7c8bea2ce%26pid%3D100227%26rk%3D2%26rkt%3D6%26sd%3D162798921249%26itm%3D401269170566&amp;_trksid=p2054502.c100227.m3827</t>
  </si>
  <si>
    <t>https://www.ebay.de/itm/DS3231-ZS042-AT24C32-IIC-Modul-Precision-RTC-Echtzeituhr-Speicher-fur-Arduino/372369574177?hash=item56b2f4c921%3Ag%3AhmwAAOSw27FbRG7N&amp;_sacat=0&amp;_nkw=ZS042&amp;_from=R40&amp;rt=nc&amp;_trksid=m570.l1313</t>
  </si>
  <si>
    <t>U6</t>
  </si>
  <si>
    <t>Real Time Clock</t>
  </si>
  <si>
    <t>DS3231 ZS042</t>
  </si>
  <si>
    <t>https://www.elv.at/ersatz-anemometer-fuer-die-funk-wetterstation-ws1080-und-ws3080.html</t>
  </si>
  <si>
    <t>Anemometer </t>
  </si>
  <si>
    <t>for WS1080 und WS3080</t>
  </si>
  <si>
    <t>R13</t>
  </si>
  <si>
    <t>10k</t>
  </si>
  <si>
    <t>100k</t>
  </si>
  <si>
    <t>U7</t>
  </si>
  <si>
    <t>MOSFET Driver</t>
  </si>
  <si>
    <t>IR2109PBF DIP-8</t>
  </si>
  <si>
    <t>https://www.conrad.de/de/pmic-gate-treiber-infineon-technologies-ir2109pbf-nicht-invertierend-halbbruecke-dip-8-163094.html</t>
  </si>
  <si>
    <t>L1</t>
  </si>
  <si>
    <t>Inductivity</t>
  </si>
  <si>
    <t>10 A 220uF</t>
  </si>
  <si>
    <t>F1</t>
  </si>
  <si>
    <t>Fuse</t>
  </si>
  <si>
    <t>F2</t>
  </si>
  <si>
    <t>Fuseholder</t>
  </si>
  <si>
    <t>http://www.segor.de/#Q=FKSmini-Halter%252FPrint180%25C2%25B0&amp;M=1</t>
  </si>
  <si>
    <t>FKS 10A</t>
  </si>
  <si>
    <t>http://www.segor.de/#Q=FKS10A%252Fmini&amp;M=1</t>
  </si>
  <si>
    <t>U8</t>
  </si>
  <si>
    <t>Schmitt Trigger</t>
  </si>
  <si>
    <t>https://www.conrad.de/de/logik-ic-gate-und-inverter-texas-instruments-cd4093be-nand-gate-4000b-pdip-14-155684.html</t>
  </si>
  <si>
    <t>NAND-Gate</t>
  </si>
  <si>
    <t>U9</t>
  </si>
  <si>
    <t>MicroSD-Card Modul</t>
  </si>
  <si>
    <t>http://www.segor.de/#Q=MicroSD-CardModul&amp;M=1</t>
  </si>
  <si>
    <t>4 GB micro SD Card</t>
  </si>
  <si>
    <t>https://www.conrad.de/de/transcend-premium-microsdhc-karte-4-gb-class-10-416524.html</t>
  </si>
  <si>
    <t>SW1</t>
  </si>
  <si>
    <t>Switch</t>
  </si>
  <si>
    <t>On/Off/On</t>
  </si>
  <si>
    <t>https://www.conrad.de/de/wippschalter-a125b11000000-250-vac-10-a-1-x-einausein-rastend0rastend-1-st-701653.html</t>
  </si>
  <si>
    <t>https://www.conrad.de/de/schottky-diode-gleichrichter-tru-components-tc-sb5100-do-201-100-v-einzeln-1582136.html</t>
  </si>
  <si>
    <t>J3, J4, J5, J6</t>
  </si>
  <si>
    <t>U10</t>
  </si>
  <si>
    <t>AD-Converter</t>
  </si>
  <si>
    <t>ADS1115</t>
  </si>
  <si>
    <t>https://www.banggood.com/I2C-ADS1115-16-Bit-ADC-4-Channel-Module-With-Programmable-Gain-Amplifier-For-Arduino-RPi-p-1110588.html?rmmds=search&amp;stayold=1&amp;cur_warehouse=CN</t>
  </si>
  <si>
    <t>Thermal Compound</t>
  </si>
  <si>
    <t>http://www.segor.de/#Q=WLP05-Tube&amp;M=1</t>
  </si>
  <si>
    <t>http://www.segor.de/#Q=TA4u7-35&amp;M=1</t>
  </si>
  <si>
    <t>Tantal 4,7uF-35V RM2,5    </t>
  </si>
  <si>
    <t>R14 - R19</t>
  </si>
  <si>
    <t>D25 - D26</t>
  </si>
  <si>
    <t>200 V 820 uF</t>
  </si>
  <si>
    <t>D27, D28</t>
  </si>
  <si>
    <t>TVS-Diode</t>
  </si>
  <si>
    <t>P6KE15A</t>
  </si>
  <si>
    <t>http://www.segor.de/#Q=P6KE15A&amp;M=1</t>
  </si>
  <si>
    <t>http://www.segor.de/#Q=P6KE6%252C8A&amp;M=1</t>
  </si>
  <si>
    <t>P6KE6A8</t>
  </si>
  <si>
    <t>D29</t>
  </si>
  <si>
    <t>R20, R21</t>
  </si>
  <si>
    <t>10R</t>
  </si>
  <si>
    <t>R22, R23</t>
  </si>
  <si>
    <t>100R</t>
  </si>
  <si>
    <t>Teapo LXK 820uF 200V 25x50 2.25A</t>
  </si>
  <si>
    <t>Teapo LXK 200 V, 820 uF</t>
  </si>
  <si>
    <t>HJR-4102-L-12V-S-Z</t>
  </si>
  <si>
    <t>Prototyping Circuit Board</t>
  </si>
  <si>
    <t>TRU COMPONENTS SU527769</t>
  </si>
  <si>
    <t>https://www.conrad.de/de/tru-components-su527769-europlatine-hartpapier-l-x-b-160-mm-x-100-mm-35-m-rastermass-254-mm-inhalt-1-st-1570681.html</t>
  </si>
  <si>
    <t>pin strip male</t>
  </si>
  <si>
    <t>http://www.segor.de/#Q=S1%252C0(25m)&amp;M=1</t>
  </si>
  <si>
    <t>Copper wire</t>
  </si>
  <si>
    <t xml:space="preserve">10 m silver coated </t>
  </si>
  <si>
    <t>Housing</t>
  </si>
  <si>
    <t>Proma 130048 Universal-Housing 168 x 110 x 104</t>
  </si>
  <si>
    <t>https://www.conrad.de/de/proma-130048-universal-gehaeuse-168-x-110-x-104-aluminium-aluminium-1-st-522970.html</t>
  </si>
  <si>
    <t>http://www.segor.de/#Q=W%25C3%25A4rmeleitkissen100x100&amp;M=1</t>
  </si>
  <si>
    <t>Thermal conductive pad</t>
  </si>
  <si>
    <t>100 mm x 100 mm x 1 mm</t>
  </si>
  <si>
    <t>https://www.amazon.de/Female-Female-Male-Female-Male-Male-Steckbr%C3%BCcken-Drahtbr%C3%BCcken-bunt/dp/B01EV70C78/ref=sr_1_3?ie=UTF8&amp;qid=1551111575&amp;sr=8-3&amp;keywords=Male+-+Female+jumper+wire</t>
  </si>
  <si>
    <t>20cm Male - Female</t>
  </si>
  <si>
    <t>Jumper wire</t>
  </si>
  <si>
    <t>Box with crimp spade connectors</t>
  </si>
  <si>
    <t>https://www.amazon.de/dp/B06WP7TZY2/ref=pe_1941441_77686091_tnp_email_TE_Cardp_1?th=1</t>
  </si>
  <si>
    <t>Screw terminal block</t>
  </si>
  <si>
    <t>Schottky-diode</t>
  </si>
  <si>
    <t>Z-diode</t>
  </si>
  <si>
    <t>TVS-diode</t>
  </si>
  <si>
    <t>N-channel MOSFET</t>
  </si>
  <si>
    <t>Electrolytic capacitor</t>
  </si>
  <si>
    <t>Tantalum capacitor</t>
  </si>
  <si>
    <t>Ceramic capacitor</t>
  </si>
  <si>
    <t>Voltage regulator 10 V</t>
  </si>
  <si>
    <t>Voltage regulator 5 V</t>
  </si>
  <si>
    <t>Motor driver</t>
  </si>
  <si>
    <t>Current sensor</t>
  </si>
  <si>
    <t>Real time clock</t>
  </si>
  <si>
    <t>MOSFET driver</t>
  </si>
  <si>
    <t>Schmitt trigger</t>
  </si>
  <si>
    <t>MicroSD-card modul</t>
  </si>
  <si>
    <t>AD-converter</t>
  </si>
  <si>
    <t>Metal film resistor</t>
  </si>
  <si>
    <t>Power resistor</t>
  </si>
  <si>
    <t>Electrolytic capacitors</t>
  </si>
  <si>
    <t>Pin row strip male</t>
  </si>
  <si>
    <t>Resistor pack</t>
  </si>
  <si>
    <t>LED-pack</t>
  </si>
  <si>
    <t>Arduino MEGA</t>
  </si>
  <si>
    <t>4 GB micro SD card</t>
  </si>
  <si>
    <t>Thermal compound</t>
  </si>
  <si>
    <t>https://www.amazon.de/Female-Female-Male-Female-Male-Male-Steckbr%C3%BCcken-Drahtbr%C3%BCcken-bunt/dp/B01EV70C78/</t>
  </si>
  <si>
    <t>https://www.banggood.com/200pcs-0_1-220uF-15-Value-Electrolytic-Capacitor-Assortment-Box-Kit-p-1032358.html</t>
  </si>
  <si>
    <t>https://www.banggood.com/10-Pcs-40-Pin-2_54mm-Single-Row-Male-Pin-Header-Strip-For-Arduino-p-918427.html</t>
  </si>
  <si>
    <t>https://www.banggood.com/de/300Pcs-1-14W-Metal-Film-Resistor-Resistance-30-Values-Assortment-Kit-p-1091920.html</t>
  </si>
  <si>
    <t>https://www.banggood.com/100Pcs-20Ma-F3-3MM-5Colors-Ultra-Bright-LED-Diode-p-966102.html</t>
  </si>
  <si>
    <t>https://www.banggood.com/Geekcreit-MEGA-2560-R3-ATmega2560-MEGA2560-Development-Board-With-USB-Cable-For-Arduino-p-73020.html</t>
  </si>
  <si>
    <t>https://www.banggood.com/100W-Watt-Power-Metal-Shell-Case-Wirewound-Resistor-p-89494.html</t>
  </si>
  <si>
    <t>https://www.ebay.de/itm/ACS712-20A-Stromsensor-Analogausgang-Current-Sensor-Hall-Sensor-Arduino/401269170566</t>
  </si>
  <si>
    <t>https://www.ebay.de/itm/DS3231-ZS042-AT24C32-IIC-Modul-Precision-RTC-Echtzeituhr-Speicher-fur-Arduino/372369574177</t>
  </si>
  <si>
    <t>https://www.banggood.com/I2C-ADS1115-16-Bit-ADC-4-Channel-Module-With-Programmable-Gain-Amplifier-For-Arduino-RPi-p-1110588.html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</si>
</sst>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0.0%"/>
    <numFmt numFmtId="165" formatCode="0.0000"/>
    <numFmt numFmtId="166" formatCode="0.000"/>
    <numFmt numFmtId="167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0" xfId="0" quotePrefix="1"/>
    <xf numFmtId="0" fontId="0" fillId="2" borderId="0" xfId="0" applyFill="1"/>
    <xf numFmtId="44" fontId="0" fillId="2" borderId="0" xfId="1" applyFont="1" applyFill="1"/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2" fontId="1" fillId="0" borderId="3" xfId="0" applyNumberFormat="1" applyFont="1" applyBorder="1"/>
    <xf numFmtId="0" fontId="1" fillId="0" borderId="4" xfId="0" applyFont="1" applyBorder="1"/>
    <xf numFmtId="0" fontId="1" fillId="0" borderId="0" xfId="0" applyFont="1"/>
    <xf numFmtId="2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2" fontId="1" fillId="0" borderId="8" xfId="0" applyNumberFormat="1" applyFont="1" applyBorder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quotePrefix="1" applyBorder="1"/>
    <xf numFmtId="165" fontId="0" fillId="0" borderId="7" xfId="0" applyNumberFormat="1" applyBorder="1"/>
    <xf numFmtId="2" fontId="0" fillId="0" borderId="8" xfId="0" applyNumberFormat="1" applyBorder="1"/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0" xfId="2" applyNumberFormat="1" applyFont="1"/>
    <xf numFmtId="0" fontId="0" fillId="0" borderId="8" xfId="0" applyBorder="1" applyAlignment="1">
      <alignment horizontal="center" vertical="center"/>
    </xf>
    <xf numFmtId="2" fontId="1" fillId="0" borderId="0" xfId="0" applyNumberFormat="1" applyFont="1"/>
    <xf numFmtId="166" fontId="1" fillId="0" borderId="0" xfId="0" applyNumberFormat="1" applyFont="1"/>
    <xf numFmtId="2" fontId="0" fillId="0" borderId="5" xfId="0" applyNumberFormat="1" applyBorder="1"/>
    <xf numFmtId="2" fontId="0" fillId="0" borderId="3" xfId="0" applyNumberFormat="1" applyBorder="1"/>
    <xf numFmtId="0" fontId="4" fillId="0" borderId="0" xfId="3"/>
    <xf numFmtId="167" fontId="1" fillId="0" borderId="0" xfId="0" applyNumberFormat="1" applyFont="1"/>
    <xf numFmtId="1" fontId="1" fillId="0" borderId="0" xfId="0" applyNumberFormat="1" applyFont="1"/>
    <xf numFmtId="2" fontId="1" fillId="2" borderId="5" xfId="0" applyNumberFormat="1" applyFont="1" applyFill="1" applyBorder="1"/>
    <xf numFmtId="0" fontId="1" fillId="2" borderId="2" xfId="0" applyFont="1" applyFill="1" applyBorder="1"/>
    <xf numFmtId="2" fontId="0" fillId="2" borderId="0" xfId="0" applyNumberFormat="1" applyFill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3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22" fontId="6" fillId="0" borderId="0" xfId="0" applyNumberFormat="1" applyFont="1" applyAlignment="1">
      <alignment vertical="center" wrapText="1"/>
    </xf>
    <xf numFmtId="44" fontId="6" fillId="0" borderId="0" xfId="1" applyFont="1" applyAlignment="1">
      <alignment vertical="center"/>
    </xf>
    <xf numFmtId="44" fontId="6" fillId="0" borderId="0" xfId="0" applyNumberFormat="1" applyFont="1" applyAlignment="1">
      <alignment vertical="center"/>
    </xf>
    <xf numFmtId="0" fontId="7" fillId="0" borderId="0" xfId="3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4" fillId="0" borderId="0" xfId="3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44" fontId="6" fillId="0" borderId="9" xfId="0" applyNumberFormat="1" applyFont="1" applyBorder="1" applyAlignment="1">
      <alignment vertical="center"/>
    </xf>
    <xf numFmtId="2" fontId="0" fillId="2" borderId="3" xfId="0" applyNumberFormat="1" applyFill="1" applyBorder="1"/>
    <xf numFmtId="14" fontId="6" fillId="0" borderId="0" xfId="0" applyNumberFormat="1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4" fontId="6" fillId="0" borderId="0" xfId="0" applyNumberFormat="1" applyFont="1" applyBorder="1" applyAlignment="1">
      <alignment vertical="center"/>
    </xf>
    <xf numFmtId="0" fontId="4" fillId="0" borderId="0" xfId="3" applyAlignment="1">
      <alignment horizontal="left" vertical="center" wrapText="1"/>
    </xf>
  </cellXfs>
  <cellStyles count="4">
    <cellStyle name="Link" xfId="3" builtinId="8"/>
    <cellStyle name="Prozent" xfId="2" builtinId="5"/>
    <cellStyle name="Standard" xfId="0" builtinId="0"/>
    <cellStyle name="Währung" xfId="1" builtinId="4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238125</xdr:colOff>
      <xdr:row>8</xdr:row>
      <xdr:rowOff>66675</xdr:rowOff>
    </xdr:from>
    <xdr:to>
      <xdr:col>8</xdr:col>
      <xdr:colOff>94982</xdr:colOff>
      <xdr:row>25</xdr:row>
      <xdr:rowOff>18651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1B23553-4961-4305-8CC1-5B56CE49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4825" y="1590675"/>
          <a:ext cx="2142857" cy="3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68</xdr:row>
      <xdr:rowOff>47625</xdr:rowOff>
    </xdr:from>
    <xdr:to>
      <xdr:col>8</xdr:col>
      <xdr:colOff>133054</xdr:colOff>
      <xdr:row>71</xdr:row>
      <xdr:rowOff>95173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3CDA6F1-1868-4903-8F56-826E336C8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14975" y="9953625"/>
          <a:ext cx="2371429" cy="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87</xdr:row>
      <xdr:rowOff>0</xdr:rowOff>
    </xdr:from>
    <xdr:to>
      <xdr:col>6</xdr:col>
      <xdr:colOff>142499</xdr:colOff>
      <xdr:row>91</xdr:row>
      <xdr:rowOff>142762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7409174C-C338-43A8-8518-8C0E5A38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0" y="16764000"/>
          <a:ext cx="3009524" cy="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135</xdr:row>
      <xdr:rowOff>171450</xdr:rowOff>
    </xdr:from>
    <xdr:to>
      <xdr:col>6</xdr:col>
      <xdr:colOff>704479</xdr:colOff>
      <xdr:row>138</xdr:row>
      <xdr:rowOff>123759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A35179C4-0955-44B7-87FB-A84785B18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05325" y="18840450"/>
          <a:ext cx="2971429" cy="5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135</xdr:row>
      <xdr:rowOff>171450</xdr:rowOff>
    </xdr:from>
    <xdr:to>
      <xdr:col>6</xdr:col>
      <xdr:colOff>704479</xdr:colOff>
      <xdr:row>138</xdr:row>
      <xdr:rowOff>171378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84A70DC9-D505-4BBE-A4B8-4ECA38EDE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05325" y="18840450"/>
          <a:ext cx="2971429" cy="571429"/>
        </a:xfrm>
        <a:prstGeom prst="rect">
          <a:avLst/>
        </a:prstGeom>
      </xdr:spPr>
    </xdr:pic>
    <xdr:clientData/>
  </xdr:twoCellAnchor>
  <xdr:twoCellAnchor>
    <xdr:from>
      <xdr:col>5</xdr:col>
      <xdr:colOff>200025</xdr:colOff>
      <xdr:row>145</xdr:row>
      <xdr:rowOff>38100</xdr:rowOff>
    </xdr:from>
    <xdr:to>
      <xdr:col>9</xdr:col>
      <xdr:colOff>352025</xdr:colOff>
      <xdr:row>162</xdr:row>
      <xdr:rowOff>123409</xdr:rowOff>
    </xdr:to>
    <xdr:grpSp>
      <xdr:nvGrpSpPr>
        <xdr:cNvPr id="12" name="Gruppieren 11">
          <a:extLst>
            <a:ext uri="{FF2B5EF4-FFF2-40B4-BE49-F238E27FC236}">
              <a16:creationId xmlns:a16="http://schemas.microsoft.com/office/drawing/2014/main" id="{9B616837-C7C7-4B1D-85C1-21E7CEB450CF}"/>
            </a:ext>
          </a:extLst>
        </xdr:cNvPr>
        <xdr:cNvGrpSpPr/>
      </xdr:nvGrpSpPr>
      <xdr:grpSpPr>
        <a:xfrm>
          <a:off x="6469207" y="26823555"/>
          <a:ext cx="3200000" cy="3225672"/>
          <a:chOff x="6267450" y="19669125"/>
          <a:chExt cx="3200000" cy="3323809"/>
        </a:xfrm>
      </xdr:grpSpPr>
      <xdr:pic>
        <xdr:nvPicPr>
          <xdr:cNvPr id="10" name="Grafik 9">
            <a:extLst>
              <a:ext uri="{FF2B5EF4-FFF2-40B4-BE49-F238E27FC236}">
                <a16:creationId xmlns:a16="http://schemas.microsoft.com/office/drawing/2014/main" id="{543F11F3-F8D5-41AF-A836-6981D01735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6267450" y="19669125"/>
            <a:ext cx="3200000" cy="3323809"/>
          </a:xfrm>
          <a:prstGeom prst="rect">
            <a:avLst/>
          </a:prstGeom>
        </xdr:spPr>
      </xdr:pic>
      <xdr:sp macro="" textlink="">
        <xdr:nvSpPr>
          <xdr:cNvPr id="11" name="Rechteck 10">
            <a:extLst>
              <a:ext uri="{FF2B5EF4-FFF2-40B4-BE49-F238E27FC236}">
                <a16:creationId xmlns:a16="http://schemas.microsoft.com/office/drawing/2014/main" id="{368975CA-DA45-4655-B633-5A0CB664175E}"/>
              </a:ext>
            </a:extLst>
          </xdr:cNvPr>
          <xdr:cNvSpPr/>
        </xdr:nvSpPr>
        <xdr:spPr>
          <a:xfrm>
            <a:off x="7543800" y="21155025"/>
            <a:ext cx="266700" cy="428625"/>
          </a:xfrm>
          <a:prstGeom prst="rect">
            <a:avLst/>
          </a:prstGeom>
          <a:noFill/>
          <a:ln w="3810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 editAs="oneCell">
    <xdr:from>
      <xdr:col>6</xdr:col>
      <xdr:colOff>352425</xdr:colOff>
      <xdr:row>80</xdr:row>
      <xdr:rowOff>27214</xdr:rowOff>
    </xdr:from>
    <xdr:to>
      <xdr:col>9</xdr:col>
      <xdr:colOff>514044</xdr:colOff>
      <xdr:row>98</xdr:row>
      <xdr:rowOff>93451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45AB55FA-29CC-4287-9E82-3CBB5FB82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82782" y="14541500"/>
          <a:ext cx="2447619" cy="3331951"/>
        </a:xfrm>
        <a:prstGeom prst="rect">
          <a:avLst/>
        </a:prstGeom>
      </xdr:spPr>
    </xdr:pic>
    <xdr:clientData/>
  </xdr:twoCellAnchor>
  <xdr:twoCellAnchor editAs="oneCell">
    <xdr:from>
      <xdr:col>3</xdr:col>
      <xdr:colOff>390071</xdr:colOff>
      <xdr:row>104</xdr:row>
      <xdr:rowOff>126999</xdr:rowOff>
    </xdr:from>
    <xdr:to>
      <xdr:col>6</xdr:col>
      <xdr:colOff>494475</xdr:colOff>
      <xdr:row>107</xdr:row>
      <xdr:rowOff>126926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4345CC28-A781-4624-B813-10F910FBD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54071" y="19176999"/>
          <a:ext cx="3070761" cy="544214"/>
        </a:xfrm>
        <a:prstGeom prst="rect">
          <a:avLst/>
        </a:prstGeom>
      </xdr:spPr>
    </xdr:pic>
    <xdr:clientData/>
  </xdr:twoCellAnchor>
  <xdr:twoCellAnchor editAs="oneCell">
    <xdr:from>
      <xdr:col>3</xdr:col>
      <xdr:colOff>1111250</xdr:colOff>
      <xdr:row>125</xdr:row>
      <xdr:rowOff>15874</xdr:rowOff>
    </xdr:from>
    <xdr:to>
      <xdr:col>6</xdr:col>
      <xdr:colOff>711200</xdr:colOff>
      <xdr:row>130</xdr:row>
      <xdr:rowOff>176698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A5C199DC-7361-4C34-9989-3A8EECC17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8900" y="23218774"/>
          <a:ext cx="2565400" cy="108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84010</xdr:colOff>
      <xdr:row>164</xdr:row>
      <xdr:rowOff>37352</xdr:rowOff>
    </xdr:from>
    <xdr:to>
      <xdr:col>11</xdr:col>
      <xdr:colOff>231234</xdr:colOff>
      <xdr:row>169</xdr:row>
      <xdr:rowOff>89646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E500E891-660D-42FF-96DB-7158C50F9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07657" y="30666764"/>
          <a:ext cx="5555930" cy="986117"/>
        </a:xfrm>
        <a:prstGeom prst="rect">
          <a:avLst/>
        </a:prstGeom>
      </xdr:spPr>
    </xdr:pic>
    <xdr:clientData/>
  </xdr:twoCellAnchor>
  <xdr:twoCellAnchor editAs="oneCell">
    <xdr:from>
      <xdr:col>6</xdr:col>
      <xdr:colOff>417286</xdr:colOff>
      <xdr:row>99</xdr:row>
      <xdr:rowOff>29301</xdr:rowOff>
    </xdr:from>
    <xdr:to>
      <xdr:col>8</xdr:col>
      <xdr:colOff>480786</xdr:colOff>
      <xdr:row>103</xdr:row>
      <xdr:rowOff>95249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487E7CF1-2749-4D52-949E-79ED757FC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47643" y="17990730"/>
          <a:ext cx="1587500" cy="791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22679</xdr:colOff>
      <xdr:row>157</xdr:row>
      <xdr:rowOff>13607</xdr:rowOff>
    </xdr:from>
    <xdr:to>
      <xdr:col>17</xdr:col>
      <xdr:colOff>229054</xdr:colOff>
      <xdr:row>178</xdr:row>
      <xdr:rowOff>168736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D1B77647-034B-487E-8C39-63E2CA1C6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625036" y="28497893"/>
          <a:ext cx="4016375" cy="3965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257175</xdr:colOff>
      <xdr:row>5</xdr:row>
      <xdr:rowOff>122299</xdr:rowOff>
    </xdr:from>
    <xdr:to>
      <xdr:col>10</xdr:col>
      <xdr:colOff>356410</xdr:colOff>
      <xdr:row>20</xdr:row>
      <xdr:rowOff>19049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FBDEF57-9789-4C95-B764-64E26E837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4775" y="1074799"/>
          <a:ext cx="5357035" cy="2725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1062201</xdr:colOff>
      <xdr:row>9</xdr:row>
      <xdr:rowOff>985</xdr:rowOff>
    </xdr:from>
    <xdr:to>
      <xdr:col>10</xdr:col>
      <xdr:colOff>352424</xdr:colOff>
      <xdr:row>41</xdr:row>
      <xdr:rowOff>3821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10290D7-8B14-4169-9316-EAD8EDB1DA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129" t="8333" r="26345" b="4167"/>
        <a:stretch/>
      </xdr:blipFill>
      <xdr:spPr>
        <a:xfrm>
          <a:off x="1062201" y="1715485"/>
          <a:ext cx="7615073" cy="60988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609599</xdr:colOff>
      <xdr:row>67</xdr:row>
      <xdr:rowOff>114301</xdr:rowOff>
    </xdr:from>
    <xdr:to>
      <xdr:col>15</xdr:col>
      <xdr:colOff>431800</xdr:colOff>
      <xdr:row>85</xdr:row>
      <xdr:rowOff>4836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24A6C0C-58B3-495E-B041-B4C1169936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483" t="16863" r="30794" b="53767"/>
        <a:stretch/>
      </xdr:blipFill>
      <xdr:spPr>
        <a:xfrm>
          <a:off x="8572499" y="12452351"/>
          <a:ext cx="3632201" cy="32052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92074</xdr:colOff>
      <xdr:row>4</xdr:row>
      <xdr:rowOff>0</xdr:rowOff>
    </xdr:from>
    <xdr:to>
      <xdr:col>4</xdr:col>
      <xdr:colOff>101600</xdr:colOff>
      <xdr:row>14</xdr:row>
      <xdr:rowOff>147674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BD8AFDE-7A7D-4723-B5DC-6378E77EC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074" y="762000"/>
          <a:ext cx="2295526" cy="2052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310EB1-2C18-482F-B7E0-A48F41CAD254}" name="Tabelle1" displayName="Tabelle1" ref="B10:L21" totalsRowShown="0">
  <autoFilter ref="B10:L21" xr:uid="{6B86080E-E1AB-44F4-8AB7-A2E37A2F31D2}"/>
  <sortState xmlns:xlrd2="http://schemas.microsoft.com/office/spreadsheetml/2017/richdata2" ref="B11:L21">
    <sortCondition ref="B10:B21"/>
  </sortState>
  <tableColumns count="11">
    <tableColumn id="1" xr3:uid="{05C5D8CB-4588-441A-BE02-328860D5A035}" name="Spalte1"/>
    <tableColumn id="2" xr3:uid="{2D92C69C-FAF1-4A5E-B246-EE56F3145F6A}" name="Konfiguration"/>
    <tableColumn id="3" xr3:uid="{75CDCD33-D4EA-486F-BA53-D552A0A3C073}" name="V_IH"/>
    <tableColumn id="4" xr3:uid="{66DE6F92-C21E-4880-9EBC-99442114591C}" name="V_CC"/>
    <tableColumn id="5" xr3:uid="{6A92AD5F-D8A7-4B33-AB78-25039570AA74}" name="t_r"/>
    <tableColumn id="6" xr3:uid="{55BEF698-EC8C-4DEA-838D-D32A18E655BA}" name="t_f"/>
    <tableColumn id="7" xr3:uid="{A0EFCEA5-B026-424F-85A0-DB654E46D1AC}" name="I_O +"/>
    <tableColumn id="12" xr3:uid="{DEB8ADE5-5926-48B3-9935-4539D09CB4DF}" name="DT"/>
    <tableColumn id="8" xr3:uid="{CB9D3D0C-4873-48DC-8EA7-AF2A92BC9B8C}" name="Preis" dataDxfId="0" dataCellStyle="Währung"/>
    <tableColumn id="10" xr3:uid="{51A1A636-2DF2-48B3-9892-A87491FAF1DE}" name="Bemerkung"/>
    <tableColumn id="11" xr3:uid="{B3055A46-AEAA-4E47-9AA8-E146C88E29E8}" name="Wo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BE52EE-D7E1-4E7A-854D-0386E98AA5EB}" name="Tabelle2" displayName="Tabelle2" ref="B36:F38" totalsRowShown="0">
  <autoFilter ref="B36:F38" xr:uid="{91C60B06-96B1-4086-B70F-BA111032E542}"/>
  <tableColumns count="5">
    <tableColumn id="1" xr3:uid="{551F77D5-C6B4-4F95-BF44-4B6241BE1B22}" name="Diode"/>
    <tableColumn id="2" xr3:uid="{1D7D90DD-EF9A-4972-94C1-DB9771379947}" name="V_RRM [V]"/>
    <tableColumn id="3" xr3:uid="{F209DA9B-0A34-4A13-B2DC-5BF9AD946A13}" name="I_F [mA]"/>
    <tableColumn id="4" xr3:uid="{895464D0-2353-462F-8FA4-E6B05F3BCD35}" name="V_F [V] @25°C, 10mA"/>
    <tableColumn id="5" xr3:uid="{ED305CD6-5BF5-42EF-BFE3-298497819DE4}" name="Hab ich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egor.de/" TargetMode="External"/><Relationship Id="rId13" Type="http://schemas.openxmlformats.org/officeDocument/2006/relationships/hyperlink" Target="http://www.segor.de/" TargetMode="External"/><Relationship Id="rId3" Type="http://schemas.openxmlformats.org/officeDocument/2006/relationships/hyperlink" Target="https://www.conrad.de/de/ptr-akz5003ds-508-h-schraubklemmblock-150-mm-polzahl-3-grau-1-st-732037.html" TargetMode="External"/><Relationship Id="rId7" Type="http://schemas.openxmlformats.org/officeDocument/2006/relationships/hyperlink" Target="https://www.conrad.de/de/printrelais-12-vdc-5-a-1-wechsler-tianbo-electronics-hjr-4102-l-12vdc-s-z-1-st-629491.html" TargetMode="External"/><Relationship Id="rId12" Type="http://schemas.openxmlformats.org/officeDocument/2006/relationships/hyperlink" Target="https://www.conrad.de/de/z-diode-bzx79c4v7-gehaeuseart-halbleiter-do-35-on-semiconductor-zener-spannung-47-v-leistung-max-ptot-500-mw-563817.html" TargetMode="External"/><Relationship Id="rId2" Type="http://schemas.openxmlformats.org/officeDocument/2006/relationships/hyperlink" Target="https://www.ebay.de/itm/ACS712-20A-Stromsensor-Analogausgang-Current-Sensor-Hall-Sensor-Arduino/401269170566?_trkparms=aid%3D111001%26algo%3DREC.SEED%26ao%3D1%26asc%3D20160908103841%26meid%3D57e635c51f394274b93af9d7c8bea2ce%26pid%3D100227%26rk%3D2%26rkt%3D6%26sd%3D162798921249%26itm%3D401269170566&amp;_trksid=p2054502.c100227.m3827" TargetMode="External"/><Relationship Id="rId1" Type="http://schemas.openxmlformats.org/officeDocument/2006/relationships/hyperlink" Target="https://www.conrad.de/de/spannungsregler-linear-typ78-on-semiconductor-mc7805ct-to-220ab-positiv-fest-5-v-1-a-175030.html" TargetMode="External"/><Relationship Id="rId6" Type="http://schemas.openxmlformats.org/officeDocument/2006/relationships/hyperlink" Target="https://www.ebay.de/itm/263158812858?ViewItem=&amp;item=263158812858" TargetMode="External"/><Relationship Id="rId11" Type="http://schemas.openxmlformats.org/officeDocument/2006/relationships/hyperlink" Target="https://www.banggood.com/I2C-ADS1115-16-Bit-ADC-4-Channel-Module-With-Programmable-Gain-Amplifier-For-Arduino-RPi-p-1110588.html?rmmds=search&amp;stayold=1&amp;cur_warehouse=CN" TargetMode="External"/><Relationship Id="rId5" Type="http://schemas.openxmlformats.org/officeDocument/2006/relationships/hyperlink" Target="http://www.segor.de/" TargetMode="External"/><Relationship Id="rId10" Type="http://schemas.openxmlformats.org/officeDocument/2006/relationships/hyperlink" Target="https://www.conrad.de/de/logik-ic-gate-und-inverter-texas-instruments-cd4093be-nand-gate-4000b-pdip-14-155684.html" TargetMode="External"/><Relationship Id="rId4" Type="http://schemas.openxmlformats.org/officeDocument/2006/relationships/hyperlink" Target="https://www.ebay.de/itm/DS3231-ZS042-AT24C32-IIC-Modul-Precision-RTC-Echtzeituhr-Speicher-fur-Arduino/372369574177?hash=item56b2f4c921%3Ag%3AhmwAAOSw27FbRG7N&amp;_sacat=0&amp;_nkw=ZS042&amp;_from=R40&amp;rt=nc&amp;_trksid=m570.l1313" TargetMode="External"/><Relationship Id="rId9" Type="http://schemas.openxmlformats.org/officeDocument/2006/relationships/hyperlink" Target="https://www.conrad.de/de/pmic-spannungsregler-linear-ldo-texas-instruments-lm2940t-100nopb-positiv-fest-to-220-3-1014005.htm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rad.de/de/standarddiode-vishay-1n4148-tap-do-204ah-75-v-300-ma-564851.html" TargetMode="External"/><Relationship Id="rId13" Type="http://schemas.openxmlformats.org/officeDocument/2006/relationships/hyperlink" Target="https://www.conrad.de/de/mosfet-infineon-technologies-irfb4410zpbf-1-n-kanal-230-w-to-220ab-160946.html" TargetMode="External"/><Relationship Id="rId18" Type="http://schemas.openxmlformats.org/officeDocument/2006/relationships/hyperlink" Target="http://www.segor.de/" TargetMode="External"/><Relationship Id="rId26" Type="http://schemas.openxmlformats.org/officeDocument/2006/relationships/hyperlink" Target="http://www.segor.de/" TargetMode="External"/><Relationship Id="rId3" Type="http://schemas.openxmlformats.org/officeDocument/2006/relationships/hyperlink" Target="https://www.conrad.de/de/ptr-akz5002ds-508-h-schraubklemmblock-150-mm-polzahl-2-grau-1-st-732023.html" TargetMode="External"/><Relationship Id="rId21" Type="http://schemas.openxmlformats.org/officeDocument/2006/relationships/hyperlink" Target="http://www.segor.de/" TargetMode="External"/><Relationship Id="rId34" Type="http://schemas.openxmlformats.org/officeDocument/2006/relationships/printerSettings" Target="../printerSettings/printerSettings2.bin"/><Relationship Id="rId7" Type="http://schemas.openxmlformats.org/officeDocument/2006/relationships/hyperlink" Target="https://www.conrad.de/de/si-gleichrichterdiode-diotec-1n4007-do-204al-1000-v-1-a-162272.html" TargetMode="External"/><Relationship Id="rId12" Type="http://schemas.openxmlformats.org/officeDocument/2006/relationships/hyperlink" Target="http://www.segor.de/" TargetMode="External"/><Relationship Id="rId17" Type="http://schemas.openxmlformats.org/officeDocument/2006/relationships/hyperlink" Target="http://www.segor.de/" TargetMode="External"/><Relationship Id="rId25" Type="http://schemas.openxmlformats.org/officeDocument/2006/relationships/hyperlink" Target="https://www.conrad.de/de/transcend-premium-microsdhc-karte-4-gb-class-10-416524.html" TargetMode="External"/><Relationship Id="rId33" Type="http://schemas.openxmlformats.org/officeDocument/2006/relationships/hyperlink" Target="https://www.amazon.de/dp/B06WP7TZY2/ref=pe_1941441_77686091_tnp_email_TE_Cardp_1?th=1" TargetMode="External"/><Relationship Id="rId2" Type="http://schemas.openxmlformats.org/officeDocument/2006/relationships/hyperlink" Target="https://www.conrad.de/de/spannungsregler-linear-typ78-on-semiconductor-mc7805ct-to-220ab-positiv-fest-5-v-1-a-175030.html" TargetMode="External"/><Relationship Id="rId16" Type="http://schemas.openxmlformats.org/officeDocument/2006/relationships/hyperlink" Target="http://www.segor.de/" TargetMode="External"/><Relationship Id="rId20" Type="http://schemas.openxmlformats.org/officeDocument/2006/relationships/hyperlink" Target="http://www.segor.de/" TargetMode="External"/><Relationship Id="rId29" Type="http://schemas.openxmlformats.org/officeDocument/2006/relationships/hyperlink" Target="http://www.segor.de/" TargetMode="External"/><Relationship Id="rId1" Type="http://schemas.openxmlformats.org/officeDocument/2006/relationships/hyperlink" Target="https://www.conrad.de/de/ptr-akz5003ds-508-h-schraubklemmblock-150-mm-polzahl-3-grau-1-st-732037.html" TargetMode="External"/><Relationship Id="rId6" Type="http://schemas.openxmlformats.org/officeDocument/2006/relationships/hyperlink" Target="https://www.banggood.com/50pcs-SB5100-5_0A-SCHOTTKY-BARRIER-Diode-100V-5A-p-1210667.html?rmmds=search&amp;cur_warehouse=CN" TargetMode="External"/><Relationship Id="rId11" Type="http://schemas.openxmlformats.org/officeDocument/2006/relationships/hyperlink" Target="http://www.segor.de/" TargetMode="External"/><Relationship Id="rId24" Type="http://schemas.openxmlformats.org/officeDocument/2006/relationships/hyperlink" Target="https://www.elv.at/ersatz-anemometer-fuer-die-funk-wetterstation-ws1080-und-ws3080.html" TargetMode="External"/><Relationship Id="rId32" Type="http://schemas.openxmlformats.org/officeDocument/2006/relationships/hyperlink" Target="https://www.amazon.de/Female-Female-Male-Female-Male-Male-Steckbr%C3%BCcken-Drahtbr%C3%BCcken-bunt/dp/B01EV70C78/" TargetMode="External"/><Relationship Id="rId5" Type="http://schemas.openxmlformats.org/officeDocument/2006/relationships/hyperlink" Target="http://www.segor.de/" TargetMode="External"/><Relationship Id="rId15" Type="http://schemas.openxmlformats.org/officeDocument/2006/relationships/hyperlink" Target="https://www.conrad.de/de/yageo-sy035m0470b5s-1019-elektrolyt-kondensator-radial-bedrahtet-5-mm-470-f-35-v-20-o-x-h-10-mm-x-19-mm-1-st-442613.html" TargetMode="External"/><Relationship Id="rId23" Type="http://schemas.openxmlformats.org/officeDocument/2006/relationships/hyperlink" Target="https://www.conrad.de/de/pmic-spannungsregler-linear-ldo-texas-instruments-lm2940t-100nopb-positiv-fest-to-220-3-1014005.html" TargetMode="External"/><Relationship Id="rId28" Type="http://schemas.openxmlformats.org/officeDocument/2006/relationships/hyperlink" Target="https://www.conrad.de/de/tru-components-su527769-europlatine-hartpapier-l-x-b-160-mm-x-100-mm-35-m-rastermass-254-mm-inhalt-1-st-1570681.html" TargetMode="External"/><Relationship Id="rId10" Type="http://schemas.openxmlformats.org/officeDocument/2006/relationships/hyperlink" Target="https://www.conrad.de/de/standarddiode-vishay-1n4148-tap-do-204ah-75-v-300-ma-564851.html" TargetMode="External"/><Relationship Id="rId19" Type="http://schemas.openxmlformats.org/officeDocument/2006/relationships/hyperlink" Target="http://www.segor.de/" TargetMode="External"/><Relationship Id="rId31" Type="http://schemas.openxmlformats.org/officeDocument/2006/relationships/hyperlink" Target="http://www.segor.de/" TargetMode="External"/><Relationship Id="rId4" Type="http://schemas.openxmlformats.org/officeDocument/2006/relationships/hyperlink" Target="https://www.conrad.de/de/printrelais-12-vdc-5-a-1-wechsler-tianbo-electronics-hjr-4102-l-12vdc-s-z-1-st-629491.html" TargetMode="External"/><Relationship Id="rId9" Type="http://schemas.openxmlformats.org/officeDocument/2006/relationships/hyperlink" Target="https://www.conrad.de/de/z-diode-bzx79c4v7-gehaeuseart-halbleiter-do-35-on-semiconductor-zener-spannung-47-v-leistung-max-ptot-500-mw-563817.html" TargetMode="External"/><Relationship Id="rId14" Type="http://schemas.openxmlformats.org/officeDocument/2006/relationships/hyperlink" Target="https://www.conrad.de/de/mosfet-vishay-irf710pbf-1-n-kanal-36-w-to-220ab-162429.html" TargetMode="External"/><Relationship Id="rId22" Type="http://schemas.openxmlformats.org/officeDocument/2006/relationships/hyperlink" Target="http://www.segor.de/" TargetMode="External"/><Relationship Id="rId27" Type="http://schemas.openxmlformats.org/officeDocument/2006/relationships/hyperlink" Target="https://www.banggood.com/100Pcs-20Ma-F3-3MM-5Colors-Ultra-Bright-LED-Diode-p-966102.html" TargetMode="External"/><Relationship Id="rId30" Type="http://schemas.openxmlformats.org/officeDocument/2006/relationships/hyperlink" Target="https://www.conrad.de/de/proma-130048-universal-gehaeuse-168-x-110-x-104-aluminium-aluminium-1-st-522970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conrad.de/de/elektrolyt-kondensator-radial-bedrahtet-5-mm-470-f-25-v-20-o-x-h-10-mm-x-15-mm-yageo-sy025m0470b5s-1015-1-st-442625.html" TargetMode="External"/><Relationship Id="rId1" Type="http://schemas.openxmlformats.org/officeDocument/2006/relationships/hyperlink" Target="https://www.conrad.de/de/elektrolyt-kondensatoren-o0245812.html?tfo_ATT_NOMINAL_VOLTAGE=200%20V&amp;tfo_ATT_NUM_ELECTRIC_CAPACITY=470%20%C2%B5F~~~560%20%C2%B5F~~~680%20%C2%B5F~~~820%20%C2%B5F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conrad.de/de/mosfet-infineon-technologies-irf9530npbf-1-p-kanal-79-w-to-220-162536.html" TargetMode="External"/><Relationship Id="rId1" Type="http://schemas.openxmlformats.org/officeDocument/2006/relationships/hyperlink" Target="https://www.conrad.de/de/mosfet-infineon-technologies-irf9540npbf-1-p-kanal-140-w-to-220-162537.html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441B-020E-4DB1-BE83-26AE37E20753}">
  <dimension ref="A1:N109"/>
  <sheetViews>
    <sheetView topLeftCell="A75" zoomScale="85" zoomScaleNormal="85" workbookViewId="0">
      <selection activeCell="C91" sqref="C91:J98"/>
    </sheetView>
  </sheetViews>
  <sheetFormatPr baseColWidth="10" defaultColWidth="10.81640625" defaultRowHeight="14.5" x14ac:dyDescent="0.35"/>
  <cols>
    <col min="1" max="1" width="10.81640625" style="46"/>
    <col min="2" max="2" width="20.54296875" style="46" bestFit="1" customWidth="1"/>
    <col min="3" max="3" width="8.7265625" style="55" bestFit="1" customWidth="1"/>
    <col min="4" max="4" width="21.1796875" style="59" customWidth="1"/>
    <col min="5" max="5" width="25.7265625" style="46" bestFit="1" customWidth="1"/>
    <col min="6" max="6" width="95.453125" style="48" customWidth="1"/>
    <col min="7" max="7" width="10.1796875" style="56" bestFit="1" customWidth="1"/>
    <col min="8" max="8" width="30.54296875" style="48" customWidth="1"/>
    <col min="9" max="9" width="15" style="50" bestFit="1" customWidth="1"/>
    <col min="10" max="13" width="10.81640625" style="46"/>
    <col min="14" max="14" width="20.1796875" style="46" bestFit="1" customWidth="1"/>
    <col min="15" max="16384" width="10.81640625" style="46"/>
  </cols>
  <sheetData>
    <row r="1" spans="2:14" x14ac:dyDescent="0.35">
      <c r="B1" s="46" t="s">
        <v>253</v>
      </c>
      <c r="I1" s="46"/>
    </row>
    <row r="2" spans="2:14" x14ac:dyDescent="0.35">
      <c r="H2" s="62">
        <f ca="1">NOW()</f>
        <v>43649.670900578705</v>
      </c>
      <c r="I2" s="46"/>
    </row>
    <row r="3" spans="2:14" x14ac:dyDescent="0.35">
      <c r="I3" s="46"/>
    </row>
    <row r="4" spans="2:14" x14ac:dyDescent="0.35">
      <c r="B4" s="46" t="s">
        <v>254</v>
      </c>
      <c r="C4" s="55" t="s">
        <v>255</v>
      </c>
      <c r="D4" s="59" t="s">
        <v>256</v>
      </c>
      <c r="E4" s="46" t="s">
        <v>257</v>
      </c>
      <c r="F4" s="48" t="s">
        <v>258</v>
      </c>
      <c r="G4" s="56" t="s">
        <v>259</v>
      </c>
      <c r="H4" s="48" t="s">
        <v>260</v>
      </c>
      <c r="I4" s="46" t="s">
        <v>261</v>
      </c>
      <c r="J4" s="48" t="s">
        <v>262</v>
      </c>
      <c r="L4" s="46" t="s">
        <v>263</v>
      </c>
      <c r="N4" s="46" t="s">
        <v>264</v>
      </c>
    </row>
    <row r="5" spans="2:14" x14ac:dyDescent="0.35">
      <c r="B5" s="46" t="s">
        <v>265</v>
      </c>
      <c r="C5" s="55">
        <v>2</v>
      </c>
      <c r="D5" s="59" t="s">
        <v>266</v>
      </c>
      <c r="E5" s="46" t="s">
        <v>267</v>
      </c>
      <c r="F5" s="54" t="s">
        <v>268</v>
      </c>
      <c r="G5" s="56">
        <v>1</v>
      </c>
      <c r="H5" s="62">
        <v>43291.695103240738</v>
      </c>
      <c r="I5" s="50">
        <v>0.37</v>
      </c>
      <c r="J5" s="51">
        <f>IF(G5,ROUNDUP(C5/G5,0)*I5,0)</f>
        <v>0.74</v>
      </c>
      <c r="L5" s="46" t="s">
        <v>14</v>
      </c>
    </row>
    <row r="6" spans="2:14" x14ac:dyDescent="0.35">
      <c r="B6" s="46" t="s">
        <v>417</v>
      </c>
      <c r="C6" s="55">
        <v>4</v>
      </c>
      <c r="D6" s="59" t="s">
        <v>266</v>
      </c>
      <c r="E6" s="46" t="s">
        <v>269</v>
      </c>
      <c r="F6" s="48" t="s">
        <v>270</v>
      </c>
      <c r="G6" s="56">
        <v>1</v>
      </c>
      <c r="H6" s="62">
        <v>43291.695103240738</v>
      </c>
      <c r="I6" s="50">
        <v>0.22</v>
      </c>
      <c r="J6" s="51">
        <f t="shared" ref="J6:J94" si="0">IF(G6,ROUNDUP(C6/G6,0)*I6,0)</f>
        <v>0.88</v>
      </c>
      <c r="L6" s="46" t="s">
        <v>14</v>
      </c>
    </row>
    <row r="7" spans="2:14" x14ac:dyDescent="0.35">
      <c r="H7" s="62"/>
      <c r="J7" s="51">
        <f>IF(G80,ROUNDUP(C7/G80,0)*I80,0)</f>
        <v>0</v>
      </c>
    </row>
    <row r="8" spans="2:14" x14ac:dyDescent="0.35">
      <c r="H8" s="62"/>
      <c r="J8" s="51">
        <f t="shared" si="0"/>
        <v>0</v>
      </c>
    </row>
    <row r="9" spans="2:14" x14ac:dyDescent="0.35">
      <c r="H9" s="62"/>
      <c r="J9" s="51">
        <f t="shared" si="0"/>
        <v>0</v>
      </c>
    </row>
    <row r="10" spans="2:14" x14ac:dyDescent="0.35">
      <c r="H10" s="62"/>
      <c r="J10" s="51">
        <f t="shared" si="0"/>
        <v>0</v>
      </c>
    </row>
    <row r="11" spans="2:14" ht="29" x14ac:dyDescent="0.35">
      <c r="B11" s="46" t="s">
        <v>272</v>
      </c>
      <c r="C11" s="55">
        <v>3</v>
      </c>
      <c r="D11" s="59" t="s">
        <v>216</v>
      </c>
      <c r="E11" s="46" t="s">
        <v>442</v>
      </c>
      <c r="F11" s="54" t="s">
        <v>221</v>
      </c>
      <c r="G11" s="56">
        <v>1</v>
      </c>
      <c r="H11" s="62">
        <v>43291.695103240738</v>
      </c>
      <c r="I11" s="50">
        <v>0.9</v>
      </c>
      <c r="J11" s="51">
        <f t="shared" si="0"/>
        <v>2.7</v>
      </c>
    </row>
    <row r="12" spans="2:14" x14ac:dyDescent="0.35">
      <c r="B12" s="46" t="s">
        <v>274</v>
      </c>
      <c r="C12" s="55">
        <v>1</v>
      </c>
      <c r="D12" s="59" t="s">
        <v>216</v>
      </c>
      <c r="E12" s="46" t="s">
        <v>275</v>
      </c>
      <c r="F12" s="54" t="s">
        <v>235</v>
      </c>
      <c r="G12" s="56">
        <v>1</v>
      </c>
      <c r="H12" s="62">
        <v>43291.695103240738</v>
      </c>
      <c r="I12" s="50">
        <v>2.9</v>
      </c>
      <c r="J12" s="51">
        <f t="shared" si="0"/>
        <v>2.9</v>
      </c>
      <c r="L12" s="46" t="s">
        <v>14</v>
      </c>
    </row>
    <row r="13" spans="2:14" x14ac:dyDescent="0.35">
      <c r="H13" s="62"/>
      <c r="J13" s="51">
        <f t="shared" si="0"/>
        <v>0</v>
      </c>
    </row>
    <row r="14" spans="2:14" x14ac:dyDescent="0.35">
      <c r="H14" s="62"/>
      <c r="J14" s="51">
        <f t="shared" si="0"/>
        <v>0</v>
      </c>
    </row>
    <row r="15" spans="2:14" x14ac:dyDescent="0.35">
      <c r="H15" s="62"/>
      <c r="J15" s="51">
        <f t="shared" si="0"/>
        <v>0</v>
      </c>
    </row>
    <row r="16" spans="2:14" ht="29" x14ac:dyDescent="0.35">
      <c r="B16" s="46" t="s">
        <v>276</v>
      </c>
      <c r="C16" s="55">
        <v>10</v>
      </c>
      <c r="D16" s="59" t="s">
        <v>277</v>
      </c>
      <c r="E16" s="46" t="s">
        <v>278</v>
      </c>
      <c r="F16" s="48" t="s">
        <v>279</v>
      </c>
      <c r="G16" s="56">
        <v>50</v>
      </c>
      <c r="H16" s="62">
        <v>43291.695103240738</v>
      </c>
      <c r="J16" s="51">
        <f t="shared" si="0"/>
        <v>0</v>
      </c>
      <c r="L16" s="46" t="s">
        <v>14</v>
      </c>
      <c r="N16" s="46" t="s">
        <v>416</v>
      </c>
    </row>
    <row r="17" spans="2:14" x14ac:dyDescent="0.35">
      <c r="B17" s="46" t="s">
        <v>280</v>
      </c>
      <c r="C17" s="55">
        <v>1</v>
      </c>
      <c r="D17" s="59" t="s">
        <v>78</v>
      </c>
      <c r="E17" s="46" t="s">
        <v>281</v>
      </c>
      <c r="F17" s="48" t="s">
        <v>282</v>
      </c>
      <c r="G17" s="56">
        <v>1</v>
      </c>
      <c r="H17" s="62">
        <v>43292.473694560184</v>
      </c>
      <c r="I17" s="50">
        <v>0.08</v>
      </c>
      <c r="J17" s="51">
        <f t="shared" si="0"/>
        <v>0.08</v>
      </c>
    </row>
    <row r="18" spans="2:14" x14ac:dyDescent="0.35">
      <c r="B18" s="46" t="s">
        <v>283</v>
      </c>
      <c r="C18" s="55">
        <v>8</v>
      </c>
      <c r="D18" s="59" t="s">
        <v>78</v>
      </c>
      <c r="E18" s="46" t="s">
        <v>284</v>
      </c>
      <c r="F18" s="48" t="s">
        <v>285</v>
      </c>
      <c r="G18" s="56">
        <v>1</v>
      </c>
      <c r="H18" s="62">
        <v>43292.487442824073</v>
      </c>
      <c r="I18" s="50">
        <v>0.05</v>
      </c>
      <c r="J18" s="51">
        <f t="shared" si="0"/>
        <v>0.4</v>
      </c>
    </row>
    <row r="19" spans="2:14" x14ac:dyDescent="0.35">
      <c r="B19" s="46" t="s">
        <v>352</v>
      </c>
      <c r="C19" s="55">
        <v>1</v>
      </c>
      <c r="D19" s="59" t="s">
        <v>356</v>
      </c>
      <c r="E19" s="46" t="s">
        <v>357</v>
      </c>
      <c r="H19" s="62"/>
      <c r="J19" s="51">
        <f t="shared" si="0"/>
        <v>0</v>
      </c>
    </row>
    <row r="20" spans="2:14" x14ac:dyDescent="0.35">
      <c r="B20" s="46" t="s">
        <v>353</v>
      </c>
      <c r="C20" s="55">
        <v>1</v>
      </c>
      <c r="D20" s="59" t="s">
        <v>356</v>
      </c>
      <c r="E20" s="46" t="s">
        <v>358</v>
      </c>
      <c r="H20" s="62"/>
      <c r="J20" s="51">
        <f t="shared" si="0"/>
        <v>0</v>
      </c>
    </row>
    <row r="21" spans="2:14" x14ac:dyDescent="0.35">
      <c r="B21" s="46" t="s">
        <v>354</v>
      </c>
      <c r="C21" s="55">
        <v>1</v>
      </c>
      <c r="D21" s="59" t="s">
        <v>356</v>
      </c>
      <c r="E21" s="46" t="s">
        <v>359</v>
      </c>
      <c r="H21" s="62"/>
      <c r="J21" s="51">
        <f t="shared" si="0"/>
        <v>0</v>
      </c>
    </row>
    <row r="22" spans="2:14" x14ac:dyDescent="0.35">
      <c r="B22" s="46" t="s">
        <v>355</v>
      </c>
      <c r="C22" s="55">
        <v>1</v>
      </c>
      <c r="D22" s="59" t="s">
        <v>356</v>
      </c>
      <c r="E22" s="46" t="s">
        <v>360</v>
      </c>
      <c r="H22" s="62"/>
      <c r="J22" s="51">
        <f t="shared" si="0"/>
        <v>0</v>
      </c>
    </row>
    <row r="23" spans="2:14" ht="29" x14ac:dyDescent="0.35">
      <c r="B23" s="46" t="s">
        <v>363</v>
      </c>
      <c r="C23" s="55">
        <v>1</v>
      </c>
      <c r="D23" s="59" t="s">
        <v>364</v>
      </c>
      <c r="E23" s="46" t="s">
        <v>366</v>
      </c>
      <c r="F23" s="54" t="s">
        <v>365</v>
      </c>
      <c r="G23" s="56">
        <v>1</v>
      </c>
      <c r="H23" s="62">
        <v>43297.645229861111</v>
      </c>
      <c r="I23" s="50">
        <v>0.14000000000000001</v>
      </c>
      <c r="J23" s="51">
        <f t="shared" si="0"/>
        <v>0.14000000000000001</v>
      </c>
    </row>
    <row r="24" spans="2:14" x14ac:dyDescent="0.35">
      <c r="B24" s="46" t="s">
        <v>427</v>
      </c>
      <c r="C24" s="55">
        <v>2</v>
      </c>
      <c r="D24" s="59" t="s">
        <v>78</v>
      </c>
      <c r="E24" s="46" t="s">
        <v>284</v>
      </c>
      <c r="F24" s="48" t="s">
        <v>285</v>
      </c>
      <c r="G24" s="56">
        <v>1</v>
      </c>
      <c r="H24" s="62">
        <v>43292.487442824073</v>
      </c>
      <c r="I24" s="50">
        <v>0.05</v>
      </c>
      <c r="J24" s="51">
        <f t="shared" ref="J24:J25" si="1">IF(G24,ROUNDUP(C24/G24,0)*I24,0)</f>
        <v>0.1</v>
      </c>
    </row>
    <row r="25" spans="2:14" x14ac:dyDescent="0.35">
      <c r="B25" s="46" t="s">
        <v>429</v>
      </c>
      <c r="C25" s="55">
        <v>2</v>
      </c>
      <c r="D25" s="59" t="s">
        <v>430</v>
      </c>
      <c r="E25" s="46" t="s">
        <v>431</v>
      </c>
      <c r="F25" s="48" t="s">
        <v>432</v>
      </c>
      <c r="G25" s="56">
        <v>1</v>
      </c>
      <c r="H25" s="62">
        <v>43333.65805578704</v>
      </c>
      <c r="I25" s="50">
        <v>0.3</v>
      </c>
      <c r="J25" s="51">
        <f t="shared" si="1"/>
        <v>0.6</v>
      </c>
    </row>
    <row r="26" spans="2:14" x14ac:dyDescent="0.35">
      <c r="B26" s="46" t="s">
        <v>435</v>
      </c>
      <c r="C26" s="55">
        <v>1</v>
      </c>
      <c r="D26" s="59" t="s">
        <v>430</v>
      </c>
      <c r="E26" s="46" t="s">
        <v>434</v>
      </c>
      <c r="F26" s="48" t="s">
        <v>433</v>
      </c>
      <c r="G26" s="56">
        <v>1</v>
      </c>
      <c r="H26" s="62">
        <v>43333.65805578704</v>
      </c>
      <c r="I26" s="50">
        <v>0.3</v>
      </c>
      <c r="J26" s="51">
        <f t="shared" si="0"/>
        <v>0.3</v>
      </c>
    </row>
    <row r="27" spans="2:14" x14ac:dyDescent="0.35">
      <c r="H27" s="62"/>
      <c r="J27" s="51">
        <f t="shared" si="0"/>
        <v>0</v>
      </c>
    </row>
    <row r="28" spans="2:14" x14ac:dyDescent="0.35">
      <c r="H28" s="62"/>
      <c r="J28" s="51">
        <f t="shared" si="0"/>
        <v>0</v>
      </c>
    </row>
    <row r="29" spans="2:14" x14ac:dyDescent="0.35">
      <c r="B29" s="46" t="s">
        <v>286</v>
      </c>
      <c r="C29" s="55">
        <v>4</v>
      </c>
      <c r="D29" s="59" t="s">
        <v>287</v>
      </c>
      <c r="E29" s="46" t="s">
        <v>288</v>
      </c>
      <c r="F29" s="48" t="s">
        <v>289</v>
      </c>
      <c r="G29" s="56">
        <v>1</v>
      </c>
      <c r="H29" s="62">
        <v>43292.592436805557</v>
      </c>
      <c r="I29" s="50">
        <v>0.82</v>
      </c>
      <c r="J29" s="51">
        <f t="shared" si="0"/>
        <v>3.28</v>
      </c>
    </row>
    <row r="30" spans="2:14" x14ac:dyDescent="0.35">
      <c r="B30" s="46" t="s">
        <v>290</v>
      </c>
      <c r="C30" s="55">
        <v>1</v>
      </c>
      <c r="D30" s="59" t="s">
        <v>287</v>
      </c>
      <c r="E30" s="46" t="s">
        <v>291</v>
      </c>
      <c r="F30" s="48" t="s">
        <v>292</v>
      </c>
      <c r="G30" s="56">
        <v>1</v>
      </c>
      <c r="H30" s="62">
        <v>43292.594520023151</v>
      </c>
      <c r="I30" s="50">
        <v>0.28000000000000003</v>
      </c>
      <c r="J30" s="51">
        <f t="shared" si="0"/>
        <v>0.28000000000000003</v>
      </c>
      <c r="N30" s="46" t="s">
        <v>293</v>
      </c>
    </row>
    <row r="31" spans="2:14" x14ac:dyDescent="0.35">
      <c r="H31" s="62"/>
      <c r="J31" s="51">
        <f t="shared" si="0"/>
        <v>0</v>
      </c>
    </row>
    <row r="32" spans="2:14" x14ac:dyDescent="0.35">
      <c r="H32" s="62"/>
      <c r="J32" s="51">
        <f t="shared" si="0"/>
        <v>0</v>
      </c>
    </row>
    <row r="33" spans="2:12" x14ac:dyDescent="0.35">
      <c r="B33" s="46" t="s">
        <v>294</v>
      </c>
      <c r="C33" s="55">
        <v>2</v>
      </c>
      <c r="D33" s="59" t="s">
        <v>295</v>
      </c>
      <c r="E33" s="46" t="s">
        <v>441</v>
      </c>
      <c r="F33" s="48" t="s">
        <v>351</v>
      </c>
      <c r="H33" s="62"/>
      <c r="J33" s="51">
        <f t="shared" si="0"/>
        <v>0</v>
      </c>
    </row>
    <row r="34" spans="2:12" ht="29" x14ac:dyDescent="0.35">
      <c r="B34" s="46" t="s">
        <v>296</v>
      </c>
      <c r="C34" s="55">
        <v>2</v>
      </c>
      <c r="D34" s="59" t="s">
        <v>295</v>
      </c>
      <c r="E34" s="47" t="s">
        <v>297</v>
      </c>
      <c r="F34" s="48" t="s">
        <v>298</v>
      </c>
      <c r="G34" s="56">
        <v>1</v>
      </c>
      <c r="H34" s="62">
        <v>43292.759553587966</v>
      </c>
      <c r="I34" s="50">
        <v>0.24</v>
      </c>
      <c r="J34" s="51">
        <f t="shared" si="0"/>
        <v>0.48</v>
      </c>
      <c r="L34" s="46" t="s">
        <v>14</v>
      </c>
    </row>
    <row r="35" spans="2:12" x14ac:dyDescent="0.35">
      <c r="B35" s="46" t="s">
        <v>299</v>
      </c>
      <c r="C35" s="55">
        <v>1</v>
      </c>
      <c r="D35" s="59" t="s">
        <v>300</v>
      </c>
      <c r="E35" s="46" t="s">
        <v>301</v>
      </c>
      <c r="F35" s="48" t="s">
        <v>302</v>
      </c>
      <c r="G35" s="56">
        <v>1</v>
      </c>
      <c r="H35" s="62">
        <v>43293.693740393515</v>
      </c>
      <c r="I35" s="50">
        <v>0.5</v>
      </c>
      <c r="J35" s="51">
        <f t="shared" si="0"/>
        <v>0.5</v>
      </c>
      <c r="L35" s="46" t="s">
        <v>14</v>
      </c>
    </row>
    <row r="36" spans="2:12" x14ac:dyDescent="0.35">
      <c r="B36" s="46" t="s">
        <v>303</v>
      </c>
      <c r="C36" s="55">
        <v>1</v>
      </c>
      <c r="D36" s="59" t="s">
        <v>295</v>
      </c>
      <c r="E36" s="46" t="s">
        <v>304</v>
      </c>
      <c r="F36" s="48" t="s">
        <v>326</v>
      </c>
      <c r="H36" s="62"/>
      <c r="J36" s="51">
        <f t="shared" si="0"/>
        <v>0</v>
      </c>
    </row>
    <row r="37" spans="2:12" x14ac:dyDescent="0.35">
      <c r="B37" s="46" t="s">
        <v>305</v>
      </c>
      <c r="C37" s="55">
        <v>1</v>
      </c>
      <c r="D37" s="59" t="s">
        <v>295</v>
      </c>
      <c r="E37" s="46" t="s">
        <v>306</v>
      </c>
      <c r="F37" s="48" t="s">
        <v>326</v>
      </c>
      <c r="H37" s="62"/>
      <c r="J37" s="51">
        <f t="shared" si="0"/>
        <v>0</v>
      </c>
    </row>
    <row r="38" spans="2:12" x14ac:dyDescent="0.35">
      <c r="B38" s="46" t="s">
        <v>307</v>
      </c>
      <c r="C38" s="55">
        <v>2</v>
      </c>
      <c r="D38" s="59" t="s">
        <v>308</v>
      </c>
      <c r="E38" s="46" t="s">
        <v>309</v>
      </c>
      <c r="F38" s="48" t="s">
        <v>310</v>
      </c>
      <c r="G38" s="56">
        <v>1</v>
      </c>
      <c r="H38" s="62">
        <v>43293.705655092592</v>
      </c>
      <c r="I38" s="50">
        <v>0.1</v>
      </c>
      <c r="J38" s="51">
        <f t="shared" si="0"/>
        <v>0.2</v>
      </c>
      <c r="L38" s="46" t="s">
        <v>14</v>
      </c>
    </row>
    <row r="39" spans="2:12" x14ac:dyDescent="0.35">
      <c r="B39" s="46" t="s">
        <v>311</v>
      </c>
      <c r="C39" s="55">
        <v>1</v>
      </c>
      <c r="D39" s="59" t="s">
        <v>295</v>
      </c>
      <c r="E39" s="46" t="s">
        <v>312</v>
      </c>
      <c r="F39" s="48" t="s">
        <v>326</v>
      </c>
      <c r="H39" s="62"/>
      <c r="J39" s="51">
        <f t="shared" si="0"/>
        <v>0</v>
      </c>
    </row>
    <row r="40" spans="2:12" x14ac:dyDescent="0.35">
      <c r="H40" s="62"/>
      <c r="J40" s="51">
        <f t="shared" si="0"/>
        <v>0</v>
      </c>
    </row>
    <row r="41" spans="2:12" x14ac:dyDescent="0.35">
      <c r="B41" s="46" t="s">
        <v>313</v>
      </c>
      <c r="C41" s="55">
        <v>3</v>
      </c>
      <c r="D41" s="59" t="s">
        <v>308</v>
      </c>
      <c r="E41" s="46" t="s">
        <v>314</v>
      </c>
      <c r="F41" s="54" t="s">
        <v>315</v>
      </c>
      <c r="G41" s="56">
        <v>1</v>
      </c>
      <c r="H41" s="62">
        <v>43293.711408333336</v>
      </c>
      <c r="I41" s="50">
        <v>0.09</v>
      </c>
      <c r="J41" s="51">
        <f t="shared" si="0"/>
        <v>0.27</v>
      </c>
    </row>
    <row r="42" spans="2:12" x14ac:dyDescent="0.35">
      <c r="B42" s="46" t="s">
        <v>316</v>
      </c>
      <c r="C42" s="55">
        <v>1</v>
      </c>
      <c r="D42" s="59" t="s">
        <v>300</v>
      </c>
      <c r="E42" s="46" t="s">
        <v>425</v>
      </c>
      <c r="F42" s="48" t="s">
        <v>424</v>
      </c>
      <c r="G42" s="56">
        <v>1</v>
      </c>
      <c r="H42" s="62">
        <v>43298.573879629628</v>
      </c>
      <c r="I42" s="50">
        <v>0.5</v>
      </c>
      <c r="J42" s="51">
        <f t="shared" si="0"/>
        <v>0.5</v>
      </c>
    </row>
    <row r="43" spans="2:12" x14ac:dyDescent="0.35">
      <c r="B43" s="46" t="s">
        <v>317</v>
      </c>
      <c r="C43" s="55">
        <v>1</v>
      </c>
      <c r="D43" s="59" t="s">
        <v>308</v>
      </c>
      <c r="E43" s="46" t="s">
        <v>309</v>
      </c>
      <c r="F43" s="48" t="s">
        <v>310</v>
      </c>
      <c r="G43" s="56">
        <v>1</v>
      </c>
      <c r="H43" s="62">
        <v>43293.711408333336</v>
      </c>
      <c r="I43" s="50">
        <v>0.1</v>
      </c>
      <c r="J43" s="51">
        <f t="shared" si="0"/>
        <v>0.1</v>
      </c>
    </row>
    <row r="44" spans="2:12" x14ac:dyDescent="0.35">
      <c r="H44" s="62"/>
      <c r="J44" s="51">
        <f t="shared" si="0"/>
        <v>0</v>
      </c>
    </row>
    <row r="45" spans="2:12" x14ac:dyDescent="0.35">
      <c r="H45" s="62"/>
      <c r="J45" s="51">
        <f t="shared" si="0"/>
        <v>0</v>
      </c>
    </row>
    <row r="46" spans="2:12" x14ac:dyDescent="0.35">
      <c r="B46" s="46" t="s">
        <v>396</v>
      </c>
      <c r="C46" s="55">
        <v>1</v>
      </c>
      <c r="D46" s="59" t="s">
        <v>399</v>
      </c>
      <c r="E46" s="46" t="s">
        <v>152</v>
      </c>
      <c r="F46" s="48" t="s">
        <v>400</v>
      </c>
      <c r="G46" s="56">
        <v>1</v>
      </c>
      <c r="H46" s="62">
        <v>43297.666197916667</v>
      </c>
      <c r="I46" s="50">
        <v>1.5</v>
      </c>
      <c r="J46" s="51">
        <f t="shared" si="0"/>
        <v>1.5</v>
      </c>
    </row>
    <row r="47" spans="2:12" x14ac:dyDescent="0.35">
      <c r="B47" s="46" t="s">
        <v>398</v>
      </c>
      <c r="C47" s="55">
        <v>1</v>
      </c>
      <c r="D47" s="59" t="s">
        <v>397</v>
      </c>
      <c r="E47" s="46" t="s">
        <v>401</v>
      </c>
      <c r="F47" s="48" t="s">
        <v>402</v>
      </c>
      <c r="G47" s="56">
        <v>1</v>
      </c>
      <c r="H47" s="62">
        <v>43297.666197916667</v>
      </c>
      <c r="I47" s="50">
        <v>0.35</v>
      </c>
      <c r="J47" s="51">
        <f t="shared" si="0"/>
        <v>0.35</v>
      </c>
    </row>
    <row r="48" spans="2:12" x14ac:dyDescent="0.35">
      <c r="H48" s="62"/>
      <c r="J48" s="51">
        <f t="shared" si="0"/>
        <v>0</v>
      </c>
    </row>
    <row r="49" spans="2:12" ht="29" x14ac:dyDescent="0.35">
      <c r="B49" s="46" t="s">
        <v>318</v>
      </c>
      <c r="C49" s="55">
        <v>1</v>
      </c>
      <c r="D49" s="59" t="s">
        <v>330</v>
      </c>
      <c r="E49" s="46" t="s">
        <v>319</v>
      </c>
      <c r="F49" s="54" t="s">
        <v>320</v>
      </c>
      <c r="G49" s="56">
        <v>1</v>
      </c>
      <c r="H49" s="62">
        <v>43293.722933912039</v>
      </c>
      <c r="I49" s="50">
        <v>1.1000000000000001</v>
      </c>
      <c r="J49" s="51">
        <f t="shared" si="0"/>
        <v>1.1000000000000001</v>
      </c>
    </row>
    <row r="50" spans="2:12" ht="29" x14ac:dyDescent="0.35">
      <c r="B50" s="46" t="s">
        <v>321</v>
      </c>
      <c r="C50" s="55">
        <v>1</v>
      </c>
      <c r="D50" s="59" t="s">
        <v>331</v>
      </c>
      <c r="E50" s="46" t="s">
        <v>322</v>
      </c>
      <c r="F50" s="54" t="s">
        <v>323</v>
      </c>
      <c r="G50" s="56">
        <v>1</v>
      </c>
      <c r="H50" s="62">
        <v>43293.693740393515</v>
      </c>
      <c r="I50" s="50">
        <v>0.2</v>
      </c>
      <c r="J50" s="51">
        <f t="shared" si="0"/>
        <v>0.2</v>
      </c>
      <c r="L50" s="46" t="s">
        <v>14</v>
      </c>
    </row>
    <row r="51" spans="2:12" x14ac:dyDescent="0.35">
      <c r="B51" s="46" t="s">
        <v>329</v>
      </c>
      <c r="C51" s="55">
        <v>1</v>
      </c>
      <c r="D51" s="59" t="s">
        <v>332</v>
      </c>
      <c r="E51" s="46" t="s">
        <v>333</v>
      </c>
      <c r="F51" s="54" t="s">
        <v>334</v>
      </c>
      <c r="G51" s="56">
        <v>1</v>
      </c>
      <c r="H51" s="62">
        <v>43297.548625000003</v>
      </c>
      <c r="I51" s="50">
        <v>8.3800000000000008</v>
      </c>
      <c r="J51" s="51">
        <f t="shared" si="0"/>
        <v>8.3800000000000008</v>
      </c>
    </row>
    <row r="52" spans="2:12" ht="58" x14ac:dyDescent="0.35">
      <c r="B52" s="46" t="s">
        <v>375</v>
      </c>
      <c r="C52" s="55">
        <v>2</v>
      </c>
      <c r="D52" s="59" t="s">
        <v>376</v>
      </c>
      <c r="E52" s="46" t="s">
        <v>377</v>
      </c>
      <c r="F52" s="54" t="s">
        <v>378</v>
      </c>
      <c r="G52" s="56">
        <v>1</v>
      </c>
      <c r="H52" s="62">
        <v>43297.651937037037</v>
      </c>
      <c r="I52" s="50">
        <v>2.4</v>
      </c>
      <c r="J52" s="51">
        <f t="shared" si="0"/>
        <v>4.8</v>
      </c>
    </row>
    <row r="53" spans="2:12" ht="43.5" x14ac:dyDescent="0.35">
      <c r="B53" s="46" t="s">
        <v>380</v>
      </c>
      <c r="C53" s="55">
        <v>1</v>
      </c>
      <c r="D53" s="59" t="s">
        <v>381</v>
      </c>
      <c r="E53" s="49" t="s">
        <v>382</v>
      </c>
      <c r="F53" s="54" t="s">
        <v>379</v>
      </c>
      <c r="G53" s="56">
        <v>1</v>
      </c>
      <c r="H53" s="62">
        <v>43297.654019675923</v>
      </c>
      <c r="I53" s="50">
        <v>1.29</v>
      </c>
      <c r="J53" s="51">
        <f t="shared" si="0"/>
        <v>1.29</v>
      </c>
    </row>
    <row r="54" spans="2:12" ht="29" x14ac:dyDescent="0.35">
      <c r="B54" s="46" t="s">
        <v>389</v>
      </c>
      <c r="C54" s="55">
        <v>1</v>
      </c>
      <c r="D54" s="59" t="s">
        <v>390</v>
      </c>
      <c r="E54" s="53" t="s">
        <v>391</v>
      </c>
      <c r="F54" s="52" t="s">
        <v>392</v>
      </c>
      <c r="G54" s="56">
        <v>1</v>
      </c>
      <c r="H54" s="62">
        <v>43297.659046180554</v>
      </c>
      <c r="I54" s="50">
        <v>3.13</v>
      </c>
      <c r="J54" s="51">
        <f t="shared" si="0"/>
        <v>3.13</v>
      </c>
    </row>
    <row r="55" spans="2:12" ht="29" x14ac:dyDescent="0.35">
      <c r="B55" s="46" t="s">
        <v>403</v>
      </c>
      <c r="C55" s="55">
        <v>1</v>
      </c>
      <c r="D55" s="59" t="s">
        <v>404</v>
      </c>
      <c r="E55" s="46" t="s">
        <v>406</v>
      </c>
      <c r="F55" s="54" t="s">
        <v>405</v>
      </c>
      <c r="G55" s="56">
        <v>1</v>
      </c>
      <c r="H55" s="62">
        <v>43297.672900115744</v>
      </c>
      <c r="I55" s="50">
        <v>0.5</v>
      </c>
      <c r="J55" s="51">
        <f t="shared" si="0"/>
        <v>0.5</v>
      </c>
    </row>
    <row r="56" spans="2:12" x14ac:dyDescent="0.35">
      <c r="B56" s="46" t="s">
        <v>407</v>
      </c>
      <c r="C56" s="55">
        <v>1</v>
      </c>
      <c r="D56" s="59" t="s">
        <v>408</v>
      </c>
      <c r="E56" s="47" t="s">
        <v>408</v>
      </c>
      <c r="F56" s="54" t="s">
        <v>409</v>
      </c>
      <c r="G56" s="56">
        <v>1</v>
      </c>
      <c r="H56" s="62">
        <v>43297.674955787035</v>
      </c>
      <c r="I56" s="50">
        <v>3.5</v>
      </c>
      <c r="J56" s="51">
        <f t="shared" si="0"/>
        <v>3.5</v>
      </c>
    </row>
    <row r="57" spans="2:12" ht="29" x14ac:dyDescent="0.35">
      <c r="B57" s="46" t="s">
        <v>418</v>
      </c>
      <c r="C57" s="55">
        <v>1</v>
      </c>
      <c r="D57" s="59" t="s">
        <v>419</v>
      </c>
      <c r="E57" s="46" t="s">
        <v>420</v>
      </c>
      <c r="F57" s="54" t="s">
        <v>421</v>
      </c>
      <c r="G57" s="56">
        <v>1</v>
      </c>
      <c r="H57" s="62">
        <v>43297.743844791665</v>
      </c>
      <c r="I57" s="50">
        <v>3.35</v>
      </c>
      <c r="J57" s="51">
        <f t="shared" si="0"/>
        <v>3.35</v>
      </c>
    </row>
    <row r="58" spans="2:12" x14ac:dyDescent="0.35">
      <c r="F58" s="52"/>
      <c r="H58" s="62"/>
      <c r="J58" s="51">
        <f t="shared" si="0"/>
        <v>0</v>
      </c>
    </row>
    <row r="59" spans="2:12" x14ac:dyDescent="0.35">
      <c r="F59" s="52"/>
      <c r="H59" s="62"/>
      <c r="J59" s="51">
        <f t="shared" si="0"/>
        <v>0</v>
      </c>
    </row>
    <row r="60" spans="2:12" x14ac:dyDescent="0.35">
      <c r="F60" s="52"/>
      <c r="H60" s="62"/>
      <c r="J60" s="51">
        <f t="shared" si="0"/>
        <v>0</v>
      </c>
    </row>
    <row r="61" spans="2:12" ht="29" x14ac:dyDescent="0.35">
      <c r="B61" s="46" t="s">
        <v>412</v>
      </c>
      <c r="C61" s="55">
        <v>1</v>
      </c>
      <c r="D61" s="59" t="s">
        <v>413</v>
      </c>
      <c r="E61" s="46" t="s">
        <v>414</v>
      </c>
      <c r="F61" s="52" t="s">
        <v>415</v>
      </c>
      <c r="G61" s="56">
        <v>1</v>
      </c>
      <c r="H61" s="62">
        <v>43297.706548148148</v>
      </c>
      <c r="I61" s="50">
        <v>1.29</v>
      </c>
      <c r="J61" s="51">
        <f t="shared" si="0"/>
        <v>1.29</v>
      </c>
      <c r="L61" s="46" t="s">
        <v>95</v>
      </c>
    </row>
    <row r="62" spans="2:12" x14ac:dyDescent="0.35">
      <c r="F62" s="52"/>
      <c r="H62" s="62"/>
      <c r="J62" s="51">
        <f t="shared" si="0"/>
        <v>0</v>
      </c>
    </row>
    <row r="63" spans="2:12" x14ac:dyDescent="0.35">
      <c r="B63" s="46" t="s">
        <v>335</v>
      </c>
      <c r="C63" s="55">
        <v>1</v>
      </c>
      <c r="D63" s="59" t="s">
        <v>343</v>
      </c>
      <c r="E63" s="46" t="s">
        <v>344</v>
      </c>
      <c r="F63" s="48" t="s">
        <v>340</v>
      </c>
      <c r="H63" s="62"/>
      <c r="J63" s="51">
        <f t="shared" si="0"/>
        <v>0</v>
      </c>
    </row>
    <row r="64" spans="2:12" x14ac:dyDescent="0.35">
      <c r="B64" s="46" t="s">
        <v>336</v>
      </c>
      <c r="C64" s="55">
        <v>1</v>
      </c>
      <c r="D64" s="59" t="s">
        <v>343</v>
      </c>
      <c r="E64" s="46" t="s">
        <v>345</v>
      </c>
      <c r="F64" s="48" t="s">
        <v>340</v>
      </c>
      <c r="H64" s="62"/>
      <c r="J64" s="51">
        <f t="shared" si="0"/>
        <v>0</v>
      </c>
    </row>
    <row r="65" spans="1:10" x14ac:dyDescent="0.35">
      <c r="B65" s="46" t="s">
        <v>337</v>
      </c>
      <c r="C65" s="55">
        <v>1</v>
      </c>
      <c r="D65" s="59" t="s">
        <v>343</v>
      </c>
      <c r="E65" s="46" t="s">
        <v>344</v>
      </c>
      <c r="F65" s="48" t="s">
        <v>340</v>
      </c>
      <c r="H65" s="62"/>
      <c r="J65" s="51">
        <f t="shared" si="0"/>
        <v>0</v>
      </c>
    </row>
    <row r="66" spans="1:10" x14ac:dyDescent="0.35">
      <c r="B66" s="46" t="s">
        <v>338</v>
      </c>
      <c r="C66" s="55">
        <v>1</v>
      </c>
      <c r="D66" s="59" t="s">
        <v>343</v>
      </c>
      <c r="E66" s="46" t="s">
        <v>346</v>
      </c>
      <c r="F66" s="48" t="s">
        <v>340</v>
      </c>
      <c r="H66" s="62"/>
      <c r="J66" s="51">
        <f t="shared" si="0"/>
        <v>0</v>
      </c>
    </row>
    <row r="67" spans="1:10" ht="29" x14ac:dyDescent="0.35">
      <c r="B67" s="46" t="s">
        <v>347</v>
      </c>
      <c r="C67" s="55">
        <v>4</v>
      </c>
      <c r="D67" s="59" t="s">
        <v>348</v>
      </c>
      <c r="E67" s="46" t="s">
        <v>349</v>
      </c>
      <c r="F67" s="48" t="s">
        <v>350</v>
      </c>
      <c r="G67" s="56">
        <v>1</v>
      </c>
      <c r="H67" s="62">
        <v>43297.634141087961</v>
      </c>
      <c r="I67" s="50">
        <v>2.57</v>
      </c>
      <c r="J67" s="51">
        <f t="shared" si="0"/>
        <v>10.28</v>
      </c>
    </row>
    <row r="68" spans="1:10" x14ac:dyDescent="0.35">
      <c r="B68" s="46" t="s">
        <v>361</v>
      </c>
      <c r="C68" s="55">
        <v>4</v>
      </c>
      <c r="D68" s="59" t="s">
        <v>343</v>
      </c>
      <c r="E68" s="46" t="s">
        <v>362</v>
      </c>
      <c r="F68" s="48" t="s">
        <v>340</v>
      </c>
      <c r="H68" s="62"/>
      <c r="J68" s="51">
        <f t="shared" si="0"/>
        <v>0</v>
      </c>
    </row>
    <row r="69" spans="1:10" x14ac:dyDescent="0.35">
      <c r="B69" s="46" t="s">
        <v>386</v>
      </c>
      <c r="C69" s="55">
        <v>1</v>
      </c>
      <c r="D69" s="59" t="s">
        <v>343</v>
      </c>
      <c r="E69" s="46" t="s">
        <v>388</v>
      </c>
      <c r="F69" s="48" t="s">
        <v>340</v>
      </c>
      <c r="H69" s="62"/>
      <c r="J69" s="51">
        <f t="shared" si="0"/>
        <v>0</v>
      </c>
    </row>
    <row r="70" spans="1:10" x14ac:dyDescent="0.35">
      <c r="B70" s="46" t="s">
        <v>426</v>
      </c>
      <c r="C70" s="55">
        <v>3</v>
      </c>
      <c r="D70" s="59" t="s">
        <v>343</v>
      </c>
      <c r="E70" s="46" t="s">
        <v>387</v>
      </c>
      <c r="F70" s="48" t="s">
        <v>340</v>
      </c>
      <c r="H70" s="62"/>
      <c r="J70" s="51">
        <f t="shared" si="0"/>
        <v>0</v>
      </c>
    </row>
    <row r="71" spans="1:10" x14ac:dyDescent="0.35">
      <c r="B71" s="46" t="s">
        <v>436</v>
      </c>
      <c r="C71" s="55">
        <v>2</v>
      </c>
      <c r="D71" s="59" t="s">
        <v>343</v>
      </c>
      <c r="E71" s="46" t="s">
        <v>437</v>
      </c>
      <c r="F71" s="48" t="s">
        <v>340</v>
      </c>
      <c r="H71" s="62"/>
      <c r="J71" s="51">
        <f t="shared" si="0"/>
        <v>0</v>
      </c>
    </row>
    <row r="72" spans="1:10" x14ac:dyDescent="0.35">
      <c r="B72" s="46" t="s">
        <v>438</v>
      </c>
      <c r="C72" s="55">
        <v>2</v>
      </c>
      <c r="D72" s="59" t="s">
        <v>343</v>
      </c>
      <c r="E72" s="46" t="s">
        <v>439</v>
      </c>
      <c r="F72" s="48" t="s">
        <v>340</v>
      </c>
      <c r="H72" s="62"/>
      <c r="J72" s="51"/>
    </row>
    <row r="73" spans="1:10" x14ac:dyDescent="0.35">
      <c r="H73" s="62"/>
      <c r="J73" s="51">
        <f t="shared" si="0"/>
        <v>0</v>
      </c>
    </row>
    <row r="74" spans="1:10" x14ac:dyDescent="0.35">
      <c r="H74" s="62"/>
      <c r="J74" s="51">
        <f t="shared" si="0"/>
        <v>0</v>
      </c>
    </row>
    <row r="75" spans="1:10" x14ac:dyDescent="0.35">
      <c r="B75" s="46" t="s">
        <v>393</v>
      </c>
      <c r="C75" s="55">
        <v>1</v>
      </c>
      <c r="D75" s="59" t="s">
        <v>394</v>
      </c>
      <c r="E75" s="46" t="s">
        <v>395</v>
      </c>
      <c r="F75" s="48" t="s">
        <v>351</v>
      </c>
      <c r="H75" s="62"/>
      <c r="J75" s="51">
        <f t="shared" si="0"/>
        <v>0</v>
      </c>
    </row>
    <row r="76" spans="1:10" x14ac:dyDescent="0.35">
      <c r="H76" s="62"/>
      <c r="J76" s="51">
        <f t="shared" si="0"/>
        <v>0</v>
      </c>
    </row>
    <row r="77" spans="1:10" x14ac:dyDescent="0.35">
      <c r="H77" s="62"/>
      <c r="J77" s="51">
        <f t="shared" si="0"/>
        <v>0</v>
      </c>
    </row>
    <row r="78" spans="1:10" x14ac:dyDescent="0.35">
      <c r="H78" s="62"/>
      <c r="J78" s="51">
        <f t="shared" si="0"/>
        <v>0</v>
      </c>
    </row>
    <row r="79" spans="1:10" ht="29" x14ac:dyDescent="0.35">
      <c r="A79" s="46" t="s">
        <v>325</v>
      </c>
      <c r="B79" s="48" t="s">
        <v>326</v>
      </c>
      <c r="C79" s="55">
        <v>1</v>
      </c>
      <c r="D79" s="59" t="s">
        <v>328</v>
      </c>
      <c r="F79" s="48" t="s">
        <v>324</v>
      </c>
      <c r="G79" s="56">
        <v>1</v>
      </c>
      <c r="H79" s="62">
        <v>43293.698256249998</v>
      </c>
      <c r="I79" s="50">
        <v>3.76</v>
      </c>
      <c r="J79" s="51">
        <f t="shared" si="0"/>
        <v>3.76</v>
      </c>
    </row>
    <row r="80" spans="1:10" ht="29" x14ac:dyDescent="0.35">
      <c r="B80" s="48" t="s">
        <v>327</v>
      </c>
      <c r="C80" s="55">
        <v>10</v>
      </c>
      <c r="D80" s="59" t="s">
        <v>446</v>
      </c>
      <c r="F80" s="48" t="s">
        <v>271</v>
      </c>
      <c r="G80" s="56">
        <v>10</v>
      </c>
      <c r="H80" s="62">
        <v>43291.695103240738</v>
      </c>
      <c r="I80" s="50">
        <v>3.42</v>
      </c>
      <c r="J80" s="51">
        <f t="shared" si="0"/>
        <v>3.42</v>
      </c>
    </row>
    <row r="81" spans="1:12" ht="29" x14ac:dyDescent="0.35">
      <c r="B81" s="46" t="s">
        <v>340</v>
      </c>
      <c r="C81" s="55">
        <v>1</v>
      </c>
      <c r="D81" s="59" t="s">
        <v>341</v>
      </c>
      <c r="E81" s="46" t="s">
        <v>342</v>
      </c>
      <c r="F81" s="48" t="s">
        <v>339</v>
      </c>
      <c r="G81" s="56">
        <v>1</v>
      </c>
      <c r="H81" s="62">
        <v>43297.645359027774</v>
      </c>
      <c r="I81" s="50">
        <v>2.3199999999999998</v>
      </c>
      <c r="J81" s="51">
        <f t="shared" si="0"/>
        <v>2.3199999999999998</v>
      </c>
    </row>
    <row r="82" spans="1:12" ht="29" x14ac:dyDescent="0.35">
      <c r="B82" s="46" t="s">
        <v>370</v>
      </c>
      <c r="C82" s="55">
        <v>1</v>
      </c>
      <c r="D82" s="59" t="s">
        <v>371</v>
      </c>
      <c r="E82" s="46" t="s">
        <v>372</v>
      </c>
      <c r="F82" s="48" t="s">
        <v>373</v>
      </c>
      <c r="G82" s="56">
        <v>1</v>
      </c>
      <c r="H82" s="62">
        <v>43297.64859571759</v>
      </c>
      <c r="I82" s="50">
        <v>1.74</v>
      </c>
      <c r="J82" s="51">
        <f t="shared" si="0"/>
        <v>1.74</v>
      </c>
    </row>
    <row r="83" spans="1:12" x14ac:dyDescent="0.35">
      <c r="H83" s="62"/>
      <c r="J83" s="51"/>
    </row>
    <row r="84" spans="1:12" x14ac:dyDescent="0.35">
      <c r="H84" s="62"/>
      <c r="J84" s="51"/>
    </row>
    <row r="85" spans="1:12" x14ac:dyDescent="0.35">
      <c r="H85" s="62"/>
      <c r="J85" s="51"/>
    </row>
    <row r="86" spans="1:12" x14ac:dyDescent="0.35">
      <c r="H86" s="62"/>
      <c r="J86" s="51">
        <f t="shared" si="0"/>
        <v>0</v>
      </c>
    </row>
    <row r="87" spans="1:12" ht="29" x14ac:dyDescent="0.35">
      <c r="A87" s="46" t="s">
        <v>367</v>
      </c>
      <c r="C87" s="55">
        <v>1</v>
      </c>
      <c r="D87" s="59" t="s">
        <v>368</v>
      </c>
      <c r="E87" s="46" t="s">
        <v>369</v>
      </c>
      <c r="F87" s="48" t="s">
        <v>374</v>
      </c>
      <c r="G87" s="56">
        <v>1</v>
      </c>
      <c r="H87" s="62">
        <v>43297.649516087964</v>
      </c>
      <c r="I87" s="50">
        <v>9.0299999999999994</v>
      </c>
      <c r="J87" s="51">
        <f t="shared" si="0"/>
        <v>9.0299999999999994</v>
      </c>
    </row>
    <row r="88" spans="1:12" x14ac:dyDescent="0.35">
      <c r="C88" s="55">
        <v>1</v>
      </c>
      <c r="D88" s="59" t="s">
        <v>384</v>
      </c>
      <c r="E88" s="46" t="s">
        <v>385</v>
      </c>
      <c r="F88" s="48" t="s">
        <v>383</v>
      </c>
      <c r="G88" s="56">
        <v>1</v>
      </c>
      <c r="H88" s="62">
        <v>43297.656046990742</v>
      </c>
      <c r="I88" s="50">
        <v>9.9499999999999993</v>
      </c>
      <c r="J88" s="51">
        <f t="shared" si="0"/>
        <v>9.9499999999999993</v>
      </c>
    </row>
    <row r="89" spans="1:12" x14ac:dyDescent="0.35">
      <c r="C89" s="55">
        <v>1</v>
      </c>
      <c r="D89" s="59" t="s">
        <v>410</v>
      </c>
      <c r="F89" s="48" t="s">
        <v>411</v>
      </c>
      <c r="G89" s="56">
        <v>1</v>
      </c>
      <c r="H89" s="62">
        <v>43297.751759375002</v>
      </c>
      <c r="I89" s="50">
        <v>6.69</v>
      </c>
      <c r="J89" s="51">
        <f t="shared" si="0"/>
        <v>6.69</v>
      </c>
    </row>
    <row r="90" spans="1:12" x14ac:dyDescent="0.35">
      <c r="C90" s="55">
        <v>1</v>
      </c>
      <c r="D90" s="48" t="s">
        <v>422</v>
      </c>
      <c r="F90" s="48" t="s">
        <v>423</v>
      </c>
      <c r="G90" s="56">
        <v>1</v>
      </c>
      <c r="H90" s="62">
        <v>43297.751759375002</v>
      </c>
      <c r="I90" s="50">
        <v>1.5</v>
      </c>
      <c r="J90" s="51">
        <f t="shared" si="0"/>
        <v>1.5</v>
      </c>
      <c r="L90" s="46" t="s">
        <v>14</v>
      </c>
    </row>
    <row r="91" spans="1:12" ht="29" x14ac:dyDescent="0.35">
      <c r="C91" s="55">
        <v>1</v>
      </c>
      <c r="D91" s="59" t="s">
        <v>443</v>
      </c>
      <c r="E91" s="46" t="s">
        <v>444</v>
      </c>
      <c r="F91" s="48" t="s">
        <v>445</v>
      </c>
      <c r="G91" s="56">
        <v>1</v>
      </c>
      <c r="H91" s="62">
        <v>43518.659962962964</v>
      </c>
      <c r="I91" s="50">
        <v>3.69</v>
      </c>
      <c r="J91" s="51">
        <f t="shared" si="0"/>
        <v>3.69</v>
      </c>
    </row>
    <row r="92" spans="1:12" x14ac:dyDescent="0.35">
      <c r="C92" s="55">
        <v>1</v>
      </c>
      <c r="D92" s="59" t="s">
        <v>448</v>
      </c>
      <c r="E92" s="46" t="s">
        <v>449</v>
      </c>
      <c r="F92" s="59" t="s">
        <v>447</v>
      </c>
      <c r="G92" s="56">
        <v>1</v>
      </c>
      <c r="H92" s="62">
        <v>43521.498985879633</v>
      </c>
      <c r="I92" s="50">
        <v>9.9</v>
      </c>
      <c r="J92" s="51">
        <f t="shared" si="0"/>
        <v>9.9</v>
      </c>
    </row>
    <row r="93" spans="1:12" ht="29" x14ac:dyDescent="0.35">
      <c r="C93" s="55">
        <v>1</v>
      </c>
      <c r="D93" s="59" t="s">
        <v>450</v>
      </c>
      <c r="E93" s="48" t="s">
        <v>451</v>
      </c>
      <c r="F93" s="48" t="s">
        <v>452</v>
      </c>
      <c r="G93" s="56">
        <v>1</v>
      </c>
      <c r="H93" s="62">
        <v>43521.498985879633</v>
      </c>
      <c r="I93" s="50">
        <v>30.99</v>
      </c>
      <c r="J93" s="51">
        <f t="shared" si="0"/>
        <v>30.99</v>
      </c>
    </row>
    <row r="94" spans="1:12" x14ac:dyDescent="0.35">
      <c r="C94" s="55">
        <v>1</v>
      </c>
      <c r="D94" s="59" t="s">
        <v>454</v>
      </c>
      <c r="E94" s="48" t="s">
        <v>455</v>
      </c>
      <c r="F94" s="48" t="s">
        <v>453</v>
      </c>
      <c r="G94" s="56">
        <v>1</v>
      </c>
      <c r="H94" s="62">
        <v>43521.498985879633</v>
      </c>
      <c r="I94" s="50">
        <v>6.4</v>
      </c>
      <c r="J94" s="51">
        <f t="shared" si="0"/>
        <v>6.4</v>
      </c>
    </row>
    <row r="95" spans="1:12" ht="29" x14ac:dyDescent="0.35">
      <c r="C95" s="55">
        <v>20</v>
      </c>
      <c r="D95" s="59" t="s">
        <v>458</v>
      </c>
      <c r="E95" s="46" t="s">
        <v>457</v>
      </c>
      <c r="F95" s="48" t="s">
        <v>456</v>
      </c>
      <c r="G95" s="56">
        <v>20</v>
      </c>
      <c r="H95" s="62">
        <v>43521.498985879633</v>
      </c>
      <c r="I95" s="50">
        <v>5.94</v>
      </c>
      <c r="J95" s="51">
        <f t="shared" ref="J95" si="2">IF(G95,ROUNDUP(C95/G95,0)*I95,0)</f>
        <v>5.94</v>
      </c>
    </row>
    <row r="96" spans="1:12" ht="29" x14ac:dyDescent="0.35">
      <c r="C96" s="55">
        <v>1</v>
      </c>
      <c r="D96" s="59" t="s">
        <v>459</v>
      </c>
      <c r="F96" s="48" t="s">
        <v>460</v>
      </c>
      <c r="G96" s="56">
        <v>1</v>
      </c>
      <c r="H96" s="62">
        <v>43521.498985879633</v>
      </c>
      <c r="I96" s="50">
        <v>16.989999999999998</v>
      </c>
      <c r="J96" s="51">
        <f t="shared" ref="J96" si="3">IF(G96,ROUNDUP(C96/G96,0)*I96,0)</f>
        <v>16.989999999999998</v>
      </c>
    </row>
    <row r="97" spans="8:10" x14ac:dyDescent="0.35">
      <c r="H97" s="62"/>
      <c r="J97" s="51"/>
    </row>
    <row r="98" spans="8:10" x14ac:dyDescent="0.35">
      <c r="J98" s="51">
        <f>SUM(J5:J97)</f>
        <v>166.44000000000003</v>
      </c>
    </row>
    <row r="105" spans="8:10" x14ac:dyDescent="0.35">
      <c r="J105" s="51"/>
    </row>
    <row r="109" spans="8:10" x14ac:dyDescent="0.35">
      <c r="J109" s="46">
        <f>+J108</f>
        <v>0</v>
      </c>
    </row>
  </sheetData>
  <hyperlinks>
    <hyperlink ref="F50" r:id="rId1" xr:uid="{9087FCA1-1BCB-4CFA-A07A-C8C81274EE1E}"/>
    <hyperlink ref="F52" r:id="rId2" display="https://www.ebay.de/itm/ACS712-20A-Stromsensor-Analogausgang-Current-Sensor-Hall-Sensor-Arduino/401269170566?_trkparms=aid%3D111001%26algo%3DREC.SEED%26ao%3D1%26asc%3D20160908103841%26meid%3D57e635c51f394274b93af9d7c8bea2ce%26pid%3D100227%26rk%3D2%26rkt%3D6%26sd%3D162798921249%26itm%3D401269170566&amp;_trksid=p2054502.c100227.m3827" xr:uid="{47DDD234-526E-4D26-B699-E3361EF7DE1B}"/>
    <hyperlink ref="F5" r:id="rId3" xr:uid="{2E82E32F-DAD1-4071-9FE0-04DA582B18F6}"/>
    <hyperlink ref="F53" r:id="rId4" xr:uid="{E02E43B8-7B05-4D6E-92B6-4164BA700C53}"/>
    <hyperlink ref="F41" r:id="rId5" location="Q=u10-R5.0-Z5U&amp;M=1" xr:uid="{91678445-2EFD-4C26-B8E9-EBBA462B3780}"/>
    <hyperlink ref="F51" r:id="rId6" xr:uid="{C9878001-1A9D-4261-9976-C02E7CC3CF7F}"/>
    <hyperlink ref="F11" r:id="rId7" xr:uid="{B7927D4A-8B6C-4BA4-96BB-704627801B76}"/>
    <hyperlink ref="F12" r:id="rId8" location="Q=RT424-12&amp;M=1" xr:uid="{934BAC71-3230-457E-9DC4-C7B68D4947EC}"/>
    <hyperlink ref="F49" r:id="rId9" xr:uid="{A3F0B31B-2FEF-40F7-9677-7F9537F3F6A7}"/>
    <hyperlink ref="F55" r:id="rId10" xr:uid="{7E237512-C59E-4B55-989F-CBB79DFCE52D}"/>
    <hyperlink ref="F57" r:id="rId11" xr:uid="{831F2E32-112B-402F-AF24-1B1712535A69}"/>
    <hyperlink ref="F23" r:id="rId12" xr:uid="{2999D229-E42D-4983-8E04-66B91E31A503}"/>
    <hyperlink ref="F56" r:id="rId13" location="Q=MicroSD-CardModul&amp;M=1" xr:uid="{C8AA5AB5-471A-4B33-940E-E16E95CE5D98}"/>
  </hyperlinks>
  <pageMargins left="0.7" right="0.7" top="0.78740157499999996" bottom="0.78740157499999996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EEC81-1413-4EF0-9E8F-6BD431B39E7B}">
  <sheetPr>
    <pageSetUpPr fitToPage="1"/>
  </sheetPr>
  <dimension ref="A1:I79"/>
  <sheetViews>
    <sheetView tabSelected="1" zoomScaleNormal="100" workbookViewId="0"/>
  </sheetViews>
  <sheetFormatPr baseColWidth="10" defaultColWidth="10.81640625" defaultRowHeight="14.5" x14ac:dyDescent="0.35"/>
  <cols>
    <col min="1" max="1" width="13" style="55" bestFit="1" customWidth="1"/>
    <col min="2" max="2" width="9" style="55" bestFit="1" customWidth="1"/>
    <col min="3" max="3" width="14.54296875" style="59" customWidth="1"/>
    <col min="4" max="4" width="15.6328125" style="48" customWidth="1"/>
    <col min="5" max="5" width="35.7265625" style="48" customWidth="1"/>
    <col min="6" max="6" width="7.1796875" style="56" customWidth="1"/>
    <col min="7" max="7" width="15" style="48" bestFit="1" customWidth="1"/>
    <col min="8" max="8" width="8.08984375" style="50" customWidth="1"/>
    <col min="9" max="9" width="8.90625" style="46" customWidth="1"/>
    <col min="10" max="12" width="10.81640625" style="46"/>
    <col min="13" max="13" width="20.1796875" style="46" bestFit="1" customWidth="1"/>
    <col min="14" max="16384" width="10.81640625" style="46"/>
  </cols>
  <sheetData>
    <row r="1" spans="1:9" ht="285.5" customHeight="1" x14ac:dyDescent="0.35"/>
    <row r="2" spans="1:9" s="57" customFormat="1" ht="31" x14ac:dyDescent="0.35">
      <c r="A2" s="57" t="s">
        <v>254</v>
      </c>
      <c r="B2" s="57" t="s">
        <v>255</v>
      </c>
      <c r="C2" s="58" t="s">
        <v>256</v>
      </c>
      <c r="D2" s="58" t="s">
        <v>257</v>
      </c>
      <c r="E2" s="58" t="s">
        <v>258</v>
      </c>
      <c r="F2" s="58" t="s">
        <v>259</v>
      </c>
      <c r="G2" s="58" t="s">
        <v>260</v>
      </c>
      <c r="H2" s="57" t="s">
        <v>261</v>
      </c>
      <c r="I2" s="58" t="s">
        <v>262</v>
      </c>
    </row>
    <row r="3" spans="1:9" ht="43.5" x14ac:dyDescent="0.35">
      <c r="A3" s="55" t="s">
        <v>265</v>
      </c>
      <c r="B3" s="55">
        <v>2</v>
      </c>
      <c r="C3" s="59" t="s">
        <v>461</v>
      </c>
      <c r="D3" s="48" t="s">
        <v>267</v>
      </c>
      <c r="E3" s="54" t="s">
        <v>268</v>
      </c>
      <c r="F3" s="56">
        <v>1</v>
      </c>
      <c r="G3" s="49">
        <v>43291.695103240738</v>
      </c>
      <c r="H3" s="50">
        <v>0.37</v>
      </c>
      <c r="I3" s="51">
        <f>IF(F3,ROUNDUP(B3/F3,0)*H3,0)</f>
        <v>0.74</v>
      </c>
    </row>
    <row r="4" spans="1:9" ht="43.5" x14ac:dyDescent="0.35">
      <c r="A4" s="55" t="s">
        <v>417</v>
      </c>
      <c r="B4" s="55">
        <v>4</v>
      </c>
      <c r="C4" s="59" t="s">
        <v>461</v>
      </c>
      <c r="D4" s="48" t="s">
        <v>269</v>
      </c>
      <c r="E4" s="54" t="s">
        <v>270</v>
      </c>
      <c r="F4" s="56">
        <v>1</v>
      </c>
      <c r="G4" s="49">
        <v>43291.695103240738</v>
      </c>
      <c r="H4" s="50">
        <v>0.22</v>
      </c>
      <c r="I4" s="51">
        <f>IF(F4,ROUNDUP(B4/F4,0)*H4,0)</f>
        <v>0.88</v>
      </c>
    </row>
    <row r="5" spans="1:9" x14ac:dyDescent="0.35">
      <c r="I5" s="51"/>
    </row>
    <row r="6" spans="1:9" ht="43.5" x14ac:dyDescent="0.35">
      <c r="A6" s="55" t="s">
        <v>272</v>
      </c>
      <c r="B6" s="55">
        <v>3</v>
      </c>
      <c r="C6" s="59" t="s">
        <v>216</v>
      </c>
      <c r="D6" s="48" t="s">
        <v>273</v>
      </c>
      <c r="E6" s="54" t="s">
        <v>221</v>
      </c>
      <c r="F6" s="56">
        <v>1</v>
      </c>
      <c r="G6" s="49">
        <v>43291.695103240738</v>
      </c>
      <c r="H6" s="50">
        <v>0.9</v>
      </c>
      <c r="I6" s="51">
        <f>IF(F6,ROUNDUP(B6/F6,0)*H6,0)</f>
        <v>2.7</v>
      </c>
    </row>
    <row r="7" spans="1:9" ht="29" x14ac:dyDescent="0.35">
      <c r="A7" s="55" t="s">
        <v>274</v>
      </c>
      <c r="B7" s="55">
        <v>1</v>
      </c>
      <c r="C7" s="59" t="s">
        <v>216</v>
      </c>
      <c r="D7" s="48" t="s">
        <v>275</v>
      </c>
      <c r="E7" s="54" t="s">
        <v>235</v>
      </c>
      <c r="F7" s="56">
        <v>1</v>
      </c>
      <c r="G7" s="49">
        <v>43291.695103240738</v>
      </c>
      <c r="H7" s="50">
        <v>2.9</v>
      </c>
      <c r="I7" s="51">
        <f>IF(F7,ROUNDUP(B7/F7,0)*H7,0)</f>
        <v>2.9</v>
      </c>
    </row>
    <row r="8" spans="1:9" x14ac:dyDescent="0.35">
      <c r="I8" s="51"/>
    </row>
    <row r="9" spans="1:9" ht="72.5" x14ac:dyDescent="0.35">
      <c r="A9" s="55" t="s">
        <v>276</v>
      </c>
      <c r="B9" s="55">
        <v>10</v>
      </c>
      <c r="C9" s="59" t="s">
        <v>462</v>
      </c>
      <c r="D9" s="48" t="s">
        <v>278</v>
      </c>
      <c r="E9" s="54" t="s">
        <v>279</v>
      </c>
      <c r="F9" s="56">
        <v>50</v>
      </c>
      <c r="G9" s="49">
        <v>43291.695103240738</v>
      </c>
      <c r="I9" s="51">
        <f>IF(F9,ROUNDUP(B9/F9,0)*H9,0)</f>
        <v>0</v>
      </c>
    </row>
    <row r="10" spans="1:9" ht="43.5" x14ac:dyDescent="0.35">
      <c r="A10" s="55" t="s">
        <v>280</v>
      </c>
      <c r="B10" s="55">
        <v>1</v>
      </c>
      <c r="C10" s="59" t="s">
        <v>78</v>
      </c>
      <c r="D10" s="48" t="s">
        <v>281</v>
      </c>
      <c r="E10" s="54" t="s">
        <v>282</v>
      </c>
      <c r="F10" s="56">
        <v>1</v>
      </c>
      <c r="G10" s="49">
        <v>43292.473694560184</v>
      </c>
      <c r="H10" s="50">
        <v>0.08</v>
      </c>
      <c r="I10" s="51">
        <f>IF(F10,ROUNDUP(B10/F10,0)*H10,0)</f>
        <v>0.08</v>
      </c>
    </row>
    <row r="11" spans="1:9" ht="43.5" x14ac:dyDescent="0.35">
      <c r="A11" s="55" t="s">
        <v>283</v>
      </c>
      <c r="B11" s="55">
        <v>8</v>
      </c>
      <c r="C11" s="59" t="s">
        <v>78</v>
      </c>
      <c r="D11" s="48" t="s">
        <v>284</v>
      </c>
      <c r="E11" s="54" t="s">
        <v>285</v>
      </c>
      <c r="F11" s="56">
        <v>1</v>
      </c>
      <c r="G11" s="49">
        <v>43292.487442824073</v>
      </c>
      <c r="H11" s="50">
        <v>0.05</v>
      </c>
      <c r="I11" s="51">
        <f>IF(F11,ROUNDUP(B11/F11,0)*H11,0)</f>
        <v>0.4</v>
      </c>
    </row>
    <row r="12" spans="1:9" x14ac:dyDescent="0.35">
      <c r="A12" s="55" t="s">
        <v>352</v>
      </c>
      <c r="B12" s="55">
        <v>1</v>
      </c>
      <c r="C12" s="59" t="s">
        <v>356</v>
      </c>
      <c r="D12" s="48" t="s">
        <v>357</v>
      </c>
      <c r="I12" s="51">
        <f t="shared" ref="I12:I15" si="0">IF(F12,ROUNDUP(B12/F12,0)*H12,0)</f>
        <v>0</v>
      </c>
    </row>
    <row r="13" spans="1:9" x14ac:dyDescent="0.35">
      <c r="A13" s="55" t="s">
        <v>353</v>
      </c>
      <c r="B13" s="55">
        <v>1</v>
      </c>
      <c r="C13" s="59" t="s">
        <v>356</v>
      </c>
      <c r="D13" s="48" t="s">
        <v>358</v>
      </c>
      <c r="I13" s="51">
        <f t="shared" si="0"/>
        <v>0</v>
      </c>
    </row>
    <row r="14" spans="1:9" x14ac:dyDescent="0.35">
      <c r="A14" s="55" t="s">
        <v>354</v>
      </c>
      <c r="B14" s="55">
        <v>1</v>
      </c>
      <c r="C14" s="59" t="s">
        <v>356</v>
      </c>
      <c r="D14" s="48" t="s">
        <v>359</v>
      </c>
      <c r="I14" s="51">
        <f t="shared" si="0"/>
        <v>0</v>
      </c>
    </row>
    <row r="15" spans="1:9" x14ac:dyDescent="0.35">
      <c r="A15" s="55" t="s">
        <v>355</v>
      </c>
      <c r="B15" s="55">
        <v>1</v>
      </c>
      <c r="C15" s="59" t="s">
        <v>356</v>
      </c>
      <c r="D15" s="48" t="s">
        <v>360</v>
      </c>
      <c r="I15" s="51">
        <f t="shared" si="0"/>
        <v>0</v>
      </c>
    </row>
    <row r="16" spans="1:9" ht="58" x14ac:dyDescent="0.35">
      <c r="A16" s="55" t="s">
        <v>363</v>
      </c>
      <c r="B16" s="55">
        <v>1</v>
      </c>
      <c r="C16" s="59" t="s">
        <v>463</v>
      </c>
      <c r="D16" s="48" t="s">
        <v>366</v>
      </c>
      <c r="E16" s="54" t="s">
        <v>365</v>
      </c>
      <c r="F16" s="56">
        <v>1</v>
      </c>
      <c r="G16" s="49">
        <v>43297.645229861111</v>
      </c>
      <c r="H16" s="50">
        <v>0.14000000000000001</v>
      </c>
      <c r="I16" s="51">
        <f>IF(F16,ROUNDUP(B16/F16,0)*H16,0)</f>
        <v>0.14000000000000001</v>
      </c>
    </row>
    <row r="17" spans="1:9" ht="43.5" x14ac:dyDescent="0.35">
      <c r="A17" s="55" t="s">
        <v>427</v>
      </c>
      <c r="B17" s="55">
        <v>2</v>
      </c>
      <c r="C17" s="59" t="s">
        <v>78</v>
      </c>
      <c r="D17" s="48" t="s">
        <v>284</v>
      </c>
      <c r="E17" s="54" t="s">
        <v>285</v>
      </c>
      <c r="F17" s="56">
        <v>1</v>
      </c>
      <c r="G17" s="49">
        <v>43292.487442824073</v>
      </c>
      <c r="H17" s="50">
        <v>0.05</v>
      </c>
      <c r="I17" s="51">
        <f>IF(F17,ROUNDUP(B17/F17,0)*H17,0)</f>
        <v>0.1</v>
      </c>
    </row>
    <row r="18" spans="1:9" x14ac:dyDescent="0.35">
      <c r="A18" s="55" t="s">
        <v>429</v>
      </c>
      <c r="B18" s="55">
        <v>2</v>
      </c>
      <c r="C18" s="59" t="s">
        <v>464</v>
      </c>
      <c r="D18" s="48" t="s">
        <v>431</v>
      </c>
      <c r="E18" s="54" t="s">
        <v>432</v>
      </c>
      <c r="F18" s="56">
        <v>1</v>
      </c>
      <c r="G18" s="49">
        <v>43333.65805578704</v>
      </c>
      <c r="H18" s="50">
        <v>0.3</v>
      </c>
      <c r="I18" s="51">
        <f>IF(F18,ROUNDUP(B18/F18,0)*H18,0)</f>
        <v>0.6</v>
      </c>
    </row>
    <row r="19" spans="1:9" ht="29" x14ac:dyDescent="0.35">
      <c r="A19" s="55" t="s">
        <v>435</v>
      </c>
      <c r="B19" s="55">
        <v>1</v>
      </c>
      <c r="C19" s="59" t="s">
        <v>464</v>
      </c>
      <c r="D19" s="48" t="s">
        <v>434</v>
      </c>
      <c r="E19" s="54" t="s">
        <v>433</v>
      </c>
      <c r="F19" s="56">
        <v>1</v>
      </c>
      <c r="G19" s="49">
        <v>43333.65805578704</v>
      </c>
      <c r="H19" s="50">
        <v>0.3</v>
      </c>
      <c r="I19" s="51">
        <f>IF(F19,ROUNDUP(B19/F19,0)*H19,0)</f>
        <v>0.3</v>
      </c>
    </row>
    <row r="20" spans="1:9" x14ac:dyDescent="0.35">
      <c r="I20" s="51"/>
    </row>
    <row r="21" spans="1:9" ht="43.5" x14ac:dyDescent="0.35">
      <c r="A21" s="55" t="s">
        <v>286</v>
      </c>
      <c r="B21" s="55">
        <v>4</v>
      </c>
      <c r="C21" s="59" t="s">
        <v>465</v>
      </c>
      <c r="D21" s="48" t="s">
        <v>288</v>
      </c>
      <c r="E21" s="54" t="s">
        <v>289</v>
      </c>
      <c r="F21" s="56">
        <v>1</v>
      </c>
      <c r="G21" s="49">
        <v>43292.592436805557</v>
      </c>
      <c r="H21" s="50">
        <v>0.82</v>
      </c>
      <c r="I21" s="51">
        <f>IF(F21,ROUNDUP(B21/F21,0)*H21,0)</f>
        <v>3.28</v>
      </c>
    </row>
    <row r="22" spans="1:9" ht="43.5" x14ac:dyDescent="0.35">
      <c r="A22" s="55" t="s">
        <v>290</v>
      </c>
      <c r="B22" s="55">
        <v>1</v>
      </c>
      <c r="C22" s="59" t="s">
        <v>465</v>
      </c>
      <c r="D22" s="48" t="s">
        <v>291</v>
      </c>
      <c r="E22" s="54" t="s">
        <v>292</v>
      </c>
      <c r="F22" s="56">
        <v>1</v>
      </c>
      <c r="G22" s="49">
        <v>43292.594520023151</v>
      </c>
      <c r="H22" s="50">
        <v>0.28000000000000003</v>
      </c>
      <c r="I22" s="51">
        <f>IF(F22,ROUNDUP(B22/F22,0)*H22,0)</f>
        <v>0.28000000000000003</v>
      </c>
    </row>
    <row r="23" spans="1:9" x14ac:dyDescent="0.35">
      <c r="I23" s="51"/>
    </row>
    <row r="24" spans="1:9" ht="29" x14ac:dyDescent="0.35">
      <c r="A24" s="55" t="s">
        <v>294</v>
      </c>
      <c r="B24" s="55">
        <v>2</v>
      </c>
      <c r="C24" s="59" t="s">
        <v>466</v>
      </c>
      <c r="D24" s="48" t="s">
        <v>428</v>
      </c>
      <c r="E24" s="48" t="s">
        <v>351</v>
      </c>
      <c r="I24" s="51">
        <f t="shared" ref="I24:I30" si="1">IF(F24,ROUNDUP(B24/F24,0)*H24,0)</f>
        <v>0</v>
      </c>
    </row>
    <row r="25" spans="1:9" ht="72.5" x14ac:dyDescent="0.35">
      <c r="A25" s="55" t="s">
        <v>296</v>
      </c>
      <c r="B25" s="55">
        <v>2</v>
      </c>
      <c r="C25" s="59" t="s">
        <v>466</v>
      </c>
      <c r="D25" s="59" t="s">
        <v>297</v>
      </c>
      <c r="E25" s="54" t="s">
        <v>298</v>
      </c>
      <c r="F25" s="56">
        <v>1</v>
      </c>
      <c r="G25" s="49">
        <v>43292.759553587966</v>
      </c>
      <c r="H25" s="50">
        <v>0.24</v>
      </c>
      <c r="I25" s="51">
        <f t="shared" si="1"/>
        <v>0.48</v>
      </c>
    </row>
    <row r="26" spans="1:9" ht="29" x14ac:dyDescent="0.35">
      <c r="A26" s="55" t="s">
        <v>299</v>
      </c>
      <c r="B26" s="55">
        <v>1</v>
      </c>
      <c r="C26" s="59" t="s">
        <v>467</v>
      </c>
      <c r="D26" s="48" t="s">
        <v>301</v>
      </c>
      <c r="E26" s="54" t="s">
        <v>302</v>
      </c>
      <c r="F26" s="56">
        <v>1</v>
      </c>
      <c r="G26" s="49">
        <v>43293.693740393515</v>
      </c>
      <c r="H26" s="50">
        <v>0.5</v>
      </c>
      <c r="I26" s="51">
        <f t="shared" si="1"/>
        <v>0.5</v>
      </c>
    </row>
    <row r="27" spans="1:9" ht="29" x14ac:dyDescent="0.35">
      <c r="A27" s="55" t="s">
        <v>303</v>
      </c>
      <c r="B27" s="55">
        <v>1</v>
      </c>
      <c r="C27" s="59" t="s">
        <v>466</v>
      </c>
      <c r="D27" s="48" t="s">
        <v>304</v>
      </c>
      <c r="E27" s="48" t="s">
        <v>326</v>
      </c>
      <c r="I27" s="51">
        <f t="shared" si="1"/>
        <v>0</v>
      </c>
    </row>
    <row r="28" spans="1:9" ht="29" x14ac:dyDescent="0.35">
      <c r="A28" s="55" t="s">
        <v>305</v>
      </c>
      <c r="B28" s="55">
        <v>1</v>
      </c>
      <c r="C28" s="59" t="s">
        <v>466</v>
      </c>
      <c r="D28" s="48" t="s">
        <v>306</v>
      </c>
      <c r="E28" s="48" t="s">
        <v>326</v>
      </c>
      <c r="I28" s="51">
        <f t="shared" si="1"/>
        <v>0</v>
      </c>
    </row>
    <row r="29" spans="1:9" ht="29" x14ac:dyDescent="0.35">
      <c r="A29" s="55" t="s">
        <v>307</v>
      </c>
      <c r="B29" s="55">
        <v>2</v>
      </c>
      <c r="C29" s="59" t="s">
        <v>468</v>
      </c>
      <c r="D29" s="48" t="s">
        <v>309</v>
      </c>
      <c r="E29" s="54" t="s">
        <v>310</v>
      </c>
      <c r="F29" s="56">
        <v>1</v>
      </c>
      <c r="G29" s="49">
        <v>43293.705655092592</v>
      </c>
      <c r="H29" s="50">
        <v>0.1</v>
      </c>
      <c r="I29" s="51">
        <f t="shared" si="1"/>
        <v>0.2</v>
      </c>
    </row>
    <row r="30" spans="1:9" ht="29" x14ac:dyDescent="0.35">
      <c r="A30" s="55" t="s">
        <v>311</v>
      </c>
      <c r="B30" s="55">
        <v>1</v>
      </c>
      <c r="C30" s="59" t="s">
        <v>466</v>
      </c>
      <c r="D30" s="48" t="s">
        <v>312</v>
      </c>
      <c r="E30" s="48" t="s">
        <v>326</v>
      </c>
      <c r="I30" s="51">
        <f t="shared" si="1"/>
        <v>0</v>
      </c>
    </row>
    <row r="31" spans="1:9" x14ac:dyDescent="0.35">
      <c r="I31" s="51"/>
    </row>
    <row r="32" spans="1:9" ht="29" x14ac:dyDescent="0.35">
      <c r="A32" s="55" t="s">
        <v>313</v>
      </c>
      <c r="B32" s="55">
        <v>3</v>
      </c>
      <c r="C32" s="59" t="s">
        <v>468</v>
      </c>
      <c r="D32" s="48" t="s">
        <v>314</v>
      </c>
      <c r="E32" s="54" t="s">
        <v>315</v>
      </c>
      <c r="F32" s="56">
        <v>1</v>
      </c>
      <c r="G32" s="49">
        <v>43293.711408333336</v>
      </c>
      <c r="H32" s="50">
        <v>0.09</v>
      </c>
      <c r="I32" s="51">
        <f>IF(F32,ROUNDUP(B32/F32,0)*H32,0)</f>
        <v>0.27</v>
      </c>
    </row>
    <row r="33" spans="1:9" ht="29" x14ac:dyDescent="0.35">
      <c r="A33" s="55" t="s">
        <v>316</v>
      </c>
      <c r="B33" s="55">
        <v>1</v>
      </c>
      <c r="C33" s="59" t="s">
        <v>467</v>
      </c>
      <c r="D33" s="48" t="s">
        <v>425</v>
      </c>
      <c r="E33" s="54" t="s">
        <v>424</v>
      </c>
      <c r="F33" s="56">
        <v>1</v>
      </c>
      <c r="G33" s="49">
        <v>43298.573879629628</v>
      </c>
      <c r="H33" s="50">
        <v>0.5</v>
      </c>
      <c r="I33" s="51">
        <f>IF(F33,ROUNDUP(B33/F33,0)*H33,0)</f>
        <v>0.5</v>
      </c>
    </row>
    <row r="34" spans="1:9" ht="29" x14ac:dyDescent="0.35">
      <c r="A34" s="55" t="s">
        <v>317</v>
      </c>
      <c r="B34" s="55">
        <v>1</v>
      </c>
      <c r="C34" s="59" t="s">
        <v>467</v>
      </c>
      <c r="D34" s="48" t="s">
        <v>309</v>
      </c>
      <c r="E34" s="54" t="s">
        <v>310</v>
      </c>
      <c r="F34" s="56">
        <v>1</v>
      </c>
      <c r="G34" s="49">
        <v>43293.711408333336</v>
      </c>
      <c r="H34" s="50">
        <v>0.1</v>
      </c>
      <c r="I34" s="51">
        <f>IF(F34,ROUNDUP(B34/F34,0)*H34,0)</f>
        <v>0.1</v>
      </c>
    </row>
    <row r="35" spans="1:9" x14ac:dyDescent="0.35">
      <c r="I35" s="51"/>
    </row>
    <row r="36" spans="1:9" ht="29" x14ac:dyDescent="0.35">
      <c r="A36" s="55" t="s">
        <v>396</v>
      </c>
      <c r="B36" s="55">
        <v>1</v>
      </c>
      <c r="C36" s="59" t="s">
        <v>399</v>
      </c>
      <c r="D36" s="48" t="s">
        <v>152</v>
      </c>
      <c r="E36" s="54" t="s">
        <v>400</v>
      </c>
      <c r="F36" s="56">
        <v>1</v>
      </c>
      <c r="G36" s="49">
        <v>43297.666197916667</v>
      </c>
      <c r="H36" s="50">
        <v>1.5</v>
      </c>
      <c r="I36" s="51">
        <f>IF(F36,ROUNDUP(B36/F36,0)*H36,0)</f>
        <v>1.5</v>
      </c>
    </row>
    <row r="37" spans="1:9" ht="29" x14ac:dyDescent="0.35">
      <c r="A37" s="55" t="s">
        <v>398</v>
      </c>
      <c r="B37" s="55">
        <v>1</v>
      </c>
      <c r="C37" s="59" t="s">
        <v>397</v>
      </c>
      <c r="D37" s="48" t="s">
        <v>401</v>
      </c>
      <c r="E37" s="54" t="s">
        <v>402</v>
      </c>
      <c r="F37" s="56">
        <v>1</v>
      </c>
      <c r="G37" s="49">
        <v>43297.666197916667</v>
      </c>
      <c r="H37" s="50">
        <v>0.35</v>
      </c>
      <c r="I37" s="51">
        <f>IF(F37,ROUNDUP(B37/F37,0)*H37,0)</f>
        <v>0.35</v>
      </c>
    </row>
    <row r="38" spans="1:9" x14ac:dyDescent="0.35">
      <c r="I38" s="51"/>
    </row>
    <row r="39" spans="1:9" ht="58" x14ac:dyDescent="0.35">
      <c r="A39" s="55" t="s">
        <v>318</v>
      </c>
      <c r="B39" s="55">
        <v>1</v>
      </c>
      <c r="C39" s="59" t="s">
        <v>469</v>
      </c>
      <c r="D39" s="48" t="s">
        <v>319</v>
      </c>
      <c r="E39" s="54" t="s">
        <v>320</v>
      </c>
      <c r="F39" s="56">
        <v>1</v>
      </c>
      <c r="G39" s="49">
        <v>43293.722933912039</v>
      </c>
      <c r="H39" s="50">
        <v>1.1000000000000001</v>
      </c>
      <c r="I39" s="51">
        <f t="shared" ref="I39:I47" si="2">IF(F39,ROUNDUP(B39/F39,0)*H39,0)</f>
        <v>1.1000000000000001</v>
      </c>
    </row>
    <row r="40" spans="1:9" ht="58" x14ac:dyDescent="0.35">
      <c r="A40" s="55" t="s">
        <v>321</v>
      </c>
      <c r="B40" s="55">
        <v>1</v>
      </c>
      <c r="C40" s="59" t="s">
        <v>470</v>
      </c>
      <c r="D40" s="48" t="s">
        <v>322</v>
      </c>
      <c r="E40" s="54" t="s">
        <v>323</v>
      </c>
      <c r="F40" s="56">
        <v>1</v>
      </c>
      <c r="G40" s="49">
        <v>43293.693740393515</v>
      </c>
      <c r="H40" s="50">
        <v>0.2</v>
      </c>
      <c r="I40" s="51">
        <f t="shared" si="2"/>
        <v>0.2</v>
      </c>
    </row>
    <row r="41" spans="1:9" ht="29" x14ac:dyDescent="0.35">
      <c r="A41" s="55" t="s">
        <v>329</v>
      </c>
      <c r="B41" s="55">
        <v>1</v>
      </c>
      <c r="C41" s="59" t="s">
        <v>471</v>
      </c>
      <c r="D41" s="48" t="s">
        <v>333</v>
      </c>
      <c r="E41" s="52" t="s">
        <v>334</v>
      </c>
      <c r="F41" s="56">
        <v>1</v>
      </c>
      <c r="G41" s="49">
        <v>43297.548625000003</v>
      </c>
      <c r="H41" s="50">
        <v>8.3800000000000008</v>
      </c>
      <c r="I41" s="51">
        <f t="shared" si="2"/>
        <v>8.3800000000000008</v>
      </c>
    </row>
    <row r="42" spans="1:9" ht="58" x14ac:dyDescent="0.35">
      <c r="A42" s="55" t="s">
        <v>375</v>
      </c>
      <c r="B42" s="55">
        <v>2</v>
      </c>
      <c r="C42" s="59" t="s">
        <v>472</v>
      </c>
      <c r="D42" s="48" t="s">
        <v>377</v>
      </c>
      <c r="E42" s="54" t="s">
        <v>494</v>
      </c>
      <c r="F42" s="56">
        <v>1</v>
      </c>
      <c r="G42" s="49">
        <v>43297.651937037037</v>
      </c>
      <c r="H42" s="50">
        <v>2.4</v>
      </c>
      <c r="I42" s="51">
        <f t="shared" si="2"/>
        <v>4.8</v>
      </c>
    </row>
    <row r="43" spans="1:9" ht="58" x14ac:dyDescent="0.35">
      <c r="A43" s="55" t="s">
        <v>380</v>
      </c>
      <c r="B43" s="55">
        <v>1</v>
      </c>
      <c r="C43" s="59" t="s">
        <v>473</v>
      </c>
      <c r="D43" s="49" t="s">
        <v>382</v>
      </c>
      <c r="E43" s="54" t="s">
        <v>495</v>
      </c>
      <c r="F43" s="56">
        <v>1</v>
      </c>
      <c r="G43" s="49">
        <v>43297.654019675923</v>
      </c>
      <c r="H43" s="50">
        <v>1.29</v>
      </c>
      <c r="I43" s="51">
        <f t="shared" si="2"/>
        <v>1.29</v>
      </c>
    </row>
    <row r="44" spans="1:9" ht="58" x14ac:dyDescent="0.35">
      <c r="A44" s="55" t="s">
        <v>389</v>
      </c>
      <c r="B44" s="55">
        <v>1</v>
      </c>
      <c r="C44" s="59" t="s">
        <v>474</v>
      </c>
      <c r="D44" s="53" t="s">
        <v>391</v>
      </c>
      <c r="E44" s="52" t="s">
        <v>392</v>
      </c>
      <c r="F44" s="56">
        <v>1</v>
      </c>
      <c r="G44" s="49">
        <v>43297.659046180554</v>
      </c>
      <c r="H44" s="50">
        <v>3.13</v>
      </c>
      <c r="I44" s="51">
        <f t="shared" si="2"/>
        <v>3.13</v>
      </c>
    </row>
    <row r="45" spans="1:9" ht="58" x14ac:dyDescent="0.35">
      <c r="A45" s="55" t="s">
        <v>403</v>
      </c>
      <c r="B45" s="55">
        <v>1</v>
      </c>
      <c r="C45" s="59" t="s">
        <v>475</v>
      </c>
      <c r="D45" s="48" t="s">
        <v>406</v>
      </c>
      <c r="E45" s="52" t="s">
        <v>405</v>
      </c>
      <c r="F45" s="56">
        <v>1</v>
      </c>
      <c r="G45" s="49">
        <v>43297.672900115744</v>
      </c>
      <c r="H45" s="50">
        <v>0.5</v>
      </c>
      <c r="I45" s="51">
        <f t="shared" si="2"/>
        <v>0.5</v>
      </c>
    </row>
    <row r="46" spans="1:9" ht="29" x14ac:dyDescent="0.35">
      <c r="A46" s="55" t="s">
        <v>407</v>
      </c>
      <c r="B46" s="55">
        <v>1</v>
      </c>
      <c r="C46" s="59" t="s">
        <v>476</v>
      </c>
      <c r="D46" s="59" t="s">
        <v>408</v>
      </c>
      <c r="E46" s="52" t="s">
        <v>409</v>
      </c>
      <c r="F46" s="56">
        <v>1</v>
      </c>
      <c r="G46" s="49">
        <v>43297.674955787035</v>
      </c>
      <c r="H46" s="50">
        <v>3.5</v>
      </c>
      <c r="I46" s="51">
        <f t="shared" si="2"/>
        <v>3.5</v>
      </c>
    </row>
    <row r="47" spans="1:9" ht="58" x14ac:dyDescent="0.35">
      <c r="A47" s="55" t="s">
        <v>418</v>
      </c>
      <c r="B47" s="55">
        <v>1</v>
      </c>
      <c r="C47" s="59" t="s">
        <v>477</v>
      </c>
      <c r="D47" s="48" t="s">
        <v>420</v>
      </c>
      <c r="E47" s="52" t="s">
        <v>496</v>
      </c>
      <c r="F47" s="56">
        <v>1</v>
      </c>
      <c r="G47" s="49">
        <v>43297.743844791665</v>
      </c>
      <c r="H47" s="50">
        <v>3.35</v>
      </c>
      <c r="I47" s="51">
        <f t="shared" si="2"/>
        <v>3.35</v>
      </c>
    </row>
    <row r="48" spans="1:9" x14ac:dyDescent="0.35">
      <c r="E48" s="52"/>
      <c r="G48" s="49"/>
      <c r="I48" s="51"/>
    </row>
    <row r="49" spans="1:9" ht="58" x14ac:dyDescent="0.35">
      <c r="A49" s="55" t="s">
        <v>412</v>
      </c>
      <c r="B49" s="55">
        <v>1</v>
      </c>
      <c r="C49" s="59" t="s">
        <v>413</v>
      </c>
      <c r="D49" s="48" t="s">
        <v>414</v>
      </c>
      <c r="E49" s="52" t="s">
        <v>415</v>
      </c>
      <c r="F49" s="56">
        <v>1</v>
      </c>
      <c r="G49" s="49">
        <v>43297.706548148148</v>
      </c>
      <c r="H49" s="50">
        <v>1.29</v>
      </c>
      <c r="I49" s="51">
        <f>IF(F49,ROUNDUP(B49/F49,0)*H49,0)</f>
        <v>1.29</v>
      </c>
    </row>
    <row r="50" spans="1:9" x14ac:dyDescent="0.35">
      <c r="E50" s="52"/>
      <c r="G50" s="49"/>
      <c r="I50" s="51"/>
    </row>
    <row r="51" spans="1:9" ht="29" x14ac:dyDescent="0.35">
      <c r="A51" s="55" t="s">
        <v>335</v>
      </c>
      <c r="B51" s="55">
        <v>1</v>
      </c>
      <c r="C51" s="59" t="s">
        <v>478</v>
      </c>
      <c r="D51" s="48" t="s">
        <v>344</v>
      </c>
      <c r="E51" s="48" t="s">
        <v>340</v>
      </c>
      <c r="G51" s="49"/>
      <c r="I51" s="51">
        <f t="shared" ref="I51:I54" si="3">IF(F51,ROUNDUP(B51/F51,0)*H51,0)</f>
        <v>0</v>
      </c>
    </row>
    <row r="52" spans="1:9" ht="29" x14ac:dyDescent="0.35">
      <c r="A52" s="55" t="s">
        <v>336</v>
      </c>
      <c r="B52" s="55">
        <v>1</v>
      </c>
      <c r="C52" s="59" t="s">
        <v>478</v>
      </c>
      <c r="D52" s="48" t="s">
        <v>345</v>
      </c>
      <c r="E52" s="48" t="s">
        <v>340</v>
      </c>
      <c r="G52" s="49"/>
      <c r="I52" s="51">
        <f t="shared" si="3"/>
        <v>0</v>
      </c>
    </row>
    <row r="53" spans="1:9" ht="29" x14ac:dyDescent="0.35">
      <c r="A53" s="55" t="s">
        <v>337</v>
      </c>
      <c r="B53" s="55">
        <v>1</v>
      </c>
      <c r="C53" s="59" t="s">
        <v>478</v>
      </c>
      <c r="D53" s="48" t="s">
        <v>344</v>
      </c>
      <c r="E53" s="48" t="s">
        <v>340</v>
      </c>
      <c r="G53" s="49"/>
      <c r="I53" s="51">
        <f t="shared" si="3"/>
        <v>0</v>
      </c>
    </row>
    <row r="54" spans="1:9" ht="29" x14ac:dyDescent="0.35">
      <c r="A54" s="55" t="s">
        <v>338</v>
      </c>
      <c r="B54" s="55">
        <v>1</v>
      </c>
      <c r="C54" s="59" t="s">
        <v>478</v>
      </c>
      <c r="D54" s="48" t="s">
        <v>346</v>
      </c>
      <c r="E54" s="48" t="s">
        <v>340</v>
      </c>
      <c r="G54" s="49"/>
      <c r="I54" s="51">
        <f t="shared" si="3"/>
        <v>0</v>
      </c>
    </row>
    <row r="55" spans="1:9" ht="43.5" x14ac:dyDescent="0.35">
      <c r="A55" s="55" t="s">
        <v>347</v>
      </c>
      <c r="B55" s="55">
        <v>4</v>
      </c>
      <c r="C55" s="59" t="s">
        <v>479</v>
      </c>
      <c r="D55" s="48" t="s">
        <v>349</v>
      </c>
      <c r="E55" s="54" t="s">
        <v>493</v>
      </c>
      <c r="F55" s="56">
        <v>1</v>
      </c>
      <c r="G55" s="49">
        <v>43297.634141087961</v>
      </c>
      <c r="H55" s="50">
        <v>2.57</v>
      </c>
      <c r="I55" s="51">
        <f>IF(F55,ROUNDUP(B55/F55,0)*H55,0)</f>
        <v>10.28</v>
      </c>
    </row>
    <row r="56" spans="1:9" ht="29" x14ac:dyDescent="0.35">
      <c r="A56" s="55" t="s">
        <v>361</v>
      </c>
      <c r="B56" s="55">
        <v>4</v>
      </c>
      <c r="C56" s="59" t="s">
        <v>478</v>
      </c>
      <c r="D56" s="48" t="s">
        <v>362</v>
      </c>
      <c r="E56" s="48" t="s">
        <v>340</v>
      </c>
      <c r="I56" s="51">
        <f t="shared" ref="I56:I60" si="4">IF(F56,ROUNDUP(B56/F56,0)*H56,0)</f>
        <v>0</v>
      </c>
    </row>
    <row r="57" spans="1:9" ht="29" x14ac:dyDescent="0.35">
      <c r="A57" s="55" t="s">
        <v>386</v>
      </c>
      <c r="B57" s="55">
        <v>1</v>
      </c>
      <c r="C57" s="59" t="s">
        <v>478</v>
      </c>
      <c r="D57" s="48" t="s">
        <v>388</v>
      </c>
      <c r="E57" s="48" t="s">
        <v>340</v>
      </c>
      <c r="I57" s="51">
        <f t="shared" si="4"/>
        <v>0</v>
      </c>
    </row>
    <row r="58" spans="1:9" ht="29" x14ac:dyDescent="0.35">
      <c r="A58" s="55" t="s">
        <v>426</v>
      </c>
      <c r="B58" s="55">
        <v>3</v>
      </c>
      <c r="C58" s="59" t="s">
        <v>478</v>
      </c>
      <c r="D58" s="48" t="s">
        <v>387</v>
      </c>
      <c r="E58" s="48" t="s">
        <v>340</v>
      </c>
      <c r="I58" s="51">
        <f t="shared" si="4"/>
        <v>0</v>
      </c>
    </row>
    <row r="59" spans="1:9" ht="29" x14ac:dyDescent="0.35">
      <c r="A59" s="55" t="s">
        <v>436</v>
      </c>
      <c r="B59" s="55">
        <v>2</v>
      </c>
      <c r="C59" s="59" t="s">
        <v>478</v>
      </c>
      <c r="D59" s="48" t="s">
        <v>437</v>
      </c>
      <c r="E59" s="48" t="s">
        <v>340</v>
      </c>
      <c r="I59" s="51">
        <f t="shared" si="4"/>
        <v>0</v>
      </c>
    </row>
    <row r="60" spans="1:9" ht="29" x14ac:dyDescent="0.35">
      <c r="A60" s="55" t="s">
        <v>438</v>
      </c>
      <c r="B60" s="55">
        <v>2</v>
      </c>
      <c r="C60" s="59" t="s">
        <v>478</v>
      </c>
      <c r="D60" s="48" t="s">
        <v>439</v>
      </c>
      <c r="E60" s="48" t="s">
        <v>340</v>
      </c>
      <c r="I60" s="51">
        <f t="shared" si="4"/>
        <v>0</v>
      </c>
    </row>
    <row r="61" spans="1:9" x14ac:dyDescent="0.35">
      <c r="I61" s="51"/>
    </row>
    <row r="62" spans="1:9" x14ac:dyDescent="0.35">
      <c r="A62" s="55" t="s">
        <v>393</v>
      </c>
      <c r="B62" s="55">
        <v>1</v>
      </c>
      <c r="C62" s="59" t="s">
        <v>394</v>
      </c>
      <c r="D62" s="48" t="s">
        <v>395</v>
      </c>
      <c r="E62" s="48" t="s">
        <v>351</v>
      </c>
      <c r="I62" s="51">
        <f>IF(F62,ROUNDUP(B62/F62,0)*H62,0)</f>
        <v>0</v>
      </c>
    </row>
    <row r="63" spans="1:9" x14ac:dyDescent="0.35">
      <c r="I63" s="51"/>
    </row>
    <row r="64" spans="1:9" ht="43.5" x14ac:dyDescent="0.35">
      <c r="A64" s="56" t="s">
        <v>326</v>
      </c>
      <c r="B64" s="55">
        <v>1</v>
      </c>
      <c r="C64" s="59" t="s">
        <v>480</v>
      </c>
      <c r="E64" s="54" t="s">
        <v>488</v>
      </c>
      <c r="F64" s="56">
        <v>1</v>
      </c>
      <c r="G64" s="49">
        <v>43293.698256249998</v>
      </c>
      <c r="H64" s="50">
        <v>3.76</v>
      </c>
      <c r="I64" s="51">
        <f>IF(F64,ROUNDUP(B64/F64,0)*H64,0)</f>
        <v>3.76</v>
      </c>
    </row>
    <row r="65" spans="1:9" ht="43.5" x14ac:dyDescent="0.35">
      <c r="A65" s="56" t="s">
        <v>327</v>
      </c>
      <c r="B65" s="55">
        <v>10</v>
      </c>
      <c r="C65" s="59" t="s">
        <v>481</v>
      </c>
      <c r="E65" s="54" t="s">
        <v>489</v>
      </c>
      <c r="F65" s="56">
        <v>10</v>
      </c>
      <c r="G65" s="49">
        <v>43291.695103240738</v>
      </c>
      <c r="H65" s="50">
        <v>3.42</v>
      </c>
      <c r="I65" s="51">
        <f>IF(F65,ROUNDUP(B65/F65,0)*H65,0)</f>
        <v>3.42</v>
      </c>
    </row>
    <row r="66" spans="1:9" ht="43.5" x14ac:dyDescent="0.35">
      <c r="A66" s="55" t="s">
        <v>340</v>
      </c>
      <c r="B66" s="55">
        <v>1</v>
      </c>
      <c r="C66" s="59" t="s">
        <v>482</v>
      </c>
      <c r="D66" s="48" t="s">
        <v>342</v>
      </c>
      <c r="E66" s="54" t="s">
        <v>490</v>
      </c>
      <c r="F66" s="56">
        <v>1</v>
      </c>
      <c r="G66" s="49">
        <v>43297.645359027774</v>
      </c>
      <c r="H66" s="50">
        <v>2.3199999999999998</v>
      </c>
      <c r="I66" s="51">
        <f>IF(F66,ROUNDUP(B66/F66,0)*H66,0)</f>
        <v>2.3199999999999998</v>
      </c>
    </row>
    <row r="67" spans="1:9" ht="43.5" x14ac:dyDescent="0.35">
      <c r="A67" s="55" t="s">
        <v>370</v>
      </c>
      <c r="B67" s="55">
        <v>1</v>
      </c>
      <c r="C67" s="59" t="s">
        <v>483</v>
      </c>
      <c r="D67" s="48" t="s">
        <v>372</v>
      </c>
      <c r="E67" s="54" t="s">
        <v>491</v>
      </c>
      <c r="F67" s="56">
        <v>1</v>
      </c>
      <c r="G67" s="49">
        <v>43297.64859571759</v>
      </c>
      <c r="H67" s="50">
        <v>1.74</v>
      </c>
      <c r="I67" s="51">
        <f>IF(F67,ROUNDUP(B67/F67,0)*H67,0)</f>
        <v>1.74</v>
      </c>
    </row>
    <row r="68" spans="1:9" x14ac:dyDescent="0.35">
      <c r="I68" s="51"/>
    </row>
    <row r="69" spans="1:9" ht="58" x14ac:dyDescent="0.35">
      <c r="B69" s="55">
        <v>1</v>
      </c>
      <c r="C69" s="59" t="s">
        <v>484</v>
      </c>
      <c r="D69" s="48" t="s">
        <v>369</v>
      </c>
      <c r="E69" s="54" t="s">
        <v>492</v>
      </c>
      <c r="F69" s="56">
        <v>1</v>
      </c>
      <c r="G69" s="49">
        <v>43297.649516087964</v>
      </c>
      <c r="H69" s="50">
        <v>9.0299999999999994</v>
      </c>
      <c r="I69" s="51">
        <f>IF(F69,ROUNDUP(B69/F69,0)*H69,0)</f>
        <v>9.0299999999999994</v>
      </c>
    </row>
    <row r="70" spans="1:9" ht="43.5" x14ac:dyDescent="0.35">
      <c r="B70" s="55">
        <v>1</v>
      </c>
      <c r="C70" s="59" t="s">
        <v>384</v>
      </c>
      <c r="D70" s="48" t="s">
        <v>385</v>
      </c>
      <c r="E70" s="54" t="s">
        <v>383</v>
      </c>
      <c r="F70" s="56">
        <v>1</v>
      </c>
      <c r="G70" s="49">
        <v>43297.656046990742</v>
      </c>
      <c r="H70" s="50">
        <v>9.9499999999999993</v>
      </c>
      <c r="I70" s="51">
        <f>IF(F70,ROUNDUP(B70/F70,0)*H70,0)</f>
        <v>9.9499999999999993</v>
      </c>
    </row>
    <row r="71" spans="1:9" ht="43.5" x14ac:dyDescent="0.35">
      <c r="B71" s="55">
        <v>1</v>
      </c>
      <c r="C71" s="59" t="s">
        <v>485</v>
      </c>
      <c r="E71" s="54" t="s">
        <v>411</v>
      </c>
      <c r="F71" s="56">
        <v>1</v>
      </c>
      <c r="G71" s="49">
        <v>43297.751759375002</v>
      </c>
      <c r="H71" s="50">
        <v>6.69</v>
      </c>
      <c r="I71" s="51">
        <f>IF(F71,ROUNDUP(B71/F71,0)*H71,0)</f>
        <v>6.69</v>
      </c>
    </row>
    <row r="72" spans="1:9" ht="29" x14ac:dyDescent="0.35">
      <c r="B72" s="55">
        <v>1</v>
      </c>
      <c r="C72" s="48" t="s">
        <v>486</v>
      </c>
      <c r="E72" s="54" t="s">
        <v>423</v>
      </c>
      <c r="F72" s="56">
        <v>1</v>
      </c>
      <c r="G72" s="49">
        <v>43297.751759375002</v>
      </c>
      <c r="H72" s="50">
        <v>1.5</v>
      </c>
      <c r="I72" s="65">
        <f>IF(F72,ROUNDUP(B72/F72,0)*H72,0)</f>
        <v>1.5</v>
      </c>
    </row>
    <row r="73" spans="1:9" ht="72.5" x14ac:dyDescent="0.35">
      <c r="B73" s="55">
        <v>1</v>
      </c>
      <c r="C73" s="59" t="s">
        <v>443</v>
      </c>
      <c r="D73" s="48" t="s">
        <v>444</v>
      </c>
      <c r="E73" s="54" t="s">
        <v>445</v>
      </c>
      <c r="F73" s="56">
        <v>1</v>
      </c>
      <c r="G73" s="49">
        <v>43518.659962962964</v>
      </c>
      <c r="H73" s="50">
        <v>3.69</v>
      </c>
      <c r="I73" s="51">
        <f t="shared" ref="I73:I78" si="5">IF(F73,ROUNDUP(B73/F73,0)*H73,0)</f>
        <v>3.69</v>
      </c>
    </row>
    <row r="74" spans="1:9" ht="29" x14ac:dyDescent="0.35">
      <c r="B74" s="55">
        <v>1</v>
      </c>
      <c r="C74" s="59" t="s">
        <v>448</v>
      </c>
      <c r="D74" s="48" t="s">
        <v>449</v>
      </c>
      <c r="E74" s="66" t="s">
        <v>447</v>
      </c>
      <c r="F74" s="56">
        <v>1</v>
      </c>
      <c r="G74" s="49">
        <v>43521.498985879633</v>
      </c>
      <c r="H74" s="50">
        <v>9.9</v>
      </c>
      <c r="I74" s="51">
        <f t="shared" si="5"/>
        <v>9.9</v>
      </c>
    </row>
    <row r="75" spans="1:9" ht="58" x14ac:dyDescent="0.35">
      <c r="B75" s="55">
        <v>1</v>
      </c>
      <c r="C75" s="59" t="s">
        <v>450</v>
      </c>
      <c r="D75" s="48" t="s">
        <v>451</v>
      </c>
      <c r="E75" s="54" t="s">
        <v>452</v>
      </c>
      <c r="F75" s="56">
        <v>1</v>
      </c>
      <c r="G75" s="49">
        <v>43521.498985879633</v>
      </c>
      <c r="H75" s="50">
        <v>30.99</v>
      </c>
      <c r="I75" s="51">
        <f t="shared" si="5"/>
        <v>30.99</v>
      </c>
    </row>
    <row r="76" spans="1:9" ht="29" x14ac:dyDescent="0.35">
      <c r="B76" s="55">
        <v>1</v>
      </c>
      <c r="C76" s="59" t="s">
        <v>454</v>
      </c>
      <c r="D76" s="48" t="s">
        <v>455</v>
      </c>
      <c r="E76" s="54" t="s">
        <v>453</v>
      </c>
      <c r="F76" s="56">
        <v>1</v>
      </c>
      <c r="G76" s="49">
        <v>43521.498985879633</v>
      </c>
      <c r="H76" s="50">
        <v>6.4</v>
      </c>
      <c r="I76" s="51">
        <f t="shared" si="5"/>
        <v>6.4</v>
      </c>
    </row>
    <row r="77" spans="1:9" ht="72.5" x14ac:dyDescent="0.35">
      <c r="B77" s="55">
        <v>20</v>
      </c>
      <c r="C77" s="59" t="s">
        <v>458</v>
      </c>
      <c r="D77" s="48" t="s">
        <v>457</v>
      </c>
      <c r="E77" s="54" t="s">
        <v>487</v>
      </c>
      <c r="F77" s="56">
        <v>20</v>
      </c>
      <c r="G77" s="49">
        <v>43521.498985879633</v>
      </c>
      <c r="H77" s="50">
        <v>5.94</v>
      </c>
      <c r="I77" s="51">
        <f t="shared" si="5"/>
        <v>5.94</v>
      </c>
    </row>
    <row r="78" spans="1:9" ht="44" thickBot="1" x14ac:dyDescent="0.4">
      <c r="B78" s="55">
        <v>1</v>
      </c>
      <c r="C78" s="59" t="s">
        <v>459</v>
      </c>
      <c r="E78" s="54" t="s">
        <v>460</v>
      </c>
      <c r="F78" s="56">
        <v>1</v>
      </c>
      <c r="G78" s="49">
        <v>43521.498985879633</v>
      </c>
      <c r="H78" s="50">
        <v>16.989999999999998</v>
      </c>
      <c r="I78" s="60">
        <f t="shared" si="5"/>
        <v>16.989999999999998</v>
      </c>
    </row>
    <row r="79" spans="1:9" x14ac:dyDescent="0.35">
      <c r="D79" s="46"/>
      <c r="I79" s="51">
        <f>SUM(I3:I78)</f>
        <v>166.44000000000003</v>
      </c>
    </row>
  </sheetData>
  <hyperlinks>
    <hyperlink ref="E3" r:id="rId1" xr:uid="{043835E7-CABC-46B7-9A93-C2496294035E}"/>
    <hyperlink ref="E40" r:id="rId2" xr:uid="{07466C7D-9023-4B80-9606-A94DCEEC997A}"/>
    <hyperlink ref="E4" r:id="rId3" xr:uid="{432AC54C-125A-4686-9735-70B64C6C5F2A}"/>
    <hyperlink ref="E6" r:id="rId4" xr:uid="{936631D8-9B3C-49A0-AAE5-FA4F8A5D62AE}"/>
    <hyperlink ref="E7" r:id="rId5" location="Q=RT424-12&amp;M=1" xr:uid="{734FC031-1737-4DA7-AB0E-26D21365F1DD}"/>
    <hyperlink ref="E9" r:id="rId6" xr:uid="{5357674D-3E04-4BB4-A982-C7DBECE156A7}"/>
    <hyperlink ref="E10" r:id="rId7" xr:uid="{CF8A9097-B31B-4110-8B33-D15D24795BAF}"/>
    <hyperlink ref="E11" r:id="rId8" xr:uid="{25953F86-DFCE-42DF-A275-4FFFCB85F1A1}"/>
    <hyperlink ref="E16" r:id="rId9" xr:uid="{75620E49-B786-495D-82E6-E79C1E319196}"/>
    <hyperlink ref="E17" r:id="rId10" xr:uid="{37B97F22-A831-4038-B438-55AF6A668CED}"/>
    <hyperlink ref="E18" r:id="rId11" location="Q=P6KE15A&amp;M=1" xr:uid="{683CB50D-CDF2-40D0-BD42-7A45E4A38B2F}"/>
    <hyperlink ref="E19" r:id="rId12" location="Q=P6KE6%252C8A&amp;M=1" xr:uid="{03E05460-3206-4FD0-A716-21AFEA7821E9}"/>
    <hyperlink ref="E21" r:id="rId13" xr:uid="{88AF4072-5BA3-4167-B872-65B330014023}"/>
    <hyperlink ref="E22" r:id="rId14" xr:uid="{B36606BE-0530-4946-B736-C7BEC67D60C8}"/>
    <hyperlink ref="E25" r:id="rId15" xr:uid="{A08603EA-2937-4165-B640-2B3E71861F36}"/>
    <hyperlink ref="E26" r:id="rId16" location="Q=TA10u-25&amp;M=1" xr:uid="{3CD4E6C1-2F1E-4740-BFB0-8E45419CA56C}"/>
    <hyperlink ref="E29" r:id="rId17" location="Q=u10-R2.5-X7R&amp;M=1" xr:uid="{A0DFF1E8-2131-4261-B57D-64CA4C60E2AE}"/>
    <hyperlink ref="E32" r:id="rId18" location="Q=u10-R5.0-Z5U&amp;M=1" xr:uid="{68589D47-7B2E-4EEF-BFE7-35A1C9090D87}"/>
    <hyperlink ref="E33" r:id="rId19" location="Q=TA4u7-35&amp;M=1" xr:uid="{3C8F4783-CD96-4C8D-9DCF-30B77A388A53}"/>
    <hyperlink ref="E34" r:id="rId20" location="Q=u10-R2.5-X7R&amp;M=1" xr:uid="{07573D6B-3380-4A6C-AEDD-5B20EB16423C}"/>
    <hyperlink ref="E36" r:id="rId21" location="Q=FKSmini-Halter%252FPrint180%25C2%25B0&amp;M=1" xr:uid="{74F7023D-DE89-4647-91B5-BD8EFFF69965}"/>
    <hyperlink ref="E37" r:id="rId22" location="Q=FKS10A%252Fmini&amp;M=1" xr:uid="{BF134239-341E-4565-BB04-326BA058760E}"/>
    <hyperlink ref="E39" r:id="rId23" xr:uid="{4A300BF9-F3F7-4204-896D-856DAC50CF93}"/>
    <hyperlink ref="E70" r:id="rId24" xr:uid="{A81B7F3A-BD5F-4806-8138-8B462796A9AA}"/>
    <hyperlink ref="E71" r:id="rId25" xr:uid="{BBD3BC35-75F1-4A2A-B865-FD8B74A671BD}"/>
    <hyperlink ref="E72" r:id="rId26" location="Q=WLP05-Tube&amp;M=1" xr:uid="{190DA69A-86DA-44AC-8851-B19CFEEF5F43}"/>
    <hyperlink ref="E67" r:id="rId27" xr:uid="{924F7A54-5DBE-40E8-84EA-9DB00F8ACC52}"/>
    <hyperlink ref="E73" r:id="rId28" xr:uid="{D050AD02-F37B-4C1F-960B-9B74799B666D}"/>
    <hyperlink ref="E74" r:id="rId29" location="Q=S1%252C0(25m)&amp;M=1" xr:uid="{D8AFC2BE-769F-4D23-A266-C9D929359C45}"/>
    <hyperlink ref="E75" r:id="rId30" xr:uid="{2423B45D-BE9C-410F-A578-44DA291C2600}"/>
    <hyperlink ref="E76" r:id="rId31" location="Q=W%25C3%25A4rmeleitkissen100x100&amp;M=1" xr:uid="{ADEBFC85-FB8C-4DF2-AF17-B3C5B85167CC}"/>
    <hyperlink ref="E77" r:id="rId32" xr:uid="{E0076A3D-30DC-4E75-8434-72B50717B6F4}"/>
    <hyperlink ref="E78" r:id="rId33" xr:uid="{5DFE6998-B605-478E-8D5A-EC56B7CB38E5}"/>
  </hyperlinks>
  <pageMargins left="0" right="0" top="0" bottom="0" header="0" footer="0"/>
  <pageSetup paperSize="9" scale="82" fitToHeight="0" orientation="portrait" r:id="rId3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9AD4-3E46-4B99-A3B9-74767D01EB75}">
  <dimension ref="A1:M181"/>
  <sheetViews>
    <sheetView topLeftCell="A125" zoomScale="55" zoomScaleNormal="55" workbookViewId="0">
      <selection activeCell="W172" sqref="W172"/>
    </sheetView>
  </sheetViews>
  <sheetFormatPr baseColWidth="10" defaultRowHeight="14.5" x14ac:dyDescent="0.35"/>
  <cols>
    <col min="1" max="1" width="31" customWidth="1"/>
    <col min="2" max="2" width="16.1796875" customWidth="1"/>
    <col min="4" max="4" width="19.54296875" customWidth="1"/>
    <col min="5" max="5" width="12" bestFit="1" customWidth="1"/>
  </cols>
  <sheetData>
    <row r="1" spans="1:6" x14ac:dyDescent="0.35">
      <c r="A1" s="6" t="s">
        <v>118</v>
      </c>
      <c r="B1" t="s">
        <v>169</v>
      </c>
    </row>
    <row r="3" spans="1:6" x14ac:dyDescent="0.35">
      <c r="A3" t="s">
        <v>79</v>
      </c>
    </row>
    <row r="4" spans="1:6" x14ac:dyDescent="0.35">
      <c r="A4" s="17" t="s">
        <v>159</v>
      </c>
      <c r="B4" s="18">
        <v>200</v>
      </c>
      <c r="C4" s="19"/>
    </row>
    <row r="5" spans="1:6" x14ac:dyDescent="0.35">
      <c r="A5" s="20" t="s">
        <v>148</v>
      </c>
      <c r="B5">
        <v>10</v>
      </c>
      <c r="C5" s="21"/>
    </row>
    <row r="6" spans="1:6" x14ac:dyDescent="0.35">
      <c r="A6" s="20" t="s">
        <v>160</v>
      </c>
      <c r="B6">
        <v>2</v>
      </c>
      <c r="C6" s="21"/>
    </row>
    <row r="7" spans="1:6" x14ac:dyDescent="0.35">
      <c r="A7" s="25" t="s">
        <v>137</v>
      </c>
      <c r="B7" s="26">
        <f>2/10^2</f>
        <v>0.02</v>
      </c>
      <c r="C7" s="27">
        <f>B7*1000</f>
        <v>20</v>
      </c>
    </row>
    <row r="10" spans="1:6" x14ac:dyDescent="0.35">
      <c r="A10" t="s">
        <v>129</v>
      </c>
    </row>
    <row r="12" spans="1:6" x14ac:dyDescent="0.35">
      <c r="A12" t="s">
        <v>161</v>
      </c>
      <c r="B12" s="11"/>
      <c r="C12" s="11"/>
      <c r="D12" s="11"/>
      <c r="E12" s="33"/>
      <c r="F12" s="11"/>
    </row>
    <row r="13" spans="1:6" x14ac:dyDescent="0.35">
      <c r="A13" t="s">
        <v>162</v>
      </c>
      <c r="B13" s="11"/>
      <c r="C13" s="11"/>
      <c r="D13" s="11"/>
      <c r="E13" s="11"/>
      <c r="F13" s="11"/>
    </row>
    <row r="14" spans="1:6" x14ac:dyDescent="0.35">
      <c r="A14" s="7" t="s">
        <v>119</v>
      </c>
      <c r="B14" s="8">
        <v>10</v>
      </c>
      <c r="C14" s="8"/>
      <c r="D14" s="8" t="s">
        <v>113</v>
      </c>
      <c r="E14" s="9">
        <f>B14/B15</f>
        <v>0.76923076923076927</v>
      </c>
      <c r="F14" s="11"/>
    </row>
    <row r="15" spans="1:6" x14ac:dyDescent="0.35">
      <c r="A15" s="10" t="s">
        <v>110</v>
      </c>
      <c r="B15" s="11">
        <v>13</v>
      </c>
      <c r="C15" s="11"/>
      <c r="D15" s="11" t="s">
        <v>120</v>
      </c>
      <c r="E15" s="12">
        <f>E14</f>
        <v>0.76923076923076927</v>
      </c>
      <c r="F15" s="11"/>
    </row>
    <row r="16" spans="1:6" x14ac:dyDescent="0.35">
      <c r="A16" s="10" t="s">
        <v>121</v>
      </c>
      <c r="B16" s="11">
        <v>35</v>
      </c>
      <c r="C16" s="11"/>
      <c r="D16" s="11" t="s">
        <v>122</v>
      </c>
      <c r="E16" s="12">
        <f>B15/B16</f>
        <v>0.37142857142857144</v>
      </c>
      <c r="F16" s="11"/>
    </row>
    <row r="17" spans="1:6" x14ac:dyDescent="0.35">
      <c r="A17" s="10" t="s">
        <v>123</v>
      </c>
      <c r="B17" s="11">
        <v>2</v>
      </c>
      <c r="C17" s="11"/>
      <c r="D17" s="11" t="s">
        <v>124</v>
      </c>
      <c r="E17" s="12">
        <f>1/B18*1000000</f>
        <v>31.874541803461572</v>
      </c>
      <c r="F17" s="11"/>
    </row>
    <row r="18" spans="1:6" x14ac:dyDescent="0.35">
      <c r="A18" s="10" t="s">
        <v>5</v>
      </c>
      <c r="B18" s="11">
        <v>31373</v>
      </c>
      <c r="C18" s="11"/>
      <c r="D18" s="11" t="s">
        <v>125</v>
      </c>
      <c r="E18" s="12">
        <f>((B16-B15)*E16)/(B17*E15*B18)*10^6</f>
        <v>169.29935203610017</v>
      </c>
      <c r="F18" s="11"/>
    </row>
    <row r="19" spans="1:6" x14ac:dyDescent="0.35">
      <c r="A19" s="10"/>
      <c r="B19" s="11"/>
      <c r="C19" s="11"/>
      <c r="D19" s="11" t="s">
        <v>126</v>
      </c>
      <c r="E19" s="12">
        <f>(B16*E17*E16)/(2*E18)</f>
        <v>1.2237762237762237</v>
      </c>
      <c r="F19" s="11"/>
    </row>
    <row r="20" spans="1:6" x14ac:dyDescent="0.35">
      <c r="A20" s="10"/>
      <c r="B20" s="11"/>
      <c r="C20" s="11"/>
      <c r="D20" s="11" t="s">
        <v>127</v>
      </c>
      <c r="E20" s="12">
        <f>E15+E19</f>
        <v>1.9930069930069929</v>
      </c>
      <c r="F20" s="11"/>
    </row>
    <row r="21" spans="1:6" x14ac:dyDescent="0.35">
      <c r="A21" s="13"/>
      <c r="B21" s="14"/>
      <c r="C21" s="14"/>
      <c r="D21" s="14" t="s">
        <v>128</v>
      </c>
      <c r="E21" s="15">
        <f>(E17*B16^2*B15)/(2*E18*(B15+B16)^2)</f>
        <v>0.65066227175602187</v>
      </c>
      <c r="F21" s="11"/>
    </row>
    <row r="22" spans="1:6" x14ac:dyDescent="0.35">
      <c r="A22" s="11"/>
      <c r="B22" s="11"/>
      <c r="C22" s="11"/>
      <c r="D22" s="11"/>
      <c r="E22" s="11"/>
      <c r="F22" s="11"/>
    </row>
    <row r="23" spans="1:6" x14ac:dyDescent="0.35">
      <c r="A23" s="11"/>
      <c r="B23" s="11"/>
      <c r="C23" s="11"/>
      <c r="D23" s="11"/>
      <c r="E23" s="11"/>
      <c r="F23" s="11"/>
    </row>
    <row r="24" spans="1:6" x14ac:dyDescent="0.35">
      <c r="A24" t="s">
        <v>163</v>
      </c>
      <c r="B24" s="11"/>
      <c r="C24" s="11"/>
      <c r="D24" s="11"/>
      <c r="E24" s="33"/>
      <c r="F24" s="11"/>
    </row>
    <row r="25" spans="1:6" x14ac:dyDescent="0.35">
      <c r="A25" t="s">
        <v>162</v>
      </c>
      <c r="B25" s="11"/>
      <c r="C25" s="11"/>
      <c r="D25" s="11"/>
      <c r="E25" s="11"/>
      <c r="F25" s="11"/>
    </row>
    <row r="26" spans="1:6" x14ac:dyDescent="0.35">
      <c r="A26" s="7" t="s">
        <v>119</v>
      </c>
      <c r="B26" s="8">
        <v>100</v>
      </c>
      <c r="C26" s="8"/>
      <c r="D26" s="18" t="s">
        <v>164</v>
      </c>
      <c r="E26" s="9">
        <f>B28-B27</f>
        <v>48</v>
      </c>
      <c r="F26" s="11"/>
    </row>
    <row r="27" spans="1:6" x14ac:dyDescent="0.35">
      <c r="A27" s="10" t="s">
        <v>110</v>
      </c>
      <c r="B27" s="11">
        <v>12</v>
      </c>
      <c r="C27" s="11"/>
      <c r="D27" t="s">
        <v>165</v>
      </c>
      <c r="E27" s="12">
        <f>B27</f>
        <v>12</v>
      </c>
      <c r="F27" s="11"/>
    </row>
    <row r="28" spans="1:6" x14ac:dyDescent="0.35">
      <c r="A28" s="10" t="s">
        <v>121</v>
      </c>
      <c r="B28" s="11">
        <v>60</v>
      </c>
      <c r="C28" s="11"/>
      <c r="D28" s="11" t="s">
        <v>113</v>
      </c>
      <c r="E28" s="12">
        <f>B26/B27</f>
        <v>8.3333333333333339</v>
      </c>
      <c r="F28" s="11"/>
    </row>
    <row r="29" spans="1:6" x14ac:dyDescent="0.35">
      <c r="A29" s="20" t="s">
        <v>166</v>
      </c>
      <c r="B29" s="11">
        <v>200</v>
      </c>
      <c r="C29" s="11"/>
      <c r="D29" s="11" t="s">
        <v>120</v>
      </c>
      <c r="E29" s="12">
        <f>E28</f>
        <v>8.3333333333333339</v>
      </c>
      <c r="F29" s="11"/>
    </row>
    <row r="30" spans="1:6" x14ac:dyDescent="0.35">
      <c r="A30" s="10" t="s">
        <v>5</v>
      </c>
      <c r="B30" s="11">
        <v>31373</v>
      </c>
      <c r="C30" s="11"/>
      <c r="D30" s="11" t="s">
        <v>122</v>
      </c>
      <c r="E30" s="12">
        <f>B27/B28</f>
        <v>0.2</v>
      </c>
      <c r="F30" s="11"/>
    </row>
    <row r="31" spans="1:6" x14ac:dyDescent="0.35">
      <c r="A31" s="10"/>
      <c r="B31" s="11"/>
      <c r="C31" s="11"/>
      <c r="D31" s="11" t="s">
        <v>124</v>
      </c>
      <c r="E31" s="12">
        <f>1/B30*1000000</f>
        <v>31.874541803461572</v>
      </c>
      <c r="F31" s="11"/>
    </row>
    <row r="32" spans="1:6" x14ac:dyDescent="0.35">
      <c r="A32" s="10"/>
      <c r="B32" s="11"/>
      <c r="C32" s="11"/>
      <c r="D32" t="s">
        <v>123</v>
      </c>
      <c r="E32" s="12">
        <f>(E26*E30)/(B29/10^6*E29*B30)</f>
        <v>0.1835973607879387</v>
      </c>
      <c r="F32" s="11"/>
    </row>
    <row r="33" spans="1:6" x14ac:dyDescent="0.35">
      <c r="A33" s="10"/>
      <c r="B33" s="11"/>
      <c r="C33" s="11"/>
      <c r="D33" s="11" t="s">
        <v>126</v>
      </c>
      <c r="E33" s="35">
        <f>(B27*(1-E30))/(2*B29/10^6*B30)</f>
        <v>0.76498900328307784</v>
      </c>
      <c r="F33" s="11"/>
    </row>
    <row r="34" spans="1:6" x14ac:dyDescent="0.35">
      <c r="A34" s="10"/>
      <c r="B34" s="11"/>
      <c r="C34" s="11"/>
      <c r="D34" s="11" t="s">
        <v>127</v>
      </c>
      <c r="E34" s="12">
        <f>E29+E33</f>
        <v>9.0983223366164125</v>
      </c>
      <c r="F34" s="11"/>
    </row>
    <row r="35" spans="1:6" x14ac:dyDescent="0.35">
      <c r="A35" s="13"/>
      <c r="B35" s="14"/>
      <c r="C35" s="14"/>
      <c r="D35" s="14" t="s">
        <v>128</v>
      </c>
      <c r="E35" s="15">
        <f>(E31*B28^2*B27)/(2*B29*(B27+B28)^2)</f>
        <v>0.66405295423878274</v>
      </c>
      <c r="F35" s="11"/>
    </row>
    <row r="36" spans="1:6" x14ac:dyDescent="0.35">
      <c r="A36" s="11"/>
      <c r="B36" s="11"/>
      <c r="C36" s="11"/>
      <c r="D36" s="11"/>
      <c r="E36" s="33"/>
      <c r="F36" s="11"/>
    </row>
    <row r="37" spans="1:6" x14ac:dyDescent="0.35">
      <c r="A37" t="s">
        <v>167</v>
      </c>
      <c r="B37" s="11"/>
      <c r="C37" s="11"/>
      <c r="D37" s="11"/>
      <c r="E37" s="34"/>
      <c r="F37" s="11"/>
    </row>
    <row r="38" spans="1:6" x14ac:dyDescent="0.35">
      <c r="A38" s="11"/>
      <c r="B38" s="11"/>
      <c r="C38" s="11"/>
      <c r="D38" s="11"/>
      <c r="E38" s="34"/>
      <c r="F38" s="11"/>
    </row>
    <row r="39" spans="1:6" x14ac:dyDescent="0.35">
      <c r="A39" t="s">
        <v>168</v>
      </c>
      <c r="B39" s="11"/>
      <c r="C39" s="11"/>
      <c r="D39" s="11"/>
      <c r="E39" s="34"/>
      <c r="F39" s="11"/>
    </row>
    <row r="41" spans="1:6" x14ac:dyDescent="0.35">
      <c r="A41" t="s">
        <v>131</v>
      </c>
    </row>
    <row r="43" spans="1:6" x14ac:dyDescent="0.35">
      <c r="A43" s="17" t="s">
        <v>132</v>
      </c>
      <c r="B43" s="18">
        <f>17*10^-3</f>
        <v>1.7000000000000001E-2</v>
      </c>
      <c r="C43" s="19"/>
    </row>
    <row r="44" spans="1:6" x14ac:dyDescent="0.35">
      <c r="A44" s="20" t="s">
        <v>133</v>
      </c>
      <c r="B44">
        <v>1</v>
      </c>
      <c r="C44" s="21"/>
    </row>
    <row r="45" spans="1:6" x14ac:dyDescent="0.35">
      <c r="A45" s="20" t="s">
        <v>134</v>
      </c>
      <c r="B45">
        <f>0.5^2*PI()</f>
        <v>0.78539816339744828</v>
      </c>
      <c r="C45" s="21"/>
    </row>
    <row r="46" spans="1:6" x14ac:dyDescent="0.35">
      <c r="A46" s="20" t="s">
        <v>135</v>
      </c>
      <c r="B46">
        <f>B43*B44/B45</f>
        <v>2.1645072260497767E-2</v>
      </c>
      <c r="C46" s="21">
        <f>B46*1000</f>
        <v>21.645072260497766</v>
      </c>
    </row>
    <row r="47" spans="1:6" x14ac:dyDescent="0.35">
      <c r="A47" s="20"/>
      <c r="C47" s="21"/>
    </row>
    <row r="48" spans="1:6" x14ac:dyDescent="0.35">
      <c r="A48" s="22" t="s">
        <v>136</v>
      </c>
      <c r="B48" s="23">
        <f>B46*10^2</f>
        <v>2.1645072260497766</v>
      </c>
      <c r="C48" s="24"/>
    </row>
    <row r="50" spans="1:6" x14ac:dyDescent="0.35">
      <c r="A50" t="s">
        <v>206</v>
      </c>
    </row>
    <row r="52" spans="1:6" x14ac:dyDescent="0.35">
      <c r="A52" t="s">
        <v>185</v>
      </c>
      <c r="B52" s="11"/>
      <c r="D52" s="11"/>
      <c r="E52" s="11"/>
    </row>
    <row r="53" spans="1:6" x14ac:dyDescent="0.35">
      <c r="A53" s="7" t="s">
        <v>119</v>
      </c>
      <c r="B53" s="41">
        <v>112.74891940016047</v>
      </c>
      <c r="C53" s="8"/>
      <c r="D53" s="18" t="s">
        <v>164</v>
      </c>
      <c r="E53" s="9">
        <f>B55</f>
        <v>12</v>
      </c>
    </row>
    <row r="54" spans="1:6" x14ac:dyDescent="0.35">
      <c r="A54" s="10" t="s">
        <v>110</v>
      </c>
      <c r="B54" s="39">
        <v>36</v>
      </c>
      <c r="C54" s="11"/>
      <c r="D54" t="s">
        <v>165</v>
      </c>
      <c r="E54" s="12">
        <f>B54-B55</f>
        <v>24</v>
      </c>
    </row>
    <row r="55" spans="1:6" x14ac:dyDescent="0.35">
      <c r="A55" s="10" t="s">
        <v>121</v>
      </c>
      <c r="B55" s="11">
        <v>12</v>
      </c>
      <c r="C55" s="11"/>
      <c r="D55" s="11" t="s">
        <v>113</v>
      </c>
      <c r="E55" s="12">
        <f>B53/B54</f>
        <v>3.1319144277822355</v>
      </c>
    </row>
    <row r="56" spans="1:6" x14ac:dyDescent="0.35">
      <c r="A56" s="20" t="s">
        <v>166</v>
      </c>
      <c r="B56" s="11">
        <v>211</v>
      </c>
      <c r="C56" s="11"/>
      <c r="D56" s="11" t="s">
        <v>120</v>
      </c>
      <c r="E56" s="12">
        <f>E55/(1-E57)</f>
        <v>9.3957432833467056</v>
      </c>
    </row>
    <row r="57" spans="1:6" x14ac:dyDescent="0.35">
      <c r="A57" s="10" t="s">
        <v>5</v>
      </c>
      <c r="B57" s="11">
        <v>31373</v>
      </c>
      <c r="C57" s="11"/>
      <c r="D57" s="11" t="s">
        <v>122</v>
      </c>
      <c r="E57" s="12">
        <f>(B54-B55)/B54</f>
        <v>0.66666666666666663</v>
      </c>
    </row>
    <row r="58" spans="1:6" x14ac:dyDescent="0.35">
      <c r="A58" s="10"/>
      <c r="B58" s="11"/>
      <c r="C58" s="11"/>
      <c r="D58" s="11" t="s">
        <v>124</v>
      </c>
      <c r="E58" s="12">
        <f>1/B57*1000000</f>
        <v>31.874541803461572</v>
      </c>
    </row>
    <row r="59" spans="1:6" x14ac:dyDescent="0.35">
      <c r="A59" s="10"/>
      <c r="B59" s="11"/>
      <c r="C59" s="11"/>
      <c r="D59" t="s">
        <v>123</v>
      </c>
      <c r="E59" s="12">
        <f>(E53*E57)/(B56/10^6*E56*B57)</f>
        <v>0.12862350501302064</v>
      </c>
      <c r="F59">
        <v>0.12862350501302064</v>
      </c>
    </row>
    <row r="60" spans="1:6" x14ac:dyDescent="0.35">
      <c r="A60" s="10"/>
      <c r="B60" s="11"/>
      <c r="C60" s="11"/>
      <c r="D60" s="11" t="s">
        <v>126</v>
      </c>
      <c r="E60" s="35">
        <f>E59*E56/2</f>
        <v>0.60425671665329994</v>
      </c>
    </row>
    <row r="61" spans="1:6" x14ac:dyDescent="0.35">
      <c r="A61" s="10"/>
      <c r="B61" s="11"/>
      <c r="C61" s="11"/>
      <c r="D61" s="11" t="s">
        <v>127</v>
      </c>
      <c r="E61" s="40">
        <f>E56+E60</f>
        <v>10.000000000000005</v>
      </c>
    </row>
    <row r="62" spans="1:6" x14ac:dyDescent="0.35">
      <c r="A62" s="13"/>
      <c r="B62" s="14"/>
      <c r="C62" s="14"/>
      <c r="D62" s="14" t="s">
        <v>128</v>
      </c>
      <c r="E62" s="15">
        <f>(E58*B55^2*B54)/(2*B56*(B54+B55)^2)</f>
        <v>0.16994720155874063</v>
      </c>
    </row>
    <row r="64" spans="1:6" x14ac:dyDescent="0.35">
      <c r="A64" t="s">
        <v>207</v>
      </c>
    </row>
    <row r="65" spans="1:5" x14ac:dyDescent="0.35">
      <c r="A65" t="s">
        <v>208</v>
      </c>
    </row>
    <row r="67" spans="1:5" x14ac:dyDescent="0.35">
      <c r="A67" s="6" t="s">
        <v>170</v>
      </c>
    </row>
    <row r="69" spans="1:5" x14ac:dyDescent="0.35">
      <c r="A69" t="s">
        <v>119</v>
      </c>
      <c r="B69">
        <v>100</v>
      </c>
      <c r="D69" t="s">
        <v>178</v>
      </c>
      <c r="E69" s="16">
        <f>B69/B70</f>
        <v>8.3333333333333339</v>
      </c>
    </row>
    <row r="70" spans="1:5" x14ac:dyDescent="0.35">
      <c r="A70" t="s">
        <v>173</v>
      </c>
      <c r="B70">
        <v>12</v>
      </c>
      <c r="D70" t="s">
        <v>122</v>
      </c>
      <c r="E70" s="16">
        <f>(B70+B71)/(B72-B73+B71)</f>
        <v>0.20943271767810026</v>
      </c>
    </row>
    <row r="71" spans="1:5" x14ac:dyDescent="0.35">
      <c r="A71" t="s">
        <v>172</v>
      </c>
      <c r="B71">
        <v>0.7</v>
      </c>
      <c r="D71" t="s">
        <v>174</v>
      </c>
      <c r="E71" s="16">
        <f>E70/B74*10^6</f>
        <v>6.6755719146431733</v>
      </c>
    </row>
    <row r="72" spans="1:5" x14ac:dyDescent="0.35">
      <c r="A72" t="s">
        <v>121</v>
      </c>
      <c r="B72">
        <v>60</v>
      </c>
      <c r="D72" t="s">
        <v>164</v>
      </c>
      <c r="E72">
        <f>B72-B73-B70</f>
        <v>47.94</v>
      </c>
    </row>
    <row r="73" spans="1:5" x14ac:dyDescent="0.35">
      <c r="A73" t="s">
        <v>171</v>
      </c>
      <c r="B73">
        <f>0.006*10</f>
        <v>0.06</v>
      </c>
      <c r="D73" t="s">
        <v>175</v>
      </c>
      <c r="E73" s="16">
        <f>E72*E71</f>
        <v>320.02691758799369</v>
      </c>
    </row>
    <row r="74" spans="1:5" x14ac:dyDescent="0.35">
      <c r="A74" t="s">
        <v>5</v>
      </c>
      <c r="B74">
        <v>31373</v>
      </c>
      <c r="D74" t="s">
        <v>176</v>
      </c>
      <c r="E74" s="16">
        <f>E73/B75</f>
        <v>1600.1345879399685</v>
      </c>
    </row>
    <row r="75" spans="1:5" x14ac:dyDescent="0.35">
      <c r="A75" t="s">
        <v>123</v>
      </c>
      <c r="B75">
        <v>0.2</v>
      </c>
      <c r="D75" t="s">
        <v>166</v>
      </c>
      <c r="E75" s="16">
        <f>E74/E69</f>
        <v>192.0161505527962</v>
      </c>
    </row>
    <row r="76" spans="1:5" x14ac:dyDescent="0.35">
      <c r="D76" t="s">
        <v>177</v>
      </c>
      <c r="E76" s="16">
        <f>(1+B75/2)*E69</f>
        <v>9.1666666666666679</v>
      </c>
    </row>
    <row r="79" spans="1:5" x14ac:dyDescent="0.35">
      <c r="A79" s="6" t="s">
        <v>138</v>
      </c>
    </row>
    <row r="81" spans="1:11" x14ac:dyDescent="0.35">
      <c r="A81" t="s">
        <v>209</v>
      </c>
    </row>
    <row r="85" spans="1:11" x14ac:dyDescent="0.35">
      <c r="A85" s="6" t="s">
        <v>179</v>
      </c>
    </row>
    <row r="87" spans="1:11" x14ac:dyDescent="0.35">
      <c r="A87" t="s">
        <v>145</v>
      </c>
    </row>
    <row r="88" spans="1:11" x14ac:dyDescent="0.35">
      <c r="A88" s="17" t="s">
        <v>180</v>
      </c>
      <c r="B88" s="36">
        <f>B91</f>
        <v>0.48112522432468824</v>
      </c>
    </row>
    <row r="89" spans="1:11" x14ac:dyDescent="0.35">
      <c r="A89" s="22" t="s">
        <v>193</v>
      </c>
      <c r="B89" s="24">
        <f>15*1.5</f>
        <v>22.5</v>
      </c>
    </row>
    <row r="91" spans="1:11" x14ac:dyDescent="0.35">
      <c r="A91" t="s">
        <v>182</v>
      </c>
      <c r="B91" s="16">
        <f>E69*B75/SQRT(12)</f>
        <v>0.48112522432468824</v>
      </c>
    </row>
    <row r="92" spans="1:11" x14ac:dyDescent="0.35">
      <c r="A92" t="s">
        <v>189</v>
      </c>
    </row>
    <row r="93" spans="1:11" x14ac:dyDescent="0.35">
      <c r="A93" t="s">
        <v>190</v>
      </c>
      <c r="K93" t="s">
        <v>195</v>
      </c>
    </row>
    <row r="94" spans="1:11" x14ac:dyDescent="0.35">
      <c r="K94" t="s">
        <v>194</v>
      </c>
    </row>
    <row r="95" spans="1:11" x14ac:dyDescent="0.35">
      <c r="A95" t="s">
        <v>105</v>
      </c>
    </row>
    <row r="96" spans="1:11" x14ac:dyDescent="0.35">
      <c r="A96" t="s">
        <v>196</v>
      </c>
    </row>
    <row r="99" spans="1:5" x14ac:dyDescent="0.35">
      <c r="A99" s="3" t="s">
        <v>211</v>
      </c>
    </row>
    <row r="100" spans="1:5" x14ac:dyDescent="0.35">
      <c r="A100" s="3"/>
    </row>
    <row r="101" spans="1:5" x14ac:dyDescent="0.35">
      <c r="A101" t="s">
        <v>145</v>
      </c>
    </row>
    <row r="102" spans="1:5" x14ac:dyDescent="0.35">
      <c r="A102" s="17" t="s">
        <v>180</v>
      </c>
      <c r="B102" s="61">
        <f>B106</f>
        <v>1.93972024796047</v>
      </c>
    </row>
    <row r="103" spans="1:5" x14ac:dyDescent="0.35">
      <c r="A103" s="20" t="s">
        <v>201</v>
      </c>
      <c r="B103" s="21">
        <f>15*1.5</f>
        <v>22.5</v>
      </c>
    </row>
    <row r="104" spans="1:5" x14ac:dyDescent="0.35">
      <c r="A104" s="22" t="s">
        <v>191</v>
      </c>
      <c r="B104" s="24">
        <f>B114*0.07</f>
        <v>0.91000000000000014</v>
      </c>
    </row>
    <row r="106" spans="1:5" x14ac:dyDescent="0.35">
      <c r="A106" t="s">
        <v>183</v>
      </c>
      <c r="B106" s="16">
        <f>E114*SQRT(E116*(1-E116+E118^2/2))</f>
        <v>1.93972024796047</v>
      </c>
    </row>
    <row r="107" spans="1:5" x14ac:dyDescent="0.35">
      <c r="A107" t="s">
        <v>189</v>
      </c>
      <c r="B107" s="16">
        <v>0.4</v>
      </c>
    </row>
    <row r="108" spans="1:5" x14ac:dyDescent="0.35">
      <c r="A108" t="s">
        <v>190</v>
      </c>
      <c r="B108" s="16">
        <f>B106*B107</f>
        <v>0.77588809918418811</v>
      </c>
      <c r="C108" s="16">
        <f>B108/B115</f>
        <v>3.6771947828634507E-3</v>
      </c>
    </row>
    <row r="110" spans="1:5" x14ac:dyDescent="0.35">
      <c r="A110" t="s">
        <v>184</v>
      </c>
    </row>
    <row r="111" spans="1:5" x14ac:dyDescent="0.35">
      <c r="A111" t="s">
        <v>185</v>
      </c>
      <c r="B111" s="11"/>
      <c r="D111" s="11"/>
      <c r="E111" s="11"/>
    </row>
    <row r="112" spans="1:5" x14ac:dyDescent="0.35">
      <c r="A112" s="7" t="s">
        <v>119</v>
      </c>
      <c r="B112" s="8">
        <v>100</v>
      </c>
      <c r="C112" s="8"/>
      <c r="D112" s="18" t="s">
        <v>164</v>
      </c>
      <c r="E112" s="9">
        <f>B114</f>
        <v>13</v>
      </c>
    </row>
    <row r="113" spans="1:5" x14ac:dyDescent="0.35">
      <c r="A113" s="10" t="s">
        <v>110</v>
      </c>
      <c r="B113" s="38">
        <v>25.985726130928093</v>
      </c>
      <c r="C113" s="11"/>
      <c r="D113" t="s">
        <v>165</v>
      </c>
      <c r="E113" s="12">
        <f>B113-B114</f>
        <v>12.985726130928093</v>
      </c>
    </row>
    <row r="114" spans="1:5" x14ac:dyDescent="0.35">
      <c r="A114" s="10" t="s">
        <v>121</v>
      </c>
      <c r="B114" s="11">
        <v>13</v>
      </c>
      <c r="C114" s="11"/>
      <c r="D114" s="11" t="s">
        <v>113</v>
      </c>
      <c r="E114" s="12">
        <f>B112/B113</f>
        <v>3.8482665250974248</v>
      </c>
    </row>
    <row r="115" spans="1:5" x14ac:dyDescent="0.35">
      <c r="A115" s="20" t="s">
        <v>166</v>
      </c>
      <c r="B115" s="11">
        <v>211</v>
      </c>
      <c r="C115" s="11"/>
      <c r="D115" s="11" t="s">
        <v>120</v>
      </c>
      <c r="E115" s="12">
        <f>E114/(1-E116)</f>
        <v>7.6923076923076925</v>
      </c>
    </row>
    <row r="116" spans="1:5" x14ac:dyDescent="0.35">
      <c r="A116" s="10" t="s">
        <v>5</v>
      </c>
      <c r="B116" s="11">
        <v>31373</v>
      </c>
      <c r="C116" s="11"/>
      <c r="D116" s="11" t="s">
        <v>122</v>
      </c>
      <c r="E116" s="12">
        <f>(B113-B114)/B113</f>
        <v>0.49972535173733479</v>
      </c>
    </row>
    <row r="117" spans="1:5" x14ac:dyDescent="0.35">
      <c r="A117" s="10"/>
      <c r="B117" s="11"/>
      <c r="C117" s="11"/>
      <c r="D117" s="11" t="s">
        <v>124</v>
      </c>
      <c r="E117" s="12">
        <f>1/B116*1000000</f>
        <v>31.874541803461572</v>
      </c>
    </row>
    <row r="118" spans="1:5" x14ac:dyDescent="0.35">
      <c r="A118" s="10"/>
      <c r="B118" s="11"/>
      <c r="C118" s="11"/>
      <c r="D118" t="s">
        <v>123</v>
      </c>
      <c r="E118" s="12">
        <f>(E112*E116)/(B115/10^6*E115*B116)</f>
        <v>0.12757911411374434</v>
      </c>
    </row>
    <row r="119" spans="1:5" x14ac:dyDescent="0.35">
      <c r="A119" s="10"/>
      <c r="B119" s="11"/>
      <c r="C119" s="11"/>
      <c r="D119" s="11" t="s">
        <v>126</v>
      </c>
      <c r="E119" s="35">
        <f>E118*E115/2</f>
        <v>0.49068890043747826</v>
      </c>
    </row>
    <row r="120" spans="1:5" x14ac:dyDescent="0.35">
      <c r="A120" s="10"/>
      <c r="B120" s="11"/>
      <c r="C120" s="11"/>
      <c r="D120" s="11" t="s">
        <v>127</v>
      </c>
      <c r="E120" s="12">
        <f>E115+E119</f>
        <v>8.1829965927451713</v>
      </c>
    </row>
    <row r="121" spans="1:5" x14ac:dyDescent="0.35">
      <c r="A121" s="13"/>
      <c r="B121" s="14"/>
      <c r="C121" s="14"/>
      <c r="D121" s="14" t="s">
        <v>128</v>
      </c>
      <c r="E121" s="15">
        <f>(E117*B114^2*B113)/(2*B115*(B113+B114)^2)</f>
        <v>0.21824374527342827</v>
      </c>
    </row>
    <row r="123" spans="1:5" x14ac:dyDescent="0.35">
      <c r="A123" t="s">
        <v>202</v>
      </c>
    </row>
    <row r="125" spans="1:5" x14ac:dyDescent="0.35">
      <c r="A125" t="s">
        <v>204</v>
      </c>
      <c r="B125" s="37" t="s">
        <v>203</v>
      </c>
    </row>
    <row r="126" spans="1:5" x14ac:dyDescent="0.35">
      <c r="B126" t="s">
        <v>205</v>
      </c>
    </row>
    <row r="133" spans="1:3" x14ac:dyDescent="0.35">
      <c r="A133" s="6" t="s">
        <v>181</v>
      </c>
    </row>
    <row r="135" spans="1:3" x14ac:dyDescent="0.35">
      <c r="A135" t="s">
        <v>145</v>
      </c>
    </row>
    <row r="136" spans="1:3" x14ac:dyDescent="0.35">
      <c r="A136" s="17" t="s">
        <v>180</v>
      </c>
      <c r="B136" s="36">
        <f>B140</f>
        <v>4.1940085901827571</v>
      </c>
    </row>
    <row r="137" spans="1:3" x14ac:dyDescent="0.35">
      <c r="A137" s="20" t="s">
        <v>188</v>
      </c>
      <c r="B137" s="21">
        <f>60*1.5</f>
        <v>90</v>
      </c>
    </row>
    <row r="138" spans="1:3" x14ac:dyDescent="0.35">
      <c r="A138" s="22" t="s">
        <v>191</v>
      </c>
      <c r="B138" s="24">
        <f>B149*0.07</f>
        <v>1.6800000000000002</v>
      </c>
    </row>
    <row r="140" spans="1:3" x14ac:dyDescent="0.35">
      <c r="A140" t="s">
        <v>183</v>
      </c>
      <c r="B140" s="16">
        <f>E149*SQRT(E151*(1-E151+E153^2/2))</f>
        <v>4.1940085901827571</v>
      </c>
    </row>
    <row r="141" spans="1:3" x14ac:dyDescent="0.35">
      <c r="A141" t="s">
        <v>189</v>
      </c>
      <c r="B141" s="16">
        <v>0.4</v>
      </c>
    </row>
    <row r="142" spans="1:3" x14ac:dyDescent="0.35">
      <c r="A142" t="s">
        <v>190</v>
      </c>
      <c r="B142" s="16">
        <f>B140*B141</f>
        <v>1.6776034360731029</v>
      </c>
      <c r="C142" s="16">
        <f>B142/B149</f>
        <v>6.9900143169712617E-2</v>
      </c>
    </row>
    <row r="143" spans="1:3" x14ac:dyDescent="0.35">
      <c r="B143" s="16"/>
    </row>
    <row r="145" spans="1:13" x14ac:dyDescent="0.35">
      <c r="A145" t="s">
        <v>184</v>
      </c>
    </row>
    <row r="146" spans="1:13" x14ac:dyDescent="0.35">
      <c r="A146" t="s">
        <v>185</v>
      </c>
      <c r="B146" s="11"/>
      <c r="D146" s="11"/>
      <c r="E146" s="11"/>
    </row>
    <row r="147" spans="1:13" x14ac:dyDescent="0.35">
      <c r="A147" s="7" t="s">
        <v>119</v>
      </c>
      <c r="B147" s="8">
        <v>100</v>
      </c>
      <c r="C147" s="8"/>
      <c r="D147" s="18" t="s">
        <v>164</v>
      </c>
      <c r="E147" s="9">
        <f>B149-B148</f>
        <v>12</v>
      </c>
    </row>
    <row r="148" spans="1:13" x14ac:dyDescent="0.35">
      <c r="A148" s="10" t="s">
        <v>110</v>
      </c>
      <c r="B148" s="11">
        <v>12</v>
      </c>
      <c r="C148" s="11"/>
      <c r="D148" t="s">
        <v>165</v>
      </c>
      <c r="E148" s="12">
        <f>B148</f>
        <v>12</v>
      </c>
    </row>
    <row r="149" spans="1:13" x14ac:dyDescent="0.35">
      <c r="A149" s="10" t="s">
        <v>121</v>
      </c>
      <c r="B149" s="11">
        <v>24</v>
      </c>
      <c r="C149" s="11"/>
      <c r="D149" s="11" t="s">
        <v>113</v>
      </c>
      <c r="E149" s="12">
        <f>B147/B148</f>
        <v>8.3333333333333339</v>
      </c>
    </row>
    <row r="150" spans="1:13" x14ac:dyDescent="0.35">
      <c r="A150" s="20" t="s">
        <v>166</v>
      </c>
      <c r="B150" s="11">
        <v>200</v>
      </c>
      <c r="C150" s="11"/>
      <c r="D150" s="11" t="s">
        <v>120</v>
      </c>
      <c r="E150" s="12">
        <f>E149</f>
        <v>8.3333333333333339</v>
      </c>
    </row>
    <row r="151" spans="1:13" x14ac:dyDescent="0.35">
      <c r="A151" s="10" t="s">
        <v>5</v>
      </c>
      <c r="B151" s="11">
        <v>31373</v>
      </c>
      <c r="C151" s="11"/>
      <c r="D151" s="11" t="s">
        <v>122</v>
      </c>
      <c r="E151" s="12">
        <f>B148/B149</f>
        <v>0.5</v>
      </c>
    </row>
    <row r="152" spans="1:13" x14ac:dyDescent="0.35">
      <c r="A152" s="10"/>
      <c r="B152" s="11"/>
      <c r="C152" s="11"/>
      <c r="D152" s="11" t="s">
        <v>124</v>
      </c>
      <c r="E152" s="12">
        <f>1/B151*1000000</f>
        <v>31.874541803461572</v>
      </c>
    </row>
    <row r="153" spans="1:13" x14ac:dyDescent="0.35">
      <c r="A153" s="10"/>
      <c r="B153" s="11"/>
      <c r="C153" s="11"/>
      <c r="D153" t="s">
        <v>123</v>
      </c>
      <c r="E153" s="12">
        <f>(E147*E151)/(B150/10^6*E150*B151)</f>
        <v>0.11474835049246167</v>
      </c>
      <c r="K153" t="s">
        <v>186</v>
      </c>
    </row>
    <row r="154" spans="1:13" x14ac:dyDescent="0.35">
      <c r="A154" s="10"/>
      <c r="B154" s="11"/>
      <c r="C154" s="11"/>
      <c r="D154" s="11" t="s">
        <v>126</v>
      </c>
      <c r="E154" s="35">
        <f>(B148*(1-E151))/(2*B150/10^6*B151)</f>
        <v>0.47811812705192358</v>
      </c>
      <c r="K154" s="37" t="s">
        <v>187</v>
      </c>
    </row>
    <row r="155" spans="1:13" x14ac:dyDescent="0.35">
      <c r="A155" s="10"/>
      <c r="B155" s="11"/>
      <c r="C155" s="11"/>
      <c r="D155" s="11" t="s">
        <v>127</v>
      </c>
      <c r="E155" s="12">
        <f>E150+E154</f>
        <v>8.811451460385257</v>
      </c>
    </row>
    <row r="156" spans="1:13" x14ac:dyDescent="0.35">
      <c r="A156" s="13"/>
      <c r="B156" s="14"/>
      <c r="C156" s="14"/>
      <c r="D156" s="14" t="s">
        <v>128</v>
      </c>
      <c r="E156" s="15">
        <f>(E152*B149^2*B148)/(2*B150*(B148+B149)^2)</f>
        <v>0.42499389071282101</v>
      </c>
    </row>
    <row r="157" spans="1:13" x14ac:dyDescent="0.35">
      <c r="M157" t="s">
        <v>440</v>
      </c>
    </row>
    <row r="160" spans="1:13" x14ac:dyDescent="0.35">
      <c r="A160" t="s">
        <v>143</v>
      </c>
    </row>
    <row r="161" spans="1:5" x14ac:dyDescent="0.35">
      <c r="A161" t="s">
        <v>192</v>
      </c>
    </row>
    <row r="164" spans="1:5" x14ac:dyDescent="0.35">
      <c r="A164" s="3" t="s">
        <v>210</v>
      </c>
    </row>
    <row r="166" spans="1:5" x14ac:dyDescent="0.35">
      <c r="A166" t="s">
        <v>182</v>
      </c>
      <c r="B166" s="42">
        <f>E174*SQRT((E176+E178^2/12)/(1-E176))</f>
        <v>4.5486173965209229</v>
      </c>
    </row>
    <row r="167" spans="1:5" x14ac:dyDescent="0.35">
      <c r="B167" t="s">
        <v>213</v>
      </c>
    </row>
    <row r="169" spans="1:5" x14ac:dyDescent="0.35">
      <c r="A169" t="s">
        <v>212</v>
      </c>
    </row>
    <row r="171" spans="1:5" x14ac:dyDescent="0.35">
      <c r="A171" t="s">
        <v>185</v>
      </c>
      <c r="B171" s="11"/>
      <c r="D171" s="11"/>
      <c r="E171" s="11"/>
    </row>
    <row r="172" spans="1:5" x14ac:dyDescent="0.35">
      <c r="A172" s="7" t="s">
        <v>119</v>
      </c>
      <c r="B172" s="8">
        <v>100</v>
      </c>
      <c r="C172" s="8"/>
      <c r="D172" s="18" t="s">
        <v>164</v>
      </c>
      <c r="E172" s="9">
        <f>B174</f>
        <v>11</v>
      </c>
    </row>
    <row r="173" spans="1:5" x14ac:dyDescent="0.35">
      <c r="A173" s="10" t="s">
        <v>110</v>
      </c>
      <c r="B173" s="39">
        <v>22</v>
      </c>
      <c r="C173" s="11"/>
      <c r="D173" t="s">
        <v>165</v>
      </c>
      <c r="E173" s="12">
        <f>B173-B174</f>
        <v>11</v>
      </c>
    </row>
    <row r="174" spans="1:5" x14ac:dyDescent="0.35">
      <c r="A174" s="10" t="s">
        <v>121</v>
      </c>
      <c r="B174" s="11">
        <v>11</v>
      </c>
      <c r="C174" s="11"/>
      <c r="D174" s="11" t="s">
        <v>113</v>
      </c>
      <c r="E174" s="12">
        <f>B172/B173</f>
        <v>4.5454545454545459</v>
      </c>
    </row>
    <row r="175" spans="1:5" x14ac:dyDescent="0.35">
      <c r="A175" s="20" t="s">
        <v>166</v>
      </c>
      <c r="B175" s="11">
        <v>211</v>
      </c>
      <c r="C175" s="11"/>
      <c r="D175" s="11" t="s">
        <v>120</v>
      </c>
      <c r="E175" s="12">
        <f>E174/(1-E176)</f>
        <v>9.0909090909090917</v>
      </c>
    </row>
    <row r="176" spans="1:5" x14ac:dyDescent="0.35">
      <c r="A176" s="10" t="s">
        <v>5</v>
      </c>
      <c r="B176" s="11">
        <v>31373</v>
      </c>
      <c r="C176" s="11"/>
      <c r="D176" s="11" t="s">
        <v>122</v>
      </c>
      <c r="E176" s="12">
        <f>(B173-B174)/B173</f>
        <v>0.5</v>
      </c>
    </row>
    <row r="177" spans="1:5" x14ac:dyDescent="0.35">
      <c r="A177" s="10"/>
      <c r="B177" s="11"/>
      <c r="C177" s="11"/>
      <c r="D177" s="11" t="s">
        <v>124</v>
      </c>
      <c r="E177" s="12">
        <f>1/B176*1000000</f>
        <v>31.874541803461572</v>
      </c>
    </row>
    <row r="178" spans="1:5" x14ac:dyDescent="0.35">
      <c r="A178" s="10"/>
      <c r="B178" s="11"/>
      <c r="C178" s="11"/>
      <c r="D178" t="s">
        <v>123</v>
      </c>
      <c r="E178" s="12">
        <f>(E172*E176)/(B175/10^6*E175*B176)</f>
        <v>9.1393828393811619E-2</v>
      </c>
    </row>
    <row r="179" spans="1:5" x14ac:dyDescent="0.35">
      <c r="A179" s="10"/>
      <c r="B179" s="11"/>
      <c r="C179" s="11"/>
      <c r="D179" s="11" t="s">
        <v>126</v>
      </c>
      <c r="E179" s="35">
        <f>E178*E175/2</f>
        <v>0.41542649269914378</v>
      </c>
    </row>
    <row r="180" spans="1:5" x14ac:dyDescent="0.35">
      <c r="A180" s="10"/>
      <c r="B180" s="11"/>
      <c r="C180" s="11"/>
      <c r="D180" s="11" t="s">
        <v>127</v>
      </c>
      <c r="E180" s="12">
        <f>E175+E179</f>
        <v>9.5063355836082355</v>
      </c>
    </row>
    <row r="181" spans="1:5" x14ac:dyDescent="0.35">
      <c r="A181" s="13"/>
      <c r="B181" s="14"/>
      <c r="C181" s="14"/>
      <c r="D181" s="14" t="s">
        <v>128</v>
      </c>
      <c r="E181" s="15">
        <f>(E177*B174^2*B173)/(2*B175*(B173+B174)^2)</f>
        <v>0.18463399675517497</v>
      </c>
    </row>
  </sheetData>
  <hyperlinks>
    <hyperlink ref="K154" r:id="rId1" xr:uid="{1E0CCD3D-9DE0-48DF-9BE3-A3C26FF81D75}"/>
    <hyperlink ref="B125" r:id="rId2" xr:uid="{E4D77E7C-7DF9-4E31-8498-D7DE22BA769E}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54D8-B288-4DFD-8841-75F128B2BB79}">
  <dimension ref="A1:M44"/>
  <sheetViews>
    <sheetView zoomScale="70" zoomScaleNormal="70" workbookViewId="0">
      <selection activeCell="C26" sqref="C26"/>
    </sheetView>
  </sheetViews>
  <sheetFormatPr baseColWidth="10" defaultRowHeight="14.5" x14ac:dyDescent="0.35"/>
  <cols>
    <col min="1" max="1" width="24.26953125" bestFit="1" customWidth="1"/>
    <col min="2" max="2" width="13.26953125" bestFit="1" customWidth="1"/>
    <col min="3" max="3" width="24.26953125" bestFit="1" customWidth="1"/>
    <col min="11" max="11" width="13.453125" bestFit="1" customWidth="1"/>
    <col min="12" max="12" width="6.453125" bestFit="1" customWidth="1"/>
  </cols>
  <sheetData>
    <row r="1" spans="1:13" ht="21" x14ac:dyDescent="0.5">
      <c r="A1" s="1" t="s">
        <v>0</v>
      </c>
    </row>
    <row r="3" spans="1:13" x14ac:dyDescent="0.35">
      <c r="A3" t="s">
        <v>1</v>
      </c>
      <c r="B3" t="s">
        <v>2</v>
      </c>
      <c r="C3" t="s">
        <v>3</v>
      </c>
    </row>
    <row r="4" spans="1:13" x14ac:dyDescent="0.35">
      <c r="B4" t="s">
        <v>4</v>
      </c>
      <c r="C4" t="s">
        <v>16</v>
      </c>
    </row>
    <row r="5" spans="1:13" x14ac:dyDescent="0.35">
      <c r="B5" t="s">
        <v>20</v>
      </c>
      <c r="C5" t="s">
        <v>21</v>
      </c>
    </row>
    <row r="6" spans="1:13" x14ac:dyDescent="0.35">
      <c r="B6" t="s">
        <v>37</v>
      </c>
      <c r="C6" t="s">
        <v>61</v>
      </c>
    </row>
    <row r="9" spans="1:13" x14ac:dyDescent="0.35">
      <c r="A9" t="s">
        <v>17</v>
      </c>
    </row>
    <row r="10" spans="1:13" x14ac:dyDescent="0.35">
      <c r="B10" t="s">
        <v>44</v>
      </c>
      <c r="C10" t="s">
        <v>25</v>
      </c>
      <c r="D10" t="s">
        <v>29</v>
      </c>
      <c r="E10" t="s">
        <v>20</v>
      </c>
      <c r="F10" t="s">
        <v>26</v>
      </c>
      <c r="G10" t="s">
        <v>27</v>
      </c>
      <c r="H10" t="s">
        <v>28</v>
      </c>
      <c r="I10" t="s">
        <v>11</v>
      </c>
      <c r="J10" t="s">
        <v>37</v>
      </c>
      <c r="K10" t="s">
        <v>24</v>
      </c>
      <c r="L10" t="s">
        <v>39</v>
      </c>
    </row>
    <row r="11" spans="1:13" x14ac:dyDescent="0.35">
      <c r="B11" t="s">
        <v>38</v>
      </c>
      <c r="C11" t="s">
        <v>23</v>
      </c>
      <c r="D11">
        <v>2.2000000000000002</v>
      </c>
      <c r="E11" t="s">
        <v>30</v>
      </c>
      <c r="F11">
        <v>35</v>
      </c>
      <c r="G11">
        <v>20</v>
      </c>
      <c r="H11">
        <v>1000</v>
      </c>
      <c r="I11" s="3" t="s">
        <v>49</v>
      </c>
      <c r="J11" s="2">
        <v>2.5</v>
      </c>
    </row>
    <row r="12" spans="1:13" x14ac:dyDescent="0.35">
      <c r="B12" t="s">
        <v>22</v>
      </c>
      <c r="C12" t="s">
        <v>23</v>
      </c>
      <c r="D12">
        <v>3</v>
      </c>
      <c r="E12" t="s">
        <v>30</v>
      </c>
      <c r="F12">
        <v>100</v>
      </c>
      <c r="G12">
        <v>50</v>
      </c>
      <c r="H12">
        <v>130</v>
      </c>
      <c r="I12" t="s">
        <v>49</v>
      </c>
      <c r="J12" s="2">
        <v>1.8</v>
      </c>
    </row>
    <row r="13" spans="1:13" x14ac:dyDescent="0.35">
      <c r="B13" t="s">
        <v>43</v>
      </c>
      <c r="C13" t="s">
        <v>23</v>
      </c>
      <c r="D13">
        <v>3</v>
      </c>
      <c r="E13" t="s">
        <v>30</v>
      </c>
      <c r="F13">
        <v>100</v>
      </c>
      <c r="G13">
        <v>50</v>
      </c>
      <c r="H13">
        <v>130</v>
      </c>
      <c r="I13" t="s">
        <v>49</v>
      </c>
      <c r="J13" s="2">
        <v>0.83</v>
      </c>
    </row>
    <row r="14" spans="1:13" x14ac:dyDescent="0.35">
      <c r="B14" t="s">
        <v>18</v>
      </c>
      <c r="C14" t="s">
        <v>31</v>
      </c>
      <c r="D14">
        <v>3</v>
      </c>
      <c r="E14" t="s">
        <v>30</v>
      </c>
      <c r="F14">
        <v>100</v>
      </c>
      <c r="G14">
        <v>50</v>
      </c>
      <c r="H14">
        <v>130</v>
      </c>
      <c r="I14">
        <v>520</v>
      </c>
      <c r="J14" s="2">
        <v>2.04</v>
      </c>
      <c r="L14" t="s">
        <v>45</v>
      </c>
    </row>
    <row r="15" spans="1:13" x14ac:dyDescent="0.35">
      <c r="B15" t="s">
        <v>40</v>
      </c>
      <c r="C15" t="s">
        <v>23</v>
      </c>
      <c r="D15">
        <v>2.9</v>
      </c>
      <c r="E15" t="s">
        <v>30</v>
      </c>
      <c r="F15">
        <v>150</v>
      </c>
      <c r="G15">
        <v>50</v>
      </c>
      <c r="H15">
        <v>120</v>
      </c>
      <c r="I15" t="s">
        <v>49</v>
      </c>
      <c r="J15" s="2">
        <v>1.8</v>
      </c>
    </row>
    <row r="16" spans="1:13" x14ac:dyDescent="0.35">
      <c r="B16" s="4" t="s">
        <v>51</v>
      </c>
      <c r="C16" s="4" t="s">
        <v>31</v>
      </c>
      <c r="D16" s="4">
        <v>2.9</v>
      </c>
      <c r="E16" s="4" t="s">
        <v>30</v>
      </c>
      <c r="F16" s="4">
        <v>150</v>
      </c>
      <c r="G16" s="4">
        <v>50</v>
      </c>
      <c r="H16" s="4">
        <v>120</v>
      </c>
      <c r="I16" s="4">
        <v>540</v>
      </c>
      <c r="J16" s="5">
        <v>1.92</v>
      </c>
      <c r="K16" s="4"/>
      <c r="L16" s="4" t="s">
        <v>50</v>
      </c>
      <c r="M16" t="s">
        <v>158</v>
      </c>
    </row>
    <row r="17" spans="1:12" x14ac:dyDescent="0.35">
      <c r="B17" t="s">
        <v>32</v>
      </c>
      <c r="C17" t="s">
        <v>35</v>
      </c>
      <c r="D17">
        <v>2.2000000000000002</v>
      </c>
      <c r="E17" t="s">
        <v>36</v>
      </c>
      <c r="F17">
        <v>43</v>
      </c>
      <c r="G17">
        <v>26</v>
      </c>
      <c r="H17">
        <v>1000</v>
      </c>
      <c r="I17" t="s">
        <v>49</v>
      </c>
      <c r="J17" s="2">
        <v>5.3</v>
      </c>
    </row>
    <row r="18" spans="1:12" x14ac:dyDescent="0.35">
      <c r="B18" t="s">
        <v>33</v>
      </c>
      <c r="C18" t="s">
        <v>34</v>
      </c>
      <c r="D18">
        <v>3</v>
      </c>
      <c r="E18" t="s">
        <v>30</v>
      </c>
      <c r="F18">
        <v>80</v>
      </c>
      <c r="G18">
        <v>40</v>
      </c>
      <c r="H18">
        <v>200</v>
      </c>
      <c r="I18" t="s">
        <v>49</v>
      </c>
      <c r="J18" s="2">
        <v>2.4300000000000002</v>
      </c>
      <c r="L18" t="s">
        <v>50</v>
      </c>
    </row>
    <row r="19" spans="1:12" x14ac:dyDescent="0.35">
      <c r="B19" s="4" t="s">
        <v>48</v>
      </c>
      <c r="C19" s="4" t="s">
        <v>31</v>
      </c>
      <c r="D19" s="4">
        <v>2.7</v>
      </c>
      <c r="E19" s="4" t="s">
        <v>30</v>
      </c>
      <c r="F19" s="4">
        <v>40</v>
      </c>
      <c r="G19" s="4">
        <v>20</v>
      </c>
      <c r="H19" s="4">
        <v>1900</v>
      </c>
      <c r="I19" s="4">
        <v>400</v>
      </c>
      <c r="J19" s="5">
        <v>2.7</v>
      </c>
      <c r="K19" s="4"/>
      <c r="L19" s="4" t="s">
        <v>45</v>
      </c>
    </row>
    <row r="20" spans="1:12" x14ac:dyDescent="0.35">
      <c r="B20" t="s">
        <v>41</v>
      </c>
      <c r="C20" t="s">
        <v>23</v>
      </c>
      <c r="D20">
        <v>2.9</v>
      </c>
      <c r="E20" t="s">
        <v>42</v>
      </c>
      <c r="F20">
        <v>130</v>
      </c>
      <c r="G20">
        <v>50</v>
      </c>
      <c r="H20">
        <v>120</v>
      </c>
      <c r="I20" t="s">
        <v>49</v>
      </c>
      <c r="J20" s="2">
        <v>2.48</v>
      </c>
    </row>
    <row r="21" spans="1:12" x14ac:dyDescent="0.35">
      <c r="B21" t="s">
        <v>19</v>
      </c>
      <c r="C21" t="s">
        <v>23</v>
      </c>
      <c r="D21">
        <v>2.5</v>
      </c>
      <c r="E21" t="s">
        <v>30</v>
      </c>
      <c r="F21">
        <v>40</v>
      </c>
      <c r="G21">
        <v>20</v>
      </c>
      <c r="H21">
        <v>2000</v>
      </c>
      <c r="I21" t="s">
        <v>49</v>
      </c>
      <c r="J21" s="2">
        <v>2.65</v>
      </c>
      <c r="L21" t="s">
        <v>45</v>
      </c>
    </row>
    <row r="22" spans="1:12" x14ac:dyDescent="0.35">
      <c r="J22" s="2"/>
    </row>
    <row r="23" spans="1:12" x14ac:dyDescent="0.35">
      <c r="J23" s="2"/>
    </row>
    <row r="24" spans="1:12" x14ac:dyDescent="0.35">
      <c r="J24" s="2"/>
    </row>
    <row r="25" spans="1:12" x14ac:dyDescent="0.35">
      <c r="J25" s="2"/>
    </row>
    <row r="26" spans="1:12" x14ac:dyDescent="0.35">
      <c r="J26" s="2"/>
    </row>
    <row r="28" spans="1:12" x14ac:dyDescent="0.35">
      <c r="A28" s="6" t="s">
        <v>46</v>
      </c>
    </row>
    <row r="30" spans="1:12" x14ac:dyDescent="0.35">
      <c r="A30" t="s">
        <v>47</v>
      </c>
    </row>
    <row r="32" spans="1:12" x14ac:dyDescent="0.35">
      <c r="A32" s="6" t="s">
        <v>10</v>
      </c>
    </row>
    <row r="33" spans="1:4" x14ac:dyDescent="0.35">
      <c r="A33" s="17"/>
      <c r="B33" s="18"/>
      <c r="C33" s="18"/>
      <c r="D33" s="29" t="s">
        <v>13</v>
      </c>
    </row>
    <row r="34" spans="1:4" x14ac:dyDescent="0.35">
      <c r="A34" s="20" t="s">
        <v>5</v>
      </c>
      <c r="B34">
        <v>62000</v>
      </c>
      <c r="C34" t="s">
        <v>8</v>
      </c>
      <c r="D34" s="30"/>
    </row>
    <row r="35" spans="1:4" x14ac:dyDescent="0.35">
      <c r="A35" s="20" t="s">
        <v>6</v>
      </c>
      <c r="B35">
        <f>1/B34</f>
        <v>1.6129032258064517E-5</v>
      </c>
      <c r="C35" t="s">
        <v>7</v>
      </c>
      <c r="D35" s="30"/>
    </row>
    <row r="36" spans="1:4" x14ac:dyDescent="0.35">
      <c r="A36" s="20" t="s">
        <v>6</v>
      </c>
      <c r="B36">
        <f>B35*10^9</f>
        <v>16129.032258064517</v>
      </c>
      <c r="C36" t="s">
        <v>9</v>
      </c>
      <c r="D36" s="30"/>
    </row>
    <row r="37" spans="1:4" x14ac:dyDescent="0.35">
      <c r="A37" s="20" t="s">
        <v>12</v>
      </c>
      <c r="B37" s="31">
        <v>1E-3</v>
      </c>
      <c r="D37" s="30"/>
    </row>
    <row r="38" spans="1:4" x14ac:dyDescent="0.35">
      <c r="A38" s="20" t="s">
        <v>11</v>
      </c>
      <c r="B38">
        <f>B36*B37</f>
        <v>16.129032258064516</v>
      </c>
      <c r="C38" t="s">
        <v>9</v>
      </c>
      <c r="D38" s="30" t="s">
        <v>14</v>
      </c>
    </row>
    <row r="39" spans="1:4" x14ac:dyDescent="0.35">
      <c r="A39" s="20"/>
      <c r="D39" s="30"/>
    </row>
    <row r="40" spans="1:4" x14ac:dyDescent="0.35">
      <c r="A40" s="20" t="s">
        <v>11</v>
      </c>
      <c r="B40">
        <v>520</v>
      </c>
      <c r="C40" t="s">
        <v>9</v>
      </c>
      <c r="D40" s="30"/>
    </row>
    <row r="41" spans="1:4" x14ac:dyDescent="0.35">
      <c r="A41" s="20" t="s">
        <v>12</v>
      </c>
      <c r="B41" s="31">
        <f>B40/B36</f>
        <v>3.2239999999999998E-2</v>
      </c>
      <c r="D41" s="30" t="s">
        <v>14</v>
      </c>
    </row>
    <row r="42" spans="1:4" x14ac:dyDescent="0.35">
      <c r="A42" s="20"/>
      <c r="D42" s="30"/>
    </row>
    <row r="43" spans="1:4" x14ac:dyDescent="0.35">
      <c r="A43" s="20"/>
      <c r="D43" s="30"/>
    </row>
    <row r="44" spans="1:4" x14ac:dyDescent="0.35">
      <c r="A44" s="22" t="s">
        <v>15</v>
      </c>
      <c r="B44" s="23"/>
      <c r="C44" s="23"/>
      <c r="D44" s="32"/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C07D-72C8-45B2-A8FE-FEAB172EB218}">
  <dimension ref="A1:F38"/>
  <sheetViews>
    <sheetView topLeftCell="D5" workbookViewId="0">
      <selection activeCell="B32" sqref="B32"/>
    </sheetView>
  </sheetViews>
  <sheetFormatPr baseColWidth="10" defaultRowHeight="14.5" x14ac:dyDescent="0.35"/>
  <cols>
    <col min="1" max="1" width="14.54296875" bestFit="1" customWidth="1"/>
    <col min="2" max="2" width="12.1796875" customWidth="1"/>
    <col min="3" max="3" width="16.7265625" customWidth="1"/>
    <col min="4" max="4" width="12.81640625" bestFit="1" customWidth="1"/>
    <col min="5" max="5" width="21.7265625" customWidth="1"/>
  </cols>
  <sheetData>
    <row r="1" spans="1:4" x14ac:dyDescent="0.35">
      <c r="A1" s="6" t="s">
        <v>52</v>
      </c>
    </row>
    <row r="2" spans="1:4" x14ac:dyDescent="0.35">
      <c r="A2" s="6"/>
    </row>
    <row r="3" spans="1:4" x14ac:dyDescent="0.35">
      <c r="A3" t="s">
        <v>79</v>
      </c>
      <c r="B3" t="s">
        <v>50</v>
      </c>
      <c r="C3" t="s">
        <v>104</v>
      </c>
    </row>
    <row r="4" spans="1:4" x14ac:dyDescent="0.35">
      <c r="A4" s="6"/>
      <c r="B4" t="s">
        <v>80</v>
      </c>
      <c r="C4" t="s">
        <v>81</v>
      </c>
    </row>
    <row r="5" spans="1:4" x14ac:dyDescent="0.35">
      <c r="A5" s="6"/>
    </row>
    <row r="6" spans="1:4" x14ac:dyDescent="0.35">
      <c r="A6" s="6"/>
    </row>
    <row r="7" spans="1:4" x14ac:dyDescent="0.35">
      <c r="A7" s="6"/>
    </row>
    <row r="8" spans="1:4" x14ac:dyDescent="0.35">
      <c r="A8" t="s">
        <v>71</v>
      </c>
      <c r="B8" s="63" t="s">
        <v>72</v>
      </c>
      <c r="C8" s="63"/>
    </row>
    <row r="9" spans="1:4" x14ac:dyDescent="0.35">
      <c r="A9" t="s">
        <v>73</v>
      </c>
      <c r="B9">
        <v>150</v>
      </c>
      <c r="C9">
        <f>B9/10^9</f>
        <v>1.4999999999999999E-7</v>
      </c>
    </row>
    <row r="10" spans="1:4" x14ac:dyDescent="0.35">
      <c r="A10" t="s">
        <v>99</v>
      </c>
      <c r="B10">
        <v>75</v>
      </c>
      <c r="C10">
        <f>B10/10^6</f>
        <v>7.4999999999999993E-5</v>
      </c>
    </row>
    <row r="11" spans="1:4" x14ac:dyDescent="0.35">
      <c r="A11" t="s">
        <v>74</v>
      </c>
      <c r="B11">
        <v>5</v>
      </c>
      <c r="C11">
        <f>B11/10^9</f>
        <v>5.0000000000000001E-9</v>
      </c>
    </row>
    <row r="12" spans="1:4" x14ac:dyDescent="0.35">
      <c r="A12" t="s">
        <v>75</v>
      </c>
      <c r="B12" s="64">
        <v>0</v>
      </c>
      <c r="C12" s="63"/>
      <c r="D12" t="s">
        <v>103</v>
      </c>
    </row>
    <row r="13" spans="1:4" x14ac:dyDescent="0.35">
      <c r="A13" t="s">
        <v>76</v>
      </c>
      <c r="B13" s="63">
        <v>32000</v>
      </c>
      <c r="C13" s="63"/>
    </row>
    <row r="14" spans="1:4" x14ac:dyDescent="0.35">
      <c r="A14" t="s">
        <v>77</v>
      </c>
      <c r="B14" s="63">
        <v>10</v>
      </c>
      <c r="C14" s="63"/>
    </row>
    <row r="15" spans="1:4" x14ac:dyDescent="0.35">
      <c r="A15" t="s">
        <v>96</v>
      </c>
      <c r="B15" s="63">
        <v>0.7</v>
      </c>
      <c r="C15" s="63"/>
    </row>
    <row r="16" spans="1:4" x14ac:dyDescent="0.35">
      <c r="A16" t="s">
        <v>97</v>
      </c>
      <c r="B16" s="63">
        <v>0.7</v>
      </c>
      <c r="C16" s="63"/>
      <c r="D16" t="s">
        <v>100</v>
      </c>
    </row>
    <row r="17" spans="1:4" x14ac:dyDescent="0.35">
      <c r="A17" t="s">
        <v>98</v>
      </c>
      <c r="B17" s="63">
        <v>1</v>
      </c>
      <c r="C17" s="63"/>
      <c r="D17" t="s">
        <v>101</v>
      </c>
    </row>
    <row r="19" spans="1:4" x14ac:dyDescent="0.35">
      <c r="A19" t="s">
        <v>102</v>
      </c>
      <c r="B19">
        <f>C19*10^9</f>
        <v>80.879934210526301</v>
      </c>
      <c r="C19" s="3">
        <f>2*(2*C9+(C10/B13)+C11+(B12/B13))/(B14-B15-B16-B17)</f>
        <v>8.0879934210526299E-8</v>
      </c>
    </row>
    <row r="20" spans="1:4" ht="12.75" customHeight="1" x14ac:dyDescent="0.35"/>
    <row r="21" spans="1:4" x14ac:dyDescent="0.35">
      <c r="A21" t="s">
        <v>53</v>
      </c>
    </row>
    <row r="22" spans="1:4" x14ac:dyDescent="0.35">
      <c r="A22" t="s">
        <v>56</v>
      </c>
      <c r="B22" t="s">
        <v>54</v>
      </c>
    </row>
    <row r="23" spans="1:4" x14ac:dyDescent="0.35">
      <c r="A23" t="s">
        <v>57</v>
      </c>
      <c r="B23" t="s">
        <v>55</v>
      </c>
    </row>
    <row r="25" spans="1:4" x14ac:dyDescent="0.35">
      <c r="A25" t="s">
        <v>105</v>
      </c>
      <c r="B25" t="s">
        <v>106</v>
      </c>
    </row>
    <row r="29" spans="1:4" x14ac:dyDescent="0.35">
      <c r="A29" s="6" t="s">
        <v>78</v>
      </c>
    </row>
    <row r="31" spans="1:4" x14ac:dyDescent="0.35">
      <c r="A31" t="s">
        <v>79</v>
      </c>
      <c r="B31" t="s">
        <v>82</v>
      </c>
      <c r="C31" s="63" t="s">
        <v>83</v>
      </c>
      <c r="D31" s="63"/>
    </row>
    <row r="32" spans="1:4" x14ac:dyDescent="0.35">
      <c r="B32" t="s">
        <v>84</v>
      </c>
      <c r="C32" s="63" t="s">
        <v>85</v>
      </c>
      <c r="D32" s="63"/>
    </row>
    <row r="33" spans="2:6" x14ac:dyDescent="0.35">
      <c r="B33" t="s">
        <v>91</v>
      </c>
      <c r="C33">
        <f>32000*C9*1000</f>
        <v>4.8</v>
      </c>
      <c r="D33">
        <f>32000*C9</f>
        <v>4.7999999999999996E-3</v>
      </c>
      <c r="E33" t="s">
        <v>86</v>
      </c>
    </row>
    <row r="36" spans="2:6" x14ac:dyDescent="0.35">
      <c r="B36" t="s">
        <v>78</v>
      </c>
      <c r="C36" t="s">
        <v>89</v>
      </c>
      <c r="D36" t="s">
        <v>90</v>
      </c>
      <c r="E36" t="s">
        <v>92</v>
      </c>
      <c r="F36" t="s">
        <v>94</v>
      </c>
    </row>
    <row r="37" spans="2:6" x14ac:dyDescent="0.35">
      <c r="B37" t="s">
        <v>87</v>
      </c>
      <c r="C37">
        <v>100</v>
      </c>
      <c r="D37">
        <v>5000</v>
      </c>
      <c r="E37" t="s">
        <v>93</v>
      </c>
    </row>
    <row r="38" spans="2:6" x14ac:dyDescent="0.35">
      <c r="B38" t="s">
        <v>88</v>
      </c>
      <c r="C38">
        <v>100</v>
      </c>
      <c r="D38">
        <v>150</v>
      </c>
      <c r="E38" t="s">
        <v>117</v>
      </c>
      <c r="F38" t="s">
        <v>95</v>
      </c>
    </row>
  </sheetData>
  <mergeCells count="9">
    <mergeCell ref="B8:C8"/>
    <mergeCell ref="B12:C12"/>
    <mergeCell ref="B14:C14"/>
    <mergeCell ref="B13:C13"/>
    <mergeCell ref="C32:D32"/>
    <mergeCell ref="C31:D31"/>
    <mergeCell ref="B15:C15"/>
    <mergeCell ref="B17:C17"/>
    <mergeCell ref="B16:C16"/>
  </mergeCells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192F-6E8F-4274-AD19-E55D68B70F81}">
  <sheetPr codeName="Tabelle1"/>
  <dimension ref="A1:D43"/>
  <sheetViews>
    <sheetView zoomScale="55" zoomScaleNormal="55" workbookViewId="0">
      <selection activeCell="B3" sqref="B3"/>
    </sheetView>
  </sheetViews>
  <sheetFormatPr baseColWidth="10" defaultRowHeight="14.5" x14ac:dyDescent="0.35"/>
  <cols>
    <col min="1" max="1" width="16.26953125" bestFit="1" customWidth="1"/>
    <col min="3" max="3" width="17.1796875" bestFit="1" customWidth="1"/>
  </cols>
  <sheetData>
    <row r="1" spans="1:4" x14ac:dyDescent="0.35">
      <c r="A1" s="63" t="s">
        <v>58</v>
      </c>
      <c r="B1" s="63"/>
      <c r="C1" s="63"/>
      <c r="D1" s="63"/>
    </row>
    <row r="3" spans="1:4" x14ac:dyDescent="0.35">
      <c r="A3" t="s">
        <v>59</v>
      </c>
      <c r="B3" t="s">
        <v>60</v>
      </c>
      <c r="C3" t="s">
        <v>62</v>
      </c>
    </row>
    <row r="4" spans="1:4" x14ac:dyDescent="0.35">
      <c r="B4" t="s">
        <v>37</v>
      </c>
      <c r="C4" t="s">
        <v>61</v>
      </c>
    </row>
    <row r="5" spans="1:4" x14ac:dyDescent="0.35">
      <c r="B5" t="s">
        <v>64</v>
      </c>
      <c r="C5" t="s">
        <v>63</v>
      </c>
    </row>
    <row r="6" spans="1:4" x14ac:dyDescent="0.35">
      <c r="B6" t="s">
        <v>65</v>
      </c>
      <c r="C6" t="s">
        <v>66</v>
      </c>
    </row>
    <row r="7" spans="1:4" x14ac:dyDescent="0.35">
      <c r="B7" t="s">
        <v>67</v>
      </c>
      <c r="C7" t="s">
        <v>68</v>
      </c>
    </row>
    <row r="9" spans="1:4" x14ac:dyDescent="0.35">
      <c r="A9" t="s">
        <v>69</v>
      </c>
      <c r="B9" t="s">
        <v>70</v>
      </c>
    </row>
    <row r="43" spans="1:2" x14ac:dyDescent="0.35">
      <c r="A43" t="s">
        <v>105</v>
      </c>
      <c r="B43" t="s">
        <v>107</v>
      </c>
    </row>
  </sheetData>
  <mergeCells count="1">
    <mergeCell ref="A1:D1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603AD-2729-4C93-A040-2F4F7F4D1D8F}">
  <dimension ref="A1:H81"/>
  <sheetViews>
    <sheetView topLeftCell="A33" workbookViewId="0">
      <selection activeCell="B67" sqref="B67"/>
    </sheetView>
  </sheetViews>
  <sheetFormatPr baseColWidth="10" defaultRowHeight="14.5" x14ac:dyDescent="0.35"/>
  <cols>
    <col min="1" max="1" width="15.81640625" bestFit="1" customWidth="1"/>
  </cols>
  <sheetData>
    <row r="1" spans="1:3" x14ac:dyDescent="0.35">
      <c r="A1" s="6" t="s">
        <v>108</v>
      </c>
    </row>
    <row r="3" spans="1:3" x14ac:dyDescent="0.35">
      <c r="A3" t="s">
        <v>79</v>
      </c>
    </row>
    <row r="4" spans="1:3" x14ac:dyDescent="0.35">
      <c r="B4" t="s">
        <v>109</v>
      </c>
      <c r="C4" t="s">
        <v>112</v>
      </c>
    </row>
    <row r="5" spans="1:3" x14ac:dyDescent="0.35">
      <c r="B5" t="s">
        <v>110</v>
      </c>
      <c r="C5" t="s">
        <v>111</v>
      </c>
    </row>
    <row r="6" spans="1:3" x14ac:dyDescent="0.35">
      <c r="B6" t="s">
        <v>113</v>
      </c>
      <c r="C6" t="s">
        <v>114</v>
      </c>
    </row>
    <row r="8" spans="1:3" x14ac:dyDescent="0.35">
      <c r="A8" t="s">
        <v>115</v>
      </c>
    </row>
    <row r="9" spans="1:3" x14ac:dyDescent="0.35">
      <c r="A9" t="s">
        <v>116</v>
      </c>
    </row>
    <row r="11" spans="1:3" x14ac:dyDescent="0.35">
      <c r="A11" s="6" t="s">
        <v>144</v>
      </c>
    </row>
    <row r="13" spans="1:3" x14ac:dyDescent="0.35">
      <c r="A13" t="s">
        <v>79</v>
      </c>
    </row>
    <row r="14" spans="1:3" x14ac:dyDescent="0.35">
      <c r="A14" s="17" t="s">
        <v>130</v>
      </c>
      <c r="B14" s="19" t="s">
        <v>146</v>
      </c>
    </row>
    <row r="15" spans="1:3" x14ac:dyDescent="0.35">
      <c r="A15" s="20" t="s">
        <v>139</v>
      </c>
      <c r="B15" s="21" t="s">
        <v>140</v>
      </c>
    </row>
    <row r="16" spans="1:3" x14ac:dyDescent="0.35">
      <c r="A16" t="s">
        <v>82</v>
      </c>
      <c r="B16" s="21" t="s">
        <v>147</v>
      </c>
    </row>
    <row r="17" spans="1:5" x14ac:dyDescent="0.35">
      <c r="A17" s="22" t="s">
        <v>141</v>
      </c>
      <c r="B17" s="24" t="s">
        <v>142</v>
      </c>
    </row>
    <row r="19" spans="1:5" x14ac:dyDescent="0.35">
      <c r="A19" t="s">
        <v>143</v>
      </c>
    </row>
    <row r="20" spans="1:5" x14ac:dyDescent="0.35">
      <c r="A20" t="s">
        <v>88</v>
      </c>
    </row>
    <row r="21" spans="1:5" x14ac:dyDescent="0.35">
      <c r="A21" s="17" t="s">
        <v>148</v>
      </c>
      <c r="B21" s="28">
        <v>5</v>
      </c>
    </row>
    <row r="22" spans="1:5" x14ac:dyDescent="0.35">
      <c r="A22" s="20" t="s">
        <v>139</v>
      </c>
      <c r="B22" s="21" t="s">
        <v>140</v>
      </c>
    </row>
    <row r="23" spans="1:5" x14ac:dyDescent="0.35">
      <c r="A23" t="s">
        <v>82</v>
      </c>
      <c r="B23" s="21" t="s">
        <v>149</v>
      </c>
    </row>
    <row r="24" spans="1:5" x14ac:dyDescent="0.35">
      <c r="A24" s="22" t="s">
        <v>141</v>
      </c>
      <c r="B24" s="24" t="s">
        <v>142</v>
      </c>
    </row>
    <row r="27" spans="1:5" x14ac:dyDescent="0.35">
      <c r="A27" s="6" t="s">
        <v>150</v>
      </c>
    </row>
    <row r="29" spans="1:5" x14ac:dyDescent="0.35">
      <c r="A29" t="s">
        <v>151</v>
      </c>
      <c r="B29" t="s">
        <v>152</v>
      </c>
      <c r="D29" t="s">
        <v>153</v>
      </c>
      <c r="E29" s="2">
        <v>1.5</v>
      </c>
    </row>
    <row r="30" spans="1:5" x14ac:dyDescent="0.35">
      <c r="A30" t="s">
        <v>154</v>
      </c>
      <c r="B30" t="s">
        <v>155</v>
      </c>
      <c r="E30" s="2">
        <v>0.35</v>
      </c>
    </row>
    <row r="32" spans="1:5" x14ac:dyDescent="0.35">
      <c r="A32" s="6" t="s">
        <v>156</v>
      </c>
    </row>
    <row r="34" spans="1:1" x14ac:dyDescent="0.35">
      <c r="A34" t="s">
        <v>157</v>
      </c>
    </row>
    <row r="37" spans="1:1" x14ac:dyDescent="0.35">
      <c r="A37" s="6" t="s">
        <v>197</v>
      </c>
    </row>
    <row r="39" spans="1:1" x14ac:dyDescent="0.35">
      <c r="A39" t="s">
        <v>199</v>
      </c>
    </row>
    <row r="40" spans="1:1" x14ac:dyDescent="0.35">
      <c r="A40" t="s">
        <v>198</v>
      </c>
    </row>
    <row r="41" spans="1:1" x14ac:dyDescent="0.35">
      <c r="A41" t="s">
        <v>200</v>
      </c>
    </row>
    <row r="44" spans="1:1" x14ac:dyDescent="0.35">
      <c r="A44" s="6" t="s">
        <v>214</v>
      </c>
    </row>
    <row r="46" spans="1:1" x14ac:dyDescent="0.35">
      <c r="A46" t="s">
        <v>215</v>
      </c>
    </row>
    <row r="49" spans="1:2" x14ac:dyDescent="0.35">
      <c r="A49" s="6" t="s">
        <v>216</v>
      </c>
    </row>
    <row r="50" spans="1:2" x14ac:dyDescent="0.35">
      <c r="A50" s="6" t="s">
        <v>222</v>
      </c>
    </row>
    <row r="52" spans="1:2" x14ac:dyDescent="0.35">
      <c r="A52" t="s">
        <v>79</v>
      </c>
    </row>
    <row r="53" spans="1:2" x14ac:dyDescent="0.35">
      <c r="A53" s="17" t="s">
        <v>148</v>
      </c>
      <c r="B53" s="19">
        <v>5</v>
      </c>
    </row>
    <row r="54" spans="1:2" x14ac:dyDescent="0.35">
      <c r="A54" s="20" t="s">
        <v>218</v>
      </c>
      <c r="B54" s="21">
        <v>100</v>
      </c>
    </row>
    <row r="55" spans="1:2" x14ac:dyDescent="0.35">
      <c r="A55" t="s">
        <v>217</v>
      </c>
      <c r="B55" s="21">
        <v>12</v>
      </c>
    </row>
    <row r="56" spans="1:2" x14ac:dyDescent="0.35">
      <c r="A56" s="22"/>
      <c r="B56" s="24"/>
    </row>
    <row r="58" spans="1:2" x14ac:dyDescent="0.35">
      <c r="A58" t="s">
        <v>219</v>
      </c>
    </row>
    <row r="61" spans="1:2" x14ac:dyDescent="0.35">
      <c r="A61" t="s">
        <v>220</v>
      </c>
    </row>
    <row r="62" spans="1:2" x14ac:dyDescent="0.35">
      <c r="A62" t="s">
        <v>221</v>
      </c>
    </row>
    <row r="65" spans="1:6" x14ac:dyDescent="0.35">
      <c r="A65" s="6" t="s">
        <v>223</v>
      </c>
    </row>
    <row r="66" spans="1:6" x14ac:dyDescent="0.35">
      <c r="A66" t="s">
        <v>79</v>
      </c>
    </row>
    <row r="67" spans="1:6" x14ac:dyDescent="0.35">
      <c r="A67" s="17" t="s">
        <v>148</v>
      </c>
      <c r="B67" s="19">
        <v>8</v>
      </c>
    </row>
    <row r="68" spans="1:6" x14ac:dyDescent="0.35">
      <c r="A68" s="20" t="s">
        <v>224</v>
      </c>
      <c r="B68" s="21">
        <v>60</v>
      </c>
    </row>
    <row r="69" spans="1:6" x14ac:dyDescent="0.35">
      <c r="A69" t="s">
        <v>217</v>
      </c>
      <c r="B69" s="21">
        <v>12</v>
      </c>
    </row>
    <row r="70" spans="1:6" x14ac:dyDescent="0.35">
      <c r="A70" s="22" t="s">
        <v>230</v>
      </c>
      <c r="B70" s="24">
        <v>100</v>
      </c>
    </row>
    <row r="72" spans="1:6" x14ac:dyDescent="0.35">
      <c r="A72" t="s">
        <v>225</v>
      </c>
    </row>
    <row r="73" spans="1:6" x14ac:dyDescent="0.35">
      <c r="A73" t="s">
        <v>228</v>
      </c>
    </row>
    <row r="74" spans="1:6" x14ac:dyDescent="0.35">
      <c r="A74" t="s">
        <v>226</v>
      </c>
      <c r="E74" t="s">
        <v>229</v>
      </c>
    </row>
    <row r="75" spans="1:6" x14ac:dyDescent="0.35">
      <c r="A75" t="s">
        <v>227</v>
      </c>
    </row>
    <row r="76" spans="1:6" x14ac:dyDescent="0.35">
      <c r="A76" t="s">
        <v>231</v>
      </c>
    </row>
    <row r="77" spans="1:6" x14ac:dyDescent="0.35">
      <c r="A77" t="s">
        <v>232</v>
      </c>
    </row>
    <row r="78" spans="1:6" x14ac:dyDescent="0.35">
      <c r="A78" t="s">
        <v>233</v>
      </c>
      <c r="F78" t="s">
        <v>234</v>
      </c>
    </row>
    <row r="79" spans="1:6" x14ac:dyDescent="0.35">
      <c r="A79" t="s">
        <v>236</v>
      </c>
    </row>
    <row r="80" spans="1:6" x14ac:dyDescent="0.35">
      <c r="A80" t="s">
        <v>235</v>
      </c>
    </row>
    <row r="81" spans="1:8" x14ac:dyDescent="0.35">
      <c r="A81" t="s">
        <v>237</v>
      </c>
      <c r="H81" t="s">
        <v>238</v>
      </c>
    </row>
  </sheetData>
  <pageMargins left="0.7" right="0.7" top="0.78740157499999996" bottom="0.78740157499999996" header="0.3" footer="0.3"/>
  <pageSetup paperSize="9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B4792-FABF-4E10-9559-74872BCF850C}">
  <dimension ref="A1:A29"/>
  <sheetViews>
    <sheetView workbookViewId="0">
      <selection activeCell="E33" sqref="E33"/>
    </sheetView>
  </sheetViews>
  <sheetFormatPr baseColWidth="10" defaultRowHeight="14.5" x14ac:dyDescent="0.35"/>
  <sheetData>
    <row r="1" spans="1:1" x14ac:dyDescent="0.35">
      <c r="A1" s="43"/>
    </row>
    <row r="2" spans="1:1" x14ac:dyDescent="0.35">
      <c r="A2" s="43" t="s">
        <v>239</v>
      </c>
    </row>
    <row r="3" spans="1:1" x14ac:dyDescent="0.35">
      <c r="A3" s="43" t="s">
        <v>240</v>
      </c>
    </row>
    <row r="4" spans="1:1" x14ac:dyDescent="0.35">
      <c r="A4" s="44" t="s">
        <v>241</v>
      </c>
    </row>
    <row r="5" spans="1:1" x14ac:dyDescent="0.35">
      <c r="A5" s="44"/>
    </row>
    <row r="6" spans="1:1" x14ac:dyDescent="0.35">
      <c r="A6" s="44"/>
    </row>
    <row r="7" spans="1:1" x14ac:dyDescent="0.35">
      <c r="A7" s="44"/>
    </row>
    <row r="8" spans="1:1" x14ac:dyDescent="0.35">
      <c r="A8" s="44"/>
    </row>
    <row r="9" spans="1:1" x14ac:dyDescent="0.35">
      <c r="A9" s="44"/>
    </row>
    <row r="10" spans="1:1" x14ac:dyDescent="0.35">
      <c r="A10" s="44"/>
    </row>
    <row r="11" spans="1:1" x14ac:dyDescent="0.35">
      <c r="A11" s="44"/>
    </row>
    <row r="12" spans="1:1" x14ac:dyDescent="0.35">
      <c r="A12" s="44"/>
    </row>
    <row r="17" spans="1:1" x14ac:dyDescent="0.35">
      <c r="A17" s="43" t="s">
        <v>242</v>
      </c>
    </row>
    <row r="18" spans="1:1" x14ac:dyDescent="0.35">
      <c r="A18" s="43" t="s">
        <v>243</v>
      </c>
    </row>
    <row r="19" spans="1:1" x14ac:dyDescent="0.35">
      <c r="A19" s="43" t="s">
        <v>251</v>
      </c>
    </row>
    <row r="20" spans="1:1" x14ac:dyDescent="0.35">
      <c r="A20" s="43" t="s">
        <v>252</v>
      </c>
    </row>
    <row r="21" spans="1:1" x14ac:dyDescent="0.35">
      <c r="A21" s="43"/>
    </row>
    <row r="22" spans="1:1" x14ac:dyDescent="0.35">
      <c r="A22" s="43" t="s">
        <v>244</v>
      </c>
    </row>
    <row r="23" spans="1:1" x14ac:dyDescent="0.35">
      <c r="A23" s="43"/>
    </row>
    <row r="24" spans="1:1" x14ac:dyDescent="0.35">
      <c r="A24" s="43" t="s">
        <v>245</v>
      </c>
    </row>
    <row r="25" spans="1:1" x14ac:dyDescent="0.35">
      <c r="A25" s="43" t="s">
        <v>246</v>
      </c>
    </row>
    <row r="26" spans="1:1" x14ac:dyDescent="0.35">
      <c r="A26" s="45" t="s">
        <v>247</v>
      </c>
    </row>
    <row r="27" spans="1:1" x14ac:dyDescent="0.35">
      <c r="A27" s="43" t="s">
        <v>248</v>
      </c>
    </row>
    <row r="28" spans="1:1" x14ac:dyDescent="0.35">
      <c r="A28" s="45" t="s">
        <v>249</v>
      </c>
    </row>
    <row r="29" spans="1:1" x14ac:dyDescent="0.35">
      <c r="A29" s="43" t="s">
        <v>250</v>
      </c>
    </row>
  </sheetData>
  <hyperlinks>
    <hyperlink ref="A26" r:id="rId1" xr:uid="{5B827247-C23F-4636-A76A-B3649D3F3DD1}"/>
    <hyperlink ref="A28" r:id="rId2" xr:uid="{DB80B669-3B8F-408E-85A5-E315819A1309}"/>
  </hyperlinks>
  <pageMargins left="0.7" right="0.7" top="0.78740157499999996" bottom="0.78740157499999996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Overview</vt:lpstr>
      <vt:lpstr>Overview zur abgabe</vt:lpstr>
      <vt:lpstr>DCDC-Direkt</vt:lpstr>
      <vt:lpstr>Treiber</vt:lpstr>
      <vt:lpstr>Bootstrap Comp</vt:lpstr>
      <vt:lpstr>MOSFET</vt:lpstr>
      <vt:lpstr>Sonstige</vt:lpstr>
      <vt:lpstr>Dumpload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B</dc:creator>
  <cp:lastModifiedBy>J B</cp:lastModifiedBy>
  <cp:lastPrinted>2019-07-03T14:08:21Z</cp:lastPrinted>
  <dcterms:created xsi:type="dcterms:W3CDTF">2017-10-03T09:58:36Z</dcterms:created>
  <dcterms:modified xsi:type="dcterms:W3CDTF">2019-07-03T14:08:25Z</dcterms:modified>
</cp:coreProperties>
</file>